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ONBIB" sheetId="1" r:id="rId1"/>
    <sheet name="Blad1" sheetId="2" state="hidden" r:id="rId2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DONBIB!$A$1:$J$87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L163" i="1" l="1"/>
  <c r="AK163" i="1"/>
  <c r="AJ163" i="1"/>
  <c r="AI163" i="1"/>
  <c r="AH163" i="1"/>
  <c r="AG163" i="1"/>
  <c r="AF163" i="1"/>
  <c r="AE163" i="1"/>
  <c r="AA163" i="1"/>
  <c r="N163" i="1"/>
  <c r="K163" i="1"/>
  <c r="J163" i="1"/>
  <c r="I163" i="1"/>
  <c r="H163" i="1"/>
  <c r="G163" i="1"/>
  <c r="E163" i="1"/>
  <c r="A163" i="1"/>
  <c r="AL159" i="1"/>
  <c r="AK159" i="1"/>
  <c r="AJ159" i="1"/>
  <c r="AI159" i="1"/>
  <c r="AH159" i="1"/>
  <c r="AG159" i="1"/>
  <c r="AF159" i="1"/>
  <c r="AE159" i="1"/>
  <c r="N159" i="1"/>
  <c r="K159" i="1"/>
  <c r="J159" i="1"/>
  <c r="I159" i="1"/>
  <c r="H159" i="1"/>
  <c r="G159" i="1"/>
  <c r="F159" i="1"/>
  <c r="A159" i="1"/>
  <c r="AL161" i="1"/>
  <c r="AK161" i="1"/>
  <c r="AJ161" i="1"/>
  <c r="AI161" i="1"/>
  <c r="AH161" i="1"/>
  <c r="AG161" i="1"/>
  <c r="AF161" i="1"/>
  <c r="AE161" i="1"/>
  <c r="AA161" i="1"/>
  <c r="N161" i="1"/>
  <c r="K161" i="1"/>
  <c r="J161" i="1"/>
  <c r="I161" i="1"/>
  <c r="H161" i="1"/>
  <c r="G161" i="1"/>
  <c r="F161" i="1"/>
  <c r="E161" i="1"/>
  <c r="A161" i="1"/>
  <c r="O1210" i="1"/>
  <c r="O1209" i="1"/>
  <c r="M993" i="1"/>
  <c r="M890" i="1"/>
  <c r="M787" i="1"/>
  <c r="M684" i="1"/>
  <c r="M581" i="1"/>
  <c r="M478" i="1"/>
  <c r="M375" i="1"/>
  <c r="M272" i="1"/>
  <c r="M171" i="1"/>
  <c r="M169" i="1"/>
  <c r="M998" i="1"/>
  <c r="M895" i="1"/>
  <c r="M792" i="1"/>
  <c r="M689" i="1"/>
  <c r="M586" i="1"/>
  <c r="M483" i="1"/>
  <c r="M380" i="1"/>
  <c r="M277" i="1"/>
  <c r="M174" i="1"/>
  <c r="X210" i="1"/>
  <c r="W210" i="1"/>
  <c r="V210" i="1"/>
  <c r="U210" i="1"/>
  <c r="T210" i="1"/>
  <c r="S210" i="1"/>
  <c r="R210" i="1"/>
  <c r="Q210" i="1"/>
  <c r="P210" i="1"/>
  <c r="X208" i="1"/>
  <c r="W208" i="1"/>
  <c r="V208" i="1"/>
  <c r="U208" i="1"/>
  <c r="T208" i="1"/>
  <c r="S208" i="1"/>
  <c r="R208" i="1"/>
  <c r="Q208" i="1"/>
  <c r="P208" i="1"/>
  <c r="X206" i="1"/>
  <c r="W206" i="1"/>
  <c r="V206" i="1"/>
  <c r="U206" i="1"/>
  <c r="T206" i="1"/>
  <c r="S206" i="1"/>
  <c r="R206" i="1"/>
  <c r="Q206" i="1"/>
  <c r="P206" i="1"/>
  <c r="X204" i="1"/>
  <c r="W204" i="1"/>
  <c r="V204" i="1"/>
  <c r="U204" i="1"/>
  <c r="T204" i="1"/>
  <c r="S204" i="1"/>
  <c r="R204" i="1"/>
  <c r="Q204" i="1"/>
  <c r="P204" i="1"/>
  <c r="X202" i="1"/>
  <c r="W202" i="1"/>
  <c r="V202" i="1"/>
  <c r="U202" i="1"/>
  <c r="T202" i="1"/>
  <c r="S202" i="1"/>
  <c r="R202" i="1"/>
  <c r="Q202" i="1"/>
  <c r="P202" i="1"/>
  <c r="X200" i="1"/>
  <c r="W200" i="1"/>
  <c r="V200" i="1"/>
  <c r="U200" i="1"/>
  <c r="T200" i="1"/>
  <c r="S200" i="1"/>
  <c r="R200" i="1"/>
  <c r="Q200" i="1"/>
  <c r="P200" i="1"/>
  <c r="X198" i="1"/>
  <c r="W198" i="1"/>
  <c r="V198" i="1"/>
  <c r="U198" i="1"/>
  <c r="T198" i="1"/>
  <c r="S198" i="1"/>
  <c r="R198" i="1"/>
  <c r="Q198" i="1"/>
  <c r="P198" i="1"/>
  <c r="X196" i="1"/>
  <c r="W196" i="1"/>
  <c r="V196" i="1"/>
  <c r="U196" i="1"/>
  <c r="T196" i="1"/>
  <c r="S196" i="1"/>
  <c r="R196" i="1"/>
  <c r="Q196" i="1"/>
  <c r="P196" i="1"/>
  <c r="X194" i="1"/>
  <c r="W194" i="1"/>
  <c r="V194" i="1"/>
  <c r="U194" i="1"/>
  <c r="T194" i="1"/>
  <c r="S194" i="1"/>
  <c r="R194" i="1"/>
  <c r="Q194" i="1"/>
  <c r="P194" i="1"/>
  <c r="X192" i="1"/>
  <c r="W192" i="1"/>
  <c r="V192" i="1"/>
  <c r="U192" i="1"/>
  <c r="T192" i="1"/>
  <c r="S192" i="1"/>
  <c r="R192" i="1"/>
  <c r="Q192" i="1"/>
  <c r="P192" i="1"/>
  <c r="X190" i="1"/>
  <c r="W190" i="1"/>
  <c r="V190" i="1"/>
  <c r="U190" i="1"/>
  <c r="T190" i="1"/>
  <c r="S190" i="1"/>
  <c r="R190" i="1"/>
  <c r="Q190" i="1"/>
  <c r="P190" i="1"/>
  <c r="AX179" i="1"/>
  <c r="AW179" i="1"/>
  <c r="AV179" i="1"/>
  <c r="AU179" i="1"/>
  <c r="AT179" i="1"/>
  <c r="AP179" i="1"/>
  <c r="X179" i="1"/>
  <c r="W179" i="1"/>
  <c r="V179" i="1"/>
  <c r="U179" i="1"/>
  <c r="T179" i="1"/>
  <c r="S179" i="1"/>
  <c r="R179" i="1"/>
  <c r="Q179" i="1"/>
  <c r="P179" i="1"/>
  <c r="AX177" i="1"/>
  <c r="AW177" i="1"/>
  <c r="AV177" i="1"/>
  <c r="AU177" i="1"/>
  <c r="AT177" i="1"/>
  <c r="AP177" i="1"/>
  <c r="X177" i="1"/>
  <c r="W177" i="1"/>
  <c r="V177" i="1"/>
  <c r="U177" i="1"/>
  <c r="T177" i="1"/>
  <c r="S177" i="1"/>
  <c r="R177" i="1"/>
  <c r="Q177" i="1"/>
  <c r="P177" i="1"/>
  <c r="AX175" i="1"/>
  <c r="AW175" i="1"/>
  <c r="AV175" i="1"/>
  <c r="AU175" i="1"/>
  <c r="AT175" i="1"/>
  <c r="AP175" i="1"/>
  <c r="X175" i="1"/>
  <c r="W175" i="1"/>
  <c r="V175" i="1"/>
  <c r="U175" i="1"/>
  <c r="T175" i="1"/>
  <c r="S175" i="1"/>
  <c r="R175" i="1"/>
  <c r="Q175" i="1"/>
  <c r="P175" i="1"/>
  <c r="AX173" i="1"/>
  <c r="AW173" i="1"/>
  <c r="AV173" i="1"/>
  <c r="AU173" i="1"/>
  <c r="AT173" i="1"/>
  <c r="AP173" i="1"/>
  <c r="X173" i="1"/>
  <c r="W173" i="1"/>
  <c r="V173" i="1"/>
  <c r="U173" i="1"/>
  <c r="T173" i="1"/>
  <c r="S173" i="1"/>
  <c r="R173" i="1"/>
  <c r="Q173" i="1"/>
  <c r="P173" i="1"/>
  <c r="AX171" i="1"/>
  <c r="AW171" i="1"/>
  <c r="AV171" i="1"/>
  <c r="AU171" i="1"/>
  <c r="AT171" i="1"/>
  <c r="AP171" i="1"/>
  <c r="X171" i="1"/>
  <c r="W171" i="1"/>
  <c r="V171" i="1"/>
  <c r="U171" i="1"/>
  <c r="T171" i="1"/>
  <c r="S171" i="1"/>
  <c r="R171" i="1"/>
  <c r="Q171" i="1"/>
  <c r="P171" i="1"/>
  <c r="AX169" i="1"/>
  <c r="AW169" i="1"/>
  <c r="AV169" i="1"/>
  <c r="AU169" i="1"/>
  <c r="AT169" i="1"/>
  <c r="AP169" i="1"/>
  <c r="X169" i="1"/>
  <c r="W169" i="1"/>
  <c r="V169" i="1"/>
  <c r="U169" i="1"/>
  <c r="T169" i="1"/>
  <c r="S169" i="1"/>
  <c r="R169" i="1"/>
  <c r="Q169" i="1"/>
  <c r="P169" i="1"/>
  <c r="AX167" i="1"/>
  <c r="AW167" i="1"/>
  <c r="AV167" i="1"/>
  <c r="AU167" i="1"/>
  <c r="AT167" i="1"/>
  <c r="AP167" i="1"/>
  <c r="X167" i="1"/>
  <c r="W167" i="1"/>
  <c r="V167" i="1"/>
  <c r="U167" i="1"/>
  <c r="T167" i="1"/>
  <c r="S167" i="1"/>
  <c r="R167" i="1"/>
  <c r="Q167" i="1"/>
  <c r="P167" i="1"/>
  <c r="AX165" i="1"/>
  <c r="AW165" i="1"/>
  <c r="AV165" i="1"/>
  <c r="AU165" i="1"/>
  <c r="AT165" i="1"/>
  <c r="AP165" i="1"/>
  <c r="X165" i="1"/>
  <c r="W165" i="1"/>
  <c r="V165" i="1"/>
  <c r="U165" i="1"/>
  <c r="T165" i="1"/>
  <c r="S165" i="1"/>
  <c r="R165" i="1"/>
  <c r="Q165" i="1"/>
  <c r="P165" i="1"/>
  <c r="AX161" i="1"/>
  <c r="AW161" i="1"/>
  <c r="AV161" i="1"/>
  <c r="AU161" i="1"/>
  <c r="AT161" i="1"/>
  <c r="AP161" i="1"/>
  <c r="X161" i="1"/>
  <c r="W161" i="1"/>
  <c r="V161" i="1"/>
  <c r="U161" i="1"/>
  <c r="T161" i="1"/>
  <c r="S161" i="1"/>
  <c r="R161" i="1"/>
  <c r="Q161" i="1"/>
  <c r="P161" i="1"/>
  <c r="AX159" i="1"/>
  <c r="AW159" i="1"/>
  <c r="AV159" i="1"/>
  <c r="AU159" i="1"/>
  <c r="AT159" i="1"/>
  <c r="AP159" i="1"/>
  <c r="X159" i="1"/>
  <c r="W159" i="1"/>
  <c r="V159" i="1"/>
  <c r="U159" i="1"/>
  <c r="T159" i="1"/>
  <c r="S159" i="1"/>
  <c r="R159" i="1"/>
  <c r="Q159" i="1"/>
  <c r="P159" i="1"/>
  <c r="AX157" i="1"/>
  <c r="AW157" i="1"/>
  <c r="AV157" i="1"/>
  <c r="AU157" i="1"/>
  <c r="AT157" i="1"/>
  <c r="AP157" i="1"/>
  <c r="AL157" i="1"/>
  <c r="AK157" i="1"/>
  <c r="AJ157" i="1"/>
  <c r="AI157" i="1"/>
  <c r="AH157" i="1"/>
  <c r="AE157" i="1"/>
  <c r="AA157" i="1"/>
  <c r="X157" i="1"/>
  <c r="W157" i="1"/>
  <c r="V157" i="1"/>
  <c r="U157" i="1"/>
  <c r="T157" i="1"/>
  <c r="S157" i="1"/>
  <c r="R157" i="1"/>
  <c r="Q157" i="1"/>
  <c r="P157" i="1"/>
  <c r="N157" i="1"/>
  <c r="K157" i="1"/>
  <c r="J157" i="1"/>
  <c r="I157" i="1"/>
  <c r="H157" i="1"/>
  <c r="G157" i="1"/>
  <c r="F157" i="1"/>
  <c r="E157" i="1"/>
  <c r="A157" i="1"/>
  <c r="AN148" i="1"/>
  <c r="AK148" i="1"/>
  <c r="AJ148" i="1"/>
  <c r="AI148" i="1"/>
  <c r="AH148" i="1"/>
  <c r="AA148" i="1"/>
  <c r="N148" i="1"/>
  <c r="K148" i="1"/>
  <c r="J148" i="1"/>
  <c r="I148" i="1"/>
  <c r="H148" i="1"/>
  <c r="G148" i="1"/>
  <c r="F148" i="1"/>
  <c r="E148" i="1"/>
  <c r="A148" i="1"/>
  <c r="AN146" i="1"/>
  <c r="AK146" i="1"/>
  <c r="AJ146" i="1"/>
  <c r="AI146" i="1"/>
  <c r="AH146" i="1"/>
  <c r="AA146" i="1"/>
  <c r="N146" i="1"/>
  <c r="K146" i="1"/>
  <c r="J146" i="1"/>
  <c r="I146" i="1"/>
  <c r="H146" i="1"/>
  <c r="G146" i="1"/>
  <c r="F146" i="1"/>
  <c r="E146" i="1"/>
  <c r="A146" i="1"/>
  <c r="AN144" i="1"/>
  <c r="AK144" i="1"/>
  <c r="AJ144" i="1"/>
  <c r="AI144" i="1"/>
  <c r="AH144" i="1"/>
  <c r="AA144" i="1"/>
  <c r="N144" i="1"/>
  <c r="K144" i="1"/>
  <c r="J144" i="1"/>
  <c r="I144" i="1"/>
  <c r="H144" i="1"/>
  <c r="G144" i="1"/>
  <c r="F144" i="1"/>
  <c r="E144" i="1"/>
  <c r="A144" i="1"/>
  <c r="AN142" i="1"/>
  <c r="AK142" i="1"/>
  <c r="AJ142" i="1"/>
  <c r="AI142" i="1"/>
  <c r="AH142" i="1"/>
  <c r="AA142" i="1"/>
  <c r="N142" i="1"/>
  <c r="K142" i="1"/>
  <c r="J142" i="1"/>
  <c r="I142" i="1"/>
  <c r="H142" i="1"/>
  <c r="G142" i="1"/>
  <c r="F142" i="1"/>
  <c r="E142" i="1"/>
  <c r="A142" i="1"/>
  <c r="AN140" i="1"/>
  <c r="AK140" i="1"/>
  <c r="AJ140" i="1"/>
  <c r="AI140" i="1"/>
  <c r="AH140" i="1"/>
  <c r="AA140" i="1"/>
  <c r="N140" i="1"/>
  <c r="K140" i="1"/>
  <c r="J140" i="1"/>
  <c r="I140" i="1"/>
  <c r="H140" i="1"/>
  <c r="G140" i="1"/>
  <c r="F140" i="1"/>
  <c r="E140" i="1"/>
  <c r="A140" i="1"/>
  <c r="AN138" i="1"/>
  <c r="AK138" i="1"/>
  <c r="AJ138" i="1"/>
  <c r="AI138" i="1"/>
  <c r="AH138" i="1"/>
  <c r="AA138" i="1"/>
  <c r="N138" i="1"/>
  <c r="K138" i="1"/>
  <c r="J138" i="1"/>
  <c r="I138" i="1"/>
  <c r="H138" i="1"/>
  <c r="G138" i="1"/>
  <c r="F138" i="1"/>
  <c r="E138" i="1"/>
  <c r="A138" i="1"/>
  <c r="AN136" i="1"/>
  <c r="AK136" i="1"/>
  <c r="AJ136" i="1"/>
  <c r="AI136" i="1"/>
  <c r="AH136" i="1"/>
  <c r="AA136" i="1"/>
  <c r="N136" i="1"/>
  <c r="K136" i="1"/>
  <c r="J136" i="1"/>
  <c r="I136" i="1"/>
  <c r="H136" i="1"/>
  <c r="G136" i="1"/>
  <c r="F136" i="1"/>
  <c r="E136" i="1"/>
  <c r="A136" i="1"/>
  <c r="AN134" i="1"/>
  <c r="AK134" i="1"/>
  <c r="AJ134" i="1"/>
  <c r="AI134" i="1"/>
  <c r="AH134" i="1"/>
  <c r="AA134" i="1"/>
  <c r="N134" i="1"/>
  <c r="K134" i="1"/>
  <c r="J134" i="1"/>
  <c r="I134" i="1"/>
  <c r="H134" i="1"/>
  <c r="G134" i="1"/>
  <c r="F134" i="1"/>
  <c r="E134" i="1"/>
  <c r="A134" i="1"/>
  <c r="AN132" i="1"/>
  <c r="AK132" i="1"/>
  <c r="AJ132" i="1"/>
  <c r="AI132" i="1"/>
  <c r="AH132" i="1"/>
  <c r="AA132" i="1"/>
  <c r="N132" i="1"/>
  <c r="K132" i="1"/>
  <c r="J132" i="1"/>
  <c r="I132" i="1"/>
  <c r="H132" i="1"/>
  <c r="G132" i="1"/>
  <c r="F132" i="1"/>
  <c r="E132" i="1"/>
  <c r="A132" i="1"/>
  <c r="AN130" i="1"/>
  <c r="AK130" i="1"/>
  <c r="AJ130" i="1"/>
  <c r="AI130" i="1"/>
  <c r="AH130" i="1"/>
  <c r="AA130" i="1"/>
  <c r="N130" i="1"/>
  <c r="K130" i="1"/>
  <c r="J130" i="1"/>
  <c r="I130" i="1"/>
  <c r="H130" i="1"/>
  <c r="G130" i="1"/>
  <c r="F130" i="1"/>
  <c r="E130" i="1"/>
  <c r="A130" i="1"/>
  <c r="AN128" i="1"/>
  <c r="AK128" i="1"/>
  <c r="AJ128" i="1"/>
  <c r="AI128" i="1"/>
  <c r="AH128" i="1"/>
  <c r="AA128" i="1"/>
  <c r="N128" i="1"/>
  <c r="K128" i="1"/>
  <c r="J128" i="1"/>
  <c r="I128" i="1"/>
  <c r="H128" i="1"/>
  <c r="G128" i="1"/>
  <c r="F128" i="1"/>
  <c r="E128" i="1"/>
  <c r="A128" i="1"/>
  <c r="O1213" i="1" l="1"/>
  <c r="M999" i="1"/>
  <c r="M896" i="1"/>
  <c r="M793" i="1"/>
  <c r="M690" i="1"/>
  <c r="M587" i="1"/>
  <c r="M484" i="1"/>
  <c r="M381" i="1"/>
  <c r="M278" i="1"/>
  <c r="M175" i="1"/>
  <c r="O1212" i="1"/>
  <c r="O1211" i="1"/>
  <c r="M997" i="1"/>
  <c r="M894" i="1"/>
  <c r="M791" i="1"/>
  <c r="M688" i="1"/>
  <c r="M585" i="1"/>
  <c r="M482" i="1"/>
  <c r="M379" i="1"/>
  <c r="M276" i="1"/>
  <c r="M173" i="1"/>
  <c r="M996" i="1"/>
  <c r="M994" i="1"/>
  <c r="M893" i="1"/>
  <c r="M891" i="1"/>
  <c r="M790" i="1"/>
  <c r="M788" i="1"/>
  <c r="M687" i="1"/>
  <c r="M685" i="1"/>
  <c r="M584" i="1"/>
  <c r="M582" i="1"/>
  <c r="M481" i="1"/>
  <c r="M479" i="1"/>
  <c r="M378" i="1"/>
  <c r="M376" i="1"/>
  <c r="M275" i="1"/>
  <c r="M273" i="1"/>
  <c r="M170" i="1"/>
  <c r="I239" i="1"/>
  <c r="H239" i="1" s="1"/>
  <c r="G239" i="1"/>
  <c r="F239" i="1" s="1"/>
  <c r="I238" i="1"/>
  <c r="H238" i="1" s="1"/>
  <c r="G238" i="1"/>
  <c r="F238" i="1" s="1"/>
  <c r="I237" i="1"/>
  <c r="H237" i="1" s="1"/>
  <c r="G237" i="1"/>
  <c r="F237" i="1" s="1"/>
  <c r="I236" i="1"/>
  <c r="H236" i="1" s="1"/>
  <c r="G236" i="1"/>
  <c r="F236" i="1" s="1"/>
  <c r="I235" i="1"/>
  <c r="H235" i="1" s="1"/>
  <c r="G235" i="1"/>
  <c r="F235" i="1" s="1"/>
  <c r="I234" i="1"/>
  <c r="H234" i="1" s="1"/>
  <c r="G234" i="1"/>
  <c r="F234" i="1" s="1"/>
  <c r="I233" i="1"/>
  <c r="H233" i="1" s="1"/>
  <c r="G233" i="1"/>
  <c r="F233" i="1" s="1"/>
  <c r="I232" i="1"/>
  <c r="H232" i="1" s="1"/>
  <c r="G232" i="1"/>
  <c r="F232" i="1" s="1"/>
  <c r="I231" i="1"/>
  <c r="H231" i="1" s="1"/>
  <c r="G231" i="1"/>
  <c r="F231" i="1" s="1"/>
  <c r="I230" i="1"/>
  <c r="H230" i="1" s="1"/>
  <c r="G230" i="1"/>
  <c r="F230" i="1" s="1"/>
  <c r="I229" i="1"/>
  <c r="H229" i="1" s="1"/>
  <c r="G229" i="1"/>
  <c r="F229" i="1" s="1"/>
  <c r="N100" i="1"/>
  <c r="M100" i="1"/>
  <c r="L100" i="1"/>
  <c r="K100" i="1"/>
  <c r="J100" i="1"/>
  <c r="O99" i="1"/>
  <c r="N99" i="1"/>
  <c r="M99" i="1"/>
  <c r="L99" i="1"/>
  <c r="K99" i="1"/>
  <c r="J99" i="1"/>
  <c r="O1213" i="2" l="1"/>
  <c r="M999" i="2"/>
  <c r="M896" i="2"/>
  <c r="M793" i="2"/>
  <c r="M690" i="2"/>
  <c r="M587" i="2"/>
  <c r="M484" i="2"/>
  <c r="M381" i="2"/>
  <c r="M278" i="2"/>
  <c r="M175" i="2"/>
  <c r="O1211" i="2"/>
  <c r="M997" i="2"/>
  <c r="M894" i="2"/>
  <c r="M791" i="2"/>
  <c r="M688" i="2"/>
  <c r="M585" i="2"/>
  <c r="M482" i="2"/>
  <c r="M379" i="2"/>
  <c r="M276" i="2"/>
  <c r="M173" i="2"/>
  <c r="M996" i="2"/>
  <c r="M994" i="2"/>
  <c r="M893" i="2"/>
  <c r="M891" i="2"/>
  <c r="M790" i="2"/>
  <c r="M788" i="2"/>
  <c r="M687" i="2"/>
  <c r="M685" i="2"/>
  <c r="M584" i="2"/>
  <c r="M582" i="2"/>
  <c r="M481" i="2"/>
  <c r="M479" i="2"/>
  <c r="M378" i="2"/>
  <c r="M376" i="2"/>
  <c r="M275" i="2"/>
  <c r="M273" i="2"/>
  <c r="M170" i="2"/>
  <c r="O1210" i="2"/>
  <c r="O1209" i="2"/>
  <c r="M993" i="2"/>
  <c r="M890" i="2"/>
  <c r="M787" i="2"/>
  <c r="M684" i="2"/>
  <c r="M581" i="2"/>
  <c r="M478" i="2"/>
  <c r="M375" i="2"/>
  <c r="M272" i="2"/>
  <c r="M171" i="2"/>
  <c r="M169" i="2"/>
  <c r="O1212" i="2"/>
  <c r="M998" i="2"/>
  <c r="M895" i="2"/>
  <c r="M792" i="2"/>
  <c r="M689" i="2"/>
  <c r="M586" i="2"/>
  <c r="M483" i="2"/>
  <c r="M380" i="2"/>
  <c r="M277" i="2"/>
  <c r="M174" i="2"/>
  <c r="B58" i="1" l="1"/>
  <c r="B53" i="1"/>
  <c r="B43" i="1"/>
  <c r="B38" i="1"/>
  <c r="B33" i="1"/>
  <c r="B28" i="1"/>
  <c r="AR179" i="1" l="1"/>
  <c r="AR177" i="1"/>
  <c r="AR175" i="1"/>
  <c r="AR173" i="1"/>
  <c r="AR171" i="1"/>
  <c r="AF146" i="1"/>
  <c r="AF138" i="1"/>
  <c r="AF132" i="1"/>
  <c r="AR132" i="1" s="1"/>
  <c r="AR167" i="1"/>
  <c r="AR159" i="1"/>
  <c r="AF144" i="1"/>
  <c r="AF134" i="1"/>
  <c r="AF128" i="1"/>
  <c r="AR165" i="1"/>
  <c r="AR157" i="1"/>
  <c r="AF140" i="1"/>
  <c r="AR140" i="1" s="1"/>
  <c r="AR161" i="1"/>
  <c r="AF142" i="1"/>
  <c r="AF148" i="1"/>
  <c r="AF136" i="1"/>
  <c r="AF130" i="1"/>
  <c r="AQ161" i="1"/>
  <c r="AE138" i="1"/>
  <c r="AE140" i="1"/>
  <c r="AQ179" i="1"/>
  <c r="AQ159" i="1"/>
  <c r="AE136" i="1"/>
  <c r="AQ177" i="1"/>
  <c r="AQ157" i="1"/>
  <c r="AE134" i="1"/>
  <c r="AQ175" i="1"/>
  <c r="AE148" i="1"/>
  <c r="AE132" i="1"/>
  <c r="AQ173" i="1"/>
  <c r="AE146" i="1"/>
  <c r="AE130" i="1"/>
  <c r="AQ130" i="1" s="1"/>
  <c r="AE128" i="1"/>
  <c r="AQ128" i="1" s="1"/>
  <c r="AQ171" i="1"/>
  <c r="AQ169" i="1"/>
  <c r="AE144" i="1"/>
  <c r="AQ167" i="1"/>
  <c r="AE142" i="1"/>
  <c r="AQ165" i="1"/>
  <c r="AS179" i="1"/>
  <c r="AS171" i="1"/>
  <c r="AG146" i="1"/>
  <c r="AG138" i="1"/>
  <c r="AG130" i="1"/>
  <c r="AG132" i="1"/>
  <c r="AS161" i="1"/>
  <c r="AS159" i="1"/>
  <c r="AS177" i="1"/>
  <c r="AS169" i="1"/>
  <c r="AG144" i="1"/>
  <c r="AG136" i="1"/>
  <c r="AG128" i="1"/>
  <c r="AS175" i="1"/>
  <c r="AG142" i="1"/>
  <c r="AS173" i="1"/>
  <c r="AS167" i="1"/>
  <c r="AG134" i="1"/>
  <c r="AG148" i="1"/>
  <c r="AG140" i="1"/>
  <c r="B63" i="1"/>
  <c r="AN128" i="2" s="1"/>
  <c r="AX128" i="2" s="1"/>
  <c r="AX157" i="2" s="1"/>
  <c r="AK128" i="2"/>
  <c r="AJ128" i="2"/>
  <c r="AI128" i="2"/>
  <c r="AG128" i="2"/>
  <c r="AF128" i="2"/>
  <c r="AR128" i="2" s="1"/>
  <c r="AE128" i="2"/>
  <c r="AA128" i="2"/>
  <c r="AP128" i="2" s="1"/>
  <c r="AP157" i="2" s="1"/>
  <c r="N128" i="2"/>
  <c r="K128" i="2"/>
  <c r="J128" i="2"/>
  <c r="V128" i="2" s="1"/>
  <c r="V157" i="2" s="1"/>
  <c r="I128" i="2"/>
  <c r="U128" i="2" s="1"/>
  <c r="U157" i="2" s="1"/>
  <c r="H128" i="2"/>
  <c r="T128" i="2" s="1"/>
  <c r="T157" i="2" s="1"/>
  <c r="G128" i="2"/>
  <c r="S128" i="2" s="1"/>
  <c r="S157" i="2" s="1"/>
  <c r="F128" i="2"/>
  <c r="E128" i="2"/>
  <c r="Q128" i="2" s="1"/>
  <c r="Q157" i="2" s="1"/>
  <c r="A128" i="2"/>
  <c r="L1043" i="2"/>
  <c r="F1043" i="2"/>
  <c r="G1043" i="2" s="1"/>
  <c r="L1042" i="2"/>
  <c r="F1042" i="2"/>
  <c r="G1042" i="2" s="1"/>
  <c r="L1041" i="2"/>
  <c r="F1041" i="2"/>
  <c r="G1041" i="2" s="1"/>
  <c r="L1040" i="2"/>
  <c r="F1040" i="2"/>
  <c r="G1040" i="2" s="1"/>
  <c r="L1039" i="2"/>
  <c r="F1039" i="2"/>
  <c r="G1039" i="2" s="1"/>
  <c r="L1038" i="2"/>
  <c r="F1038" i="2"/>
  <c r="G1038" i="2" s="1"/>
  <c r="L1037" i="2"/>
  <c r="F1037" i="2"/>
  <c r="G1037" i="2" s="1"/>
  <c r="L1036" i="2"/>
  <c r="F1036" i="2"/>
  <c r="G1036" i="2" s="1"/>
  <c r="I1025" i="2"/>
  <c r="A1025" i="2"/>
  <c r="I1024" i="2"/>
  <c r="A1024" i="2"/>
  <c r="I1023" i="2"/>
  <c r="A1023" i="2"/>
  <c r="A1015" i="2"/>
  <c r="A1013" i="2"/>
  <c r="A1012" i="2"/>
  <c r="A1011" i="2"/>
  <c r="A1010" i="2"/>
  <c r="A1001" i="2"/>
  <c r="A1000" i="2"/>
  <c r="A999" i="2"/>
  <c r="A998" i="2"/>
  <c r="A997" i="2"/>
  <c r="L940" i="2"/>
  <c r="F940" i="2"/>
  <c r="G940" i="2" s="1"/>
  <c r="L939" i="2"/>
  <c r="F939" i="2"/>
  <c r="G939" i="2" s="1"/>
  <c r="L938" i="2"/>
  <c r="F938" i="2"/>
  <c r="G938" i="2" s="1"/>
  <c r="L937" i="2"/>
  <c r="F937" i="2"/>
  <c r="G937" i="2" s="1"/>
  <c r="L936" i="2"/>
  <c r="F936" i="2"/>
  <c r="G936" i="2" s="1"/>
  <c r="L935" i="2"/>
  <c r="F935" i="2"/>
  <c r="G935" i="2" s="1"/>
  <c r="L934" i="2"/>
  <c r="F934" i="2"/>
  <c r="G934" i="2" s="1"/>
  <c r="L933" i="2"/>
  <c r="F933" i="2"/>
  <c r="G933" i="2" s="1"/>
  <c r="I922" i="2"/>
  <c r="A922" i="2"/>
  <c r="I921" i="2"/>
  <c r="A921" i="2"/>
  <c r="I920" i="2"/>
  <c r="A920" i="2"/>
  <c r="A912" i="2"/>
  <c r="A910" i="2"/>
  <c r="A909" i="2"/>
  <c r="A908" i="2"/>
  <c r="A907" i="2"/>
  <c r="A898" i="2"/>
  <c r="A897" i="2"/>
  <c r="A896" i="2"/>
  <c r="A895" i="2"/>
  <c r="A894" i="2"/>
  <c r="L837" i="2"/>
  <c r="F837" i="2"/>
  <c r="G837" i="2" s="1"/>
  <c r="L836" i="2"/>
  <c r="F836" i="2"/>
  <c r="G836" i="2" s="1"/>
  <c r="L835" i="2"/>
  <c r="F835" i="2"/>
  <c r="G835" i="2" s="1"/>
  <c r="L834" i="2"/>
  <c r="F834" i="2"/>
  <c r="G834" i="2" s="1"/>
  <c r="L833" i="2"/>
  <c r="F833" i="2"/>
  <c r="G833" i="2" s="1"/>
  <c r="L832" i="2"/>
  <c r="F832" i="2"/>
  <c r="G832" i="2" s="1"/>
  <c r="L831" i="2"/>
  <c r="F831" i="2"/>
  <c r="G831" i="2" s="1"/>
  <c r="L830" i="2"/>
  <c r="F830" i="2"/>
  <c r="G830" i="2" s="1"/>
  <c r="I819" i="2"/>
  <c r="A819" i="2"/>
  <c r="I818" i="2"/>
  <c r="A818" i="2"/>
  <c r="I817" i="2"/>
  <c r="A817" i="2"/>
  <c r="A809" i="2"/>
  <c r="A807" i="2"/>
  <c r="A806" i="2"/>
  <c r="A805" i="2"/>
  <c r="A804" i="2"/>
  <c r="A795" i="2"/>
  <c r="A794" i="2"/>
  <c r="A793" i="2"/>
  <c r="A792" i="2"/>
  <c r="A791" i="2"/>
  <c r="L727" i="2"/>
  <c r="L734" i="2"/>
  <c r="F734" i="2"/>
  <c r="G734" i="2" s="1"/>
  <c r="L733" i="2"/>
  <c r="F733" i="2"/>
  <c r="G733" i="2" s="1"/>
  <c r="L732" i="2"/>
  <c r="F732" i="2"/>
  <c r="G732" i="2" s="1"/>
  <c r="L731" i="2"/>
  <c r="F731" i="2"/>
  <c r="G731" i="2" s="1"/>
  <c r="L730" i="2"/>
  <c r="F730" i="2"/>
  <c r="G730" i="2" s="1"/>
  <c r="L729" i="2"/>
  <c r="F729" i="2"/>
  <c r="G729" i="2" s="1"/>
  <c r="L728" i="2"/>
  <c r="F728" i="2"/>
  <c r="G728" i="2" s="1"/>
  <c r="F727" i="2"/>
  <c r="G727" i="2" s="1"/>
  <c r="I716" i="2"/>
  <c r="A716" i="2"/>
  <c r="I715" i="2"/>
  <c r="A715" i="2"/>
  <c r="I714" i="2"/>
  <c r="A714" i="2"/>
  <c r="A706" i="2"/>
  <c r="A704" i="2"/>
  <c r="A703" i="2"/>
  <c r="A702" i="2"/>
  <c r="A701" i="2"/>
  <c r="A692" i="2"/>
  <c r="A691" i="2"/>
  <c r="A690" i="2"/>
  <c r="A689" i="2"/>
  <c r="A688" i="2"/>
  <c r="L631" i="2"/>
  <c r="L630" i="2"/>
  <c r="L629" i="2"/>
  <c r="L628" i="2"/>
  <c r="L627" i="2"/>
  <c r="L626" i="2"/>
  <c r="L625" i="2"/>
  <c r="L624" i="2"/>
  <c r="F631" i="2"/>
  <c r="G631" i="2" s="1"/>
  <c r="F630" i="2"/>
  <c r="G630" i="2" s="1"/>
  <c r="F629" i="2"/>
  <c r="G629" i="2" s="1"/>
  <c r="F628" i="2"/>
  <c r="G628" i="2" s="1"/>
  <c r="F627" i="2"/>
  <c r="G627" i="2" s="1"/>
  <c r="F626" i="2"/>
  <c r="G626" i="2" s="1"/>
  <c r="F625" i="2"/>
  <c r="G625" i="2" s="1"/>
  <c r="F624" i="2"/>
  <c r="G624" i="2" s="1"/>
  <c r="I613" i="2"/>
  <c r="A613" i="2"/>
  <c r="I612" i="2"/>
  <c r="A612" i="2"/>
  <c r="I611" i="2"/>
  <c r="A611" i="2"/>
  <c r="A603" i="2"/>
  <c r="A601" i="2"/>
  <c r="A600" i="2"/>
  <c r="A599" i="2"/>
  <c r="A598" i="2"/>
  <c r="A589" i="2"/>
  <c r="A588" i="2"/>
  <c r="A587" i="2"/>
  <c r="A586" i="2"/>
  <c r="A585" i="2"/>
  <c r="L528" i="2"/>
  <c r="L527" i="2"/>
  <c r="L526" i="2"/>
  <c r="L525" i="2"/>
  <c r="L524" i="2"/>
  <c r="L523" i="2"/>
  <c r="L522" i="2"/>
  <c r="L521" i="2"/>
  <c r="F528" i="2"/>
  <c r="G528" i="2" s="1"/>
  <c r="F527" i="2"/>
  <c r="G527" i="2" s="1"/>
  <c r="F526" i="2"/>
  <c r="G526" i="2" s="1"/>
  <c r="F525" i="2"/>
  <c r="G525" i="2" s="1"/>
  <c r="F524" i="2"/>
  <c r="G524" i="2" s="1"/>
  <c r="F523" i="2"/>
  <c r="G523" i="2" s="1"/>
  <c r="F522" i="2"/>
  <c r="G522" i="2" s="1"/>
  <c r="F521" i="2"/>
  <c r="G521" i="2" s="1"/>
  <c r="I510" i="2"/>
  <c r="A510" i="2"/>
  <c r="I509" i="2"/>
  <c r="A509" i="2"/>
  <c r="I508" i="2"/>
  <c r="A508" i="2"/>
  <c r="A500" i="2"/>
  <c r="A498" i="2"/>
  <c r="A497" i="2"/>
  <c r="A496" i="2"/>
  <c r="A495" i="2"/>
  <c r="A486" i="2"/>
  <c r="A485" i="2"/>
  <c r="A484" i="2"/>
  <c r="A483" i="2"/>
  <c r="A482" i="2"/>
  <c r="L425" i="2"/>
  <c r="L424" i="2"/>
  <c r="L423" i="2"/>
  <c r="L422" i="2"/>
  <c r="L421" i="2"/>
  <c r="L419" i="2"/>
  <c r="L418" i="2"/>
  <c r="F425" i="2"/>
  <c r="G425" i="2" s="1"/>
  <c r="F424" i="2"/>
  <c r="G424" i="2" s="1"/>
  <c r="F423" i="2"/>
  <c r="G423" i="2" s="1"/>
  <c r="F422" i="2"/>
  <c r="G422" i="2" s="1"/>
  <c r="F421" i="2"/>
  <c r="G421" i="2" s="1"/>
  <c r="F419" i="2"/>
  <c r="G419" i="2" s="1"/>
  <c r="F418" i="2"/>
  <c r="G418" i="2" s="1"/>
  <c r="I407" i="2"/>
  <c r="A407" i="2"/>
  <c r="I406" i="2"/>
  <c r="A406" i="2"/>
  <c r="I405" i="2"/>
  <c r="A405" i="2"/>
  <c r="A397" i="2"/>
  <c r="A395" i="2"/>
  <c r="A394" i="2"/>
  <c r="A393" i="2"/>
  <c r="A392" i="2"/>
  <c r="A383" i="2"/>
  <c r="A382" i="2"/>
  <c r="A381" i="2"/>
  <c r="A380" i="2"/>
  <c r="A379" i="2"/>
  <c r="L322" i="2"/>
  <c r="L321" i="2"/>
  <c r="L320" i="2"/>
  <c r="L319" i="2"/>
  <c r="L318" i="2"/>
  <c r="L317" i="2"/>
  <c r="L316" i="2"/>
  <c r="F322" i="2"/>
  <c r="G322" i="2" s="1"/>
  <c r="F321" i="2"/>
  <c r="G321" i="2" s="1"/>
  <c r="F320" i="2"/>
  <c r="G320" i="2" s="1"/>
  <c r="F319" i="2"/>
  <c r="G319" i="2" s="1"/>
  <c r="F318" i="2"/>
  <c r="G318" i="2" s="1"/>
  <c r="F317" i="2"/>
  <c r="G317" i="2" s="1"/>
  <c r="F316" i="2"/>
  <c r="G316" i="2" s="1"/>
  <c r="I304" i="2"/>
  <c r="A304" i="2"/>
  <c r="I303" i="2"/>
  <c r="A303" i="2"/>
  <c r="I302" i="2"/>
  <c r="A302" i="2"/>
  <c r="A294" i="2"/>
  <c r="A292" i="2"/>
  <c r="A291" i="2"/>
  <c r="A290" i="2"/>
  <c r="A289" i="2"/>
  <c r="A280" i="2"/>
  <c r="A279" i="2"/>
  <c r="A278" i="2"/>
  <c r="A277" i="2"/>
  <c r="A276" i="2"/>
  <c r="L219" i="2"/>
  <c r="L218" i="2"/>
  <c r="L217" i="2"/>
  <c r="L216" i="2"/>
  <c r="L215" i="2"/>
  <c r="L214" i="2"/>
  <c r="F219" i="2"/>
  <c r="G219" i="2" s="1"/>
  <c r="F218" i="2"/>
  <c r="G218" i="2" s="1"/>
  <c r="F217" i="2"/>
  <c r="G217" i="2" s="1"/>
  <c r="F216" i="2"/>
  <c r="G216" i="2" s="1"/>
  <c r="F215" i="2"/>
  <c r="G215" i="2" s="1"/>
  <c r="F214" i="2"/>
  <c r="G214" i="2" s="1"/>
  <c r="P165" i="2"/>
  <c r="P171" i="2"/>
  <c r="I201" i="2"/>
  <c r="A201" i="2"/>
  <c r="I200" i="2"/>
  <c r="A200" i="2"/>
  <c r="I199" i="2"/>
  <c r="A199" i="2"/>
  <c r="A191" i="2"/>
  <c r="A189" i="2"/>
  <c r="A188" i="2"/>
  <c r="A187" i="2"/>
  <c r="A186" i="2"/>
  <c r="A177" i="2"/>
  <c r="A176" i="2"/>
  <c r="A175" i="2"/>
  <c r="A174" i="2"/>
  <c r="A173" i="2"/>
  <c r="AX148" i="1"/>
  <c r="AX138" i="1"/>
  <c r="AX136" i="1"/>
  <c r="AX128" i="1"/>
  <c r="AW148" i="1"/>
  <c r="AW146" i="1"/>
  <c r="AW144" i="1"/>
  <c r="AW142" i="1"/>
  <c r="AW140" i="1"/>
  <c r="AW138" i="1"/>
  <c r="AW136" i="1"/>
  <c r="AW134" i="1"/>
  <c r="AW132" i="1"/>
  <c r="AW130" i="1"/>
  <c r="AW128" i="1"/>
  <c r="AV148" i="1"/>
  <c r="AV146" i="1"/>
  <c r="AV144" i="1"/>
  <c r="AV142" i="1"/>
  <c r="AV140" i="1"/>
  <c r="AV138" i="1"/>
  <c r="AV136" i="1"/>
  <c r="AV134" i="1"/>
  <c r="AV132" i="1"/>
  <c r="AV130" i="1"/>
  <c r="AV128" i="1"/>
  <c r="AU148" i="1"/>
  <c r="AU146" i="1"/>
  <c r="AU144" i="1"/>
  <c r="AU142" i="1"/>
  <c r="AU140" i="1"/>
  <c r="AU138" i="1"/>
  <c r="AU136" i="1"/>
  <c r="AU134" i="1"/>
  <c r="AU132" i="1"/>
  <c r="AU130" i="1"/>
  <c r="AR148" i="1"/>
  <c r="AR146" i="1"/>
  <c r="AR144" i="1"/>
  <c r="AR142" i="1"/>
  <c r="AR138" i="1"/>
  <c r="AR169" i="1" s="1"/>
  <c r="AR136" i="1"/>
  <c r="AR134" i="1"/>
  <c r="AR130" i="1"/>
  <c r="AR128" i="1"/>
  <c r="AQ148" i="1"/>
  <c r="AQ144" i="1"/>
  <c r="AQ140" i="1"/>
  <c r="AQ136" i="1"/>
  <c r="AP148" i="1"/>
  <c r="AP144" i="1"/>
  <c r="AP140" i="1"/>
  <c r="AP136" i="1"/>
  <c r="AP132" i="1"/>
  <c r="AP128" i="1"/>
  <c r="AP130" i="1"/>
  <c r="AP134" i="1"/>
  <c r="AP138" i="1"/>
  <c r="AP142" i="1"/>
  <c r="AP146" i="1"/>
  <c r="AT142" i="1"/>
  <c r="AQ134" i="1"/>
  <c r="AQ138" i="1"/>
  <c r="AQ142" i="1"/>
  <c r="AQ146" i="1"/>
  <c r="AV128" i="2"/>
  <c r="AV157" i="2" s="1"/>
  <c r="AR157" i="2"/>
  <c r="AX179" i="2"/>
  <c r="AX175" i="2"/>
  <c r="AX161" i="2"/>
  <c r="AN148" i="2"/>
  <c r="AX148" i="2" s="1"/>
  <c r="AW179" i="2"/>
  <c r="AW177" i="2"/>
  <c r="AW175" i="2"/>
  <c r="AW173" i="2"/>
  <c r="AW171" i="2"/>
  <c r="AW169" i="2"/>
  <c r="AW167" i="2"/>
  <c r="AW165" i="2"/>
  <c r="AW161" i="2"/>
  <c r="AW159" i="2"/>
  <c r="AK148" i="2"/>
  <c r="AW148" i="2" s="1"/>
  <c r="AK146" i="2"/>
  <c r="AW146" i="2" s="1"/>
  <c r="AK144" i="2"/>
  <c r="AW144" i="2" s="1"/>
  <c r="AK142" i="2"/>
  <c r="AW142" i="2" s="1"/>
  <c r="AK140" i="2"/>
  <c r="AW140" i="2" s="1"/>
  <c r="AK138" i="2"/>
  <c r="AW138" i="2" s="1"/>
  <c r="AK136" i="2"/>
  <c r="AW136" i="2" s="1"/>
  <c r="AK134" i="2"/>
  <c r="AW134" i="2" s="1"/>
  <c r="AK132" i="2"/>
  <c r="AW132" i="2" s="1"/>
  <c r="AK130" i="2"/>
  <c r="AW130" i="2" s="1"/>
  <c r="AW128" i="2"/>
  <c r="AW157" i="2" s="1"/>
  <c r="AV179" i="2"/>
  <c r="AV177" i="2"/>
  <c r="AV175" i="2"/>
  <c r="AV173" i="2"/>
  <c r="AV171" i="2"/>
  <c r="AV169" i="2"/>
  <c r="AV167" i="2"/>
  <c r="AV165" i="2"/>
  <c r="AV161" i="2"/>
  <c r="AV159" i="2"/>
  <c r="AJ148" i="2"/>
  <c r="AV148" i="2" s="1"/>
  <c r="AJ146" i="2"/>
  <c r="AV146" i="2" s="1"/>
  <c r="AJ144" i="2"/>
  <c r="AV144" i="2" s="1"/>
  <c r="AJ142" i="2"/>
  <c r="AV142" i="2" s="1"/>
  <c r="AJ140" i="2"/>
  <c r="AV140" i="2" s="1"/>
  <c r="AJ138" i="2"/>
  <c r="AV138" i="2" s="1"/>
  <c r="AJ136" i="2"/>
  <c r="AV136" i="2" s="1"/>
  <c r="AJ134" i="2"/>
  <c r="AV134" i="2" s="1"/>
  <c r="AJ132" i="2"/>
  <c r="AV132" i="2" s="1"/>
  <c r="AJ130" i="2"/>
  <c r="AV130" i="2" s="1"/>
  <c r="AU179" i="2"/>
  <c r="AU177" i="2"/>
  <c r="AU175" i="2"/>
  <c r="AU173" i="2"/>
  <c r="AU171" i="2"/>
  <c r="AU169" i="2"/>
  <c r="AU167" i="2"/>
  <c r="AU165" i="2"/>
  <c r="AU161" i="2"/>
  <c r="AU159" i="2"/>
  <c r="AI148" i="2"/>
  <c r="AU148" i="2" s="1"/>
  <c r="AI146" i="2"/>
  <c r="AU146" i="2" s="1"/>
  <c r="AI144" i="2"/>
  <c r="AU144" i="2" s="1"/>
  <c r="AI142" i="2"/>
  <c r="AU142" i="2" s="1"/>
  <c r="AI140" i="2"/>
  <c r="AU140" i="2" s="1"/>
  <c r="AI138" i="2"/>
  <c r="AU138" i="2" s="1"/>
  <c r="AI136" i="2"/>
  <c r="AU136" i="2" s="1"/>
  <c r="AI134" i="2"/>
  <c r="AU134" i="2" s="1"/>
  <c r="AI132" i="2"/>
  <c r="AU132" i="2"/>
  <c r="AI130" i="2"/>
  <c r="AU130" i="2" s="1"/>
  <c r="AT173" i="2"/>
  <c r="AH146" i="2"/>
  <c r="AT146" i="2" s="1"/>
  <c r="AS128" i="2"/>
  <c r="AR179" i="2"/>
  <c r="AR177" i="2"/>
  <c r="AR175" i="2"/>
  <c r="AR173" i="2"/>
  <c r="AR167" i="2"/>
  <c r="AR165" i="2"/>
  <c r="AR161" i="2"/>
  <c r="AF148" i="2"/>
  <c r="AR148" i="2" s="1"/>
  <c r="AF146" i="2"/>
  <c r="AR146" i="2" s="1"/>
  <c r="AF144" i="2"/>
  <c r="AR144" i="2" s="1"/>
  <c r="AF142" i="2"/>
  <c r="AR142" i="2" s="1"/>
  <c r="AF140" i="2"/>
  <c r="AR140" i="2" s="1"/>
  <c r="AR171" i="2" s="1"/>
  <c r="AF138" i="2"/>
  <c r="AR138" i="2" s="1"/>
  <c r="AR169" i="2" s="1"/>
  <c r="AF136" i="2"/>
  <c r="AR136" i="2" s="1"/>
  <c r="AF134" i="2"/>
  <c r="AR134" i="2" s="1"/>
  <c r="AF132" i="2"/>
  <c r="AR132" i="2" s="1"/>
  <c r="AF130" i="2"/>
  <c r="AR130" i="2" s="1"/>
  <c r="AR159" i="2" s="1"/>
  <c r="AQ179" i="2"/>
  <c r="AQ177" i="2"/>
  <c r="AQ175" i="2"/>
  <c r="AQ173" i="2"/>
  <c r="AQ171" i="2"/>
  <c r="AQ169" i="2"/>
  <c r="AQ167" i="2"/>
  <c r="AQ165" i="2"/>
  <c r="AQ161" i="2"/>
  <c r="AQ159" i="2"/>
  <c r="AE148" i="2"/>
  <c r="AQ148" i="2" s="1"/>
  <c r="AE146" i="2"/>
  <c r="AQ146" i="2" s="1"/>
  <c r="AE144" i="2"/>
  <c r="AQ144" i="2" s="1"/>
  <c r="AE142" i="2"/>
  <c r="AQ142" i="2" s="1"/>
  <c r="AE140" i="2"/>
  <c r="AQ140" i="2" s="1"/>
  <c r="AE138" i="2"/>
  <c r="AQ138" i="2" s="1"/>
  <c r="AE136" i="2"/>
  <c r="AQ136" i="2" s="1"/>
  <c r="AE134" i="2"/>
  <c r="AQ134" i="2" s="1"/>
  <c r="AE132" i="2"/>
  <c r="AQ132" i="2" s="1"/>
  <c r="AE130" i="2"/>
  <c r="AQ130" i="2" s="1"/>
  <c r="AQ128" i="2"/>
  <c r="AQ157" i="2" s="1"/>
  <c r="AA148" i="2"/>
  <c r="AP148" i="2" s="1"/>
  <c r="AA146" i="2"/>
  <c r="AP146" i="2" s="1"/>
  <c r="AA144" i="2"/>
  <c r="AP144" i="2" s="1"/>
  <c r="AA142" i="2"/>
  <c r="AP142" i="2" s="1"/>
  <c r="AA140" i="2"/>
  <c r="AP140" i="2" s="1"/>
  <c r="AA138" i="2"/>
  <c r="AP138" i="2" s="1"/>
  <c r="AA136" i="2"/>
  <c r="AP136" i="2" s="1"/>
  <c r="AA134" i="2"/>
  <c r="AP134" i="2" s="1"/>
  <c r="AP165" i="2"/>
  <c r="AA132" i="2"/>
  <c r="AP132" i="2" s="1"/>
  <c r="AA130" i="2"/>
  <c r="AP130" i="2" s="1"/>
  <c r="AP179" i="2"/>
  <c r="AP177" i="2"/>
  <c r="AP175" i="2"/>
  <c r="AP173" i="2"/>
  <c r="AP171" i="2"/>
  <c r="AP169" i="2"/>
  <c r="AP167" i="2"/>
  <c r="AP161" i="2"/>
  <c r="AP159" i="2"/>
  <c r="X179" i="2"/>
  <c r="X177" i="2"/>
  <c r="X175" i="2"/>
  <c r="X173" i="2"/>
  <c r="X171" i="2"/>
  <c r="X169" i="2"/>
  <c r="X167" i="2"/>
  <c r="X165" i="2"/>
  <c r="X161" i="2"/>
  <c r="X159" i="2"/>
  <c r="W179" i="2"/>
  <c r="W177" i="2"/>
  <c r="W175" i="2"/>
  <c r="W173" i="2"/>
  <c r="W171" i="2"/>
  <c r="W169" i="2"/>
  <c r="W167" i="2"/>
  <c r="W165" i="2"/>
  <c r="W161" i="2"/>
  <c r="W159" i="2"/>
  <c r="V179" i="2"/>
  <c r="V177" i="2"/>
  <c r="V175" i="2"/>
  <c r="V173" i="2"/>
  <c r="V171" i="2"/>
  <c r="V169" i="2"/>
  <c r="V167" i="2"/>
  <c r="V165" i="2"/>
  <c r="V161" i="2"/>
  <c r="V159" i="2"/>
  <c r="U179" i="2"/>
  <c r="U177" i="2"/>
  <c r="U175" i="2"/>
  <c r="U173" i="2"/>
  <c r="U171" i="2"/>
  <c r="U169" i="2"/>
  <c r="U167" i="2"/>
  <c r="U165" i="2"/>
  <c r="U161" i="2"/>
  <c r="U159" i="2"/>
  <c r="T179" i="2"/>
  <c r="T177" i="2"/>
  <c r="T175" i="2"/>
  <c r="T173" i="2"/>
  <c r="T171" i="2"/>
  <c r="T169" i="2"/>
  <c r="T167" i="2"/>
  <c r="T165" i="2"/>
  <c r="T161" i="2"/>
  <c r="T159" i="2"/>
  <c r="S179" i="2"/>
  <c r="S177" i="2"/>
  <c r="S175" i="2"/>
  <c r="S173" i="2"/>
  <c r="S171" i="2"/>
  <c r="S169" i="2"/>
  <c r="S167" i="2"/>
  <c r="S161" i="2"/>
  <c r="S159" i="2"/>
  <c r="R179" i="2"/>
  <c r="R177" i="2"/>
  <c r="R175" i="2"/>
  <c r="R173" i="2"/>
  <c r="R167" i="2"/>
  <c r="R165" i="2"/>
  <c r="R161" i="2"/>
  <c r="Q179" i="2"/>
  <c r="Q177" i="2"/>
  <c r="Q175" i="2"/>
  <c r="Q173" i="2"/>
  <c r="Q171" i="2"/>
  <c r="Q169" i="2"/>
  <c r="Q167" i="2"/>
  <c r="Q165" i="2"/>
  <c r="Q161" i="2"/>
  <c r="Q159" i="2"/>
  <c r="P179" i="2"/>
  <c r="P177" i="2"/>
  <c r="P175" i="2"/>
  <c r="P169" i="2"/>
  <c r="P167" i="2"/>
  <c r="P161" i="2"/>
  <c r="P159" i="2"/>
  <c r="N148" i="2"/>
  <c r="X148" i="2" s="1"/>
  <c r="N146" i="2"/>
  <c r="X146" i="2" s="1"/>
  <c r="N144" i="2"/>
  <c r="X144" i="2" s="1"/>
  <c r="N142" i="2"/>
  <c r="X142" i="2" s="1"/>
  <c r="N140" i="2"/>
  <c r="X140" i="2" s="1"/>
  <c r="N138" i="2"/>
  <c r="X138" i="2" s="1"/>
  <c r="N136" i="2"/>
  <c r="X136" i="2" s="1"/>
  <c r="N134" i="2"/>
  <c r="X134" i="2" s="1"/>
  <c r="N132" i="2"/>
  <c r="X132" i="2" s="1"/>
  <c r="N130" i="2"/>
  <c r="X130" i="2" s="1"/>
  <c r="X128" i="2"/>
  <c r="X157" i="2" s="1"/>
  <c r="K148" i="2"/>
  <c r="W148" i="2" s="1"/>
  <c r="K146" i="2"/>
  <c r="W146" i="2" s="1"/>
  <c r="K144" i="2"/>
  <c r="W144" i="2" s="1"/>
  <c r="K142" i="2"/>
  <c r="W142" i="2" s="1"/>
  <c r="K140" i="2"/>
  <c r="W140" i="2" s="1"/>
  <c r="K138" i="2"/>
  <c r="W138" i="2" s="1"/>
  <c r="K136" i="2"/>
  <c r="W136" i="2" s="1"/>
  <c r="K134" i="2"/>
  <c r="W134" i="2" s="1"/>
  <c r="K132" i="2"/>
  <c r="W132" i="2" s="1"/>
  <c r="K130" i="2"/>
  <c r="W130" i="2" s="1"/>
  <c r="W128" i="2"/>
  <c r="W157" i="2" s="1"/>
  <c r="J148" i="2"/>
  <c r="V148" i="2" s="1"/>
  <c r="J146" i="2"/>
  <c r="V146" i="2" s="1"/>
  <c r="J144" i="2"/>
  <c r="V144" i="2" s="1"/>
  <c r="J142" i="2"/>
  <c r="V142" i="2" s="1"/>
  <c r="J140" i="2"/>
  <c r="V140" i="2" s="1"/>
  <c r="J138" i="2"/>
  <c r="V138" i="2" s="1"/>
  <c r="J136" i="2"/>
  <c r="V136" i="2" s="1"/>
  <c r="J134" i="2"/>
  <c r="V134" i="2" s="1"/>
  <c r="J132" i="2"/>
  <c r="V132" i="2" s="1"/>
  <c r="J130" i="2"/>
  <c r="V130" i="2" s="1"/>
  <c r="I148" i="2"/>
  <c r="U148" i="2" s="1"/>
  <c r="I146" i="2"/>
  <c r="U146" i="2" s="1"/>
  <c r="I144" i="2"/>
  <c r="U144" i="2" s="1"/>
  <c r="I142" i="2"/>
  <c r="U142" i="2" s="1"/>
  <c r="I140" i="2"/>
  <c r="U140" i="2" s="1"/>
  <c r="I138" i="2"/>
  <c r="U138" i="2" s="1"/>
  <c r="I136" i="2"/>
  <c r="U136" i="2" s="1"/>
  <c r="I134" i="2"/>
  <c r="U134" i="2" s="1"/>
  <c r="I132" i="2"/>
  <c r="U132" i="2" s="1"/>
  <c r="I130" i="2"/>
  <c r="U130" i="2" s="1"/>
  <c r="H148" i="2"/>
  <c r="T148" i="2" s="1"/>
  <c r="H146" i="2"/>
  <c r="T146" i="2" s="1"/>
  <c r="H144" i="2"/>
  <c r="T144" i="2" s="1"/>
  <c r="H142" i="2"/>
  <c r="T142" i="2" s="1"/>
  <c r="H140" i="2"/>
  <c r="T140" i="2" s="1"/>
  <c r="H138" i="2"/>
  <c r="T138" i="2" s="1"/>
  <c r="H136" i="2"/>
  <c r="T136" i="2" s="1"/>
  <c r="H134" i="2"/>
  <c r="T134" i="2" s="1"/>
  <c r="H132" i="2"/>
  <c r="T132" i="2" s="1"/>
  <c r="H130" i="2"/>
  <c r="T130" i="2" s="1"/>
  <c r="G148" i="2"/>
  <c r="S148" i="2" s="1"/>
  <c r="G146" i="2"/>
  <c r="S146" i="2" s="1"/>
  <c r="G144" i="2"/>
  <c r="S144" i="2" s="1"/>
  <c r="G142" i="2"/>
  <c r="S142" i="2" s="1"/>
  <c r="G140" i="2"/>
  <c r="S140" i="2" s="1"/>
  <c r="G138" i="2"/>
  <c r="S138" i="2" s="1"/>
  <c r="G136" i="2"/>
  <c r="S136" i="2" s="1"/>
  <c r="G134" i="2"/>
  <c r="S134" i="2" s="1"/>
  <c r="S165" i="2" s="1"/>
  <c r="G132" i="2"/>
  <c r="S132" i="2" s="1"/>
  <c r="G130" i="2"/>
  <c r="S130" i="2" s="1"/>
  <c r="F148" i="2"/>
  <c r="R148" i="2" s="1"/>
  <c r="F146" i="2"/>
  <c r="R146" i="2" s="1"/>
  <c r="F144" i="2"/>
  <c r="R144" i="2" s="1"/>
  <c r="F142" i="2"/>
  <c r="R142" i="2" s="1"/>
  <c r="F140" i="2"/>
  <c r="R140" i="2" s="1"/>
  <c r="R171" i="2" s="1"/>
  <c r="F138" i="2"/>
  <c r="R138" i="2" s="1"/>
  <c r="R169" i="2" s="1"/>
  <c r="F136" i="2"/>
  <c r="R136" i="2" s="1"/>
  <c r="F134" i="2"/>
  <c r="R134" i="2" s="1"/>
  <c r="F132" i="2"/>
  <c r="R132" i="2" s="1"/>
  <c r="F130" i="2"/>
  <c r="R130" i="2" s="1"/>
  <c r="R159" i="2" s="1"/>
  <c r="R128" i="2"/>
  <c r="R157" i="2"/>
  <c r="E148" i="2"/>
  <c r="Q148" i="2" s="1"/>
  <c r="E146" i="2"/>
  <c r="Q146" i="2" s="1"/>
  <c r="E144" i="2"/>
  <c r="Q144" i="2" s="1"/>
  <c r="E142" i="2"/>
  <c r="Q142" i="2" s="1"/>
  <c r="E140" i="2"/>
  <c r="Q140" i="2" s="1"/>
  <c r="E138" i="2"/>
  <c r="Q138" i="2" s="1"/>
  <c r="E136" i="2"/>
  <c r="Q136" i="2" s="1"/>
  <c r="E134" i="2"/>
  <c r="Q134" i="2" s="1"/>
  <c r="E132" i="2"/>
  <c r="Q132" i="2" s="1"/>
  <c r="E130" i="2"/>
  <c r="Q130" i="2" s="1"/>
  <c r="A148" i="2"/>
  <c r="P148" i="2" s="1"/>
  <c r="A146" i="2"/>
  <c r="P146" i="2" s="1"/>
  <c r="A144" i="2"/>
  <c r="P144" i="2" s="1"/>
  <c r="A142" i="2"/>
  <c r="P142" i="2" s="1"/>
  <c r="P173" i="2"/>
  <c r="A140" i="2"/>
  <c r="P140" i="2" s="1"/>
  <c r="A138" i="2"/>
  <c r="P138" i="2" s="1"/>
  <c r="A136" i="2"/>
  <c r="P136" i="2" s="1"/>
  <c r="A134" i="2"/>
  <c r="P134" i="2" s="1"/>
  <c r="A132" i="2"/>
  <c r="P132" i="2" s="1"/>
  <c r="A130" i="2"/>
  <c r="P130" i="2" s="1"/>
  <c r="P128" i="2"/>
  <c r="P157" i="2" s="1"/>
  <c r="J1248" i="2"/>
  <c r="E1248" i="2"/>
  <c r="I1242" i="2"/>
  <c r="K1242" i="2" s="1"/>
  <c r="M1242" i="2" s="1"/>
  <c r="A1242" i="2"/>
  <c r="I1241" i="2"/>
  <c r="A1241" i="2"/>
  <c r="I1240" i="2"/>
  <c r="A1240" i="2"/>
  <c r="E1235" i="2"/>
  <c r="I1269" i="2" s="1"/>
  <c r="A1232" i="2"/>
  <c r="A1230" i="2"/>
  <c r="F1230" i="2" s="1"/>
  <c r="G1230" i="2" s="1"/>
  <c r="A1229" i="2"/>
  <c r="A1228" i="2"/>
  <c r="A1227" i="2"/>
  <c r="A1218" i="2"/>
  <c r="A1217" i="2"/>
  <c r="A1216" i="2"/>
  <c r="A1215" i="2"/>
  <c r="A1214" i="2"/>
  <c r="F1210" i="2"/>
  <c r="K1241" i="2" s="1"/>
  <c r="M1241" i="2" s="1"/>
  <c r="O1215" i="2"/>
  <c r="J239" i="1"/>
  <c r="J238" i="1"/>
  <c r="J237" i="1"/>
  <c r="J236" i="1"/>
  <c r="J235" i="1"/>
  <c r="J234" i="1"/>
  <c r="J233" i="1"/>
  <c r="J232" i="1"/>
  <c r="J231" i="1"/>
  <c r="J230" i="1"/>
  <c r="E239" i="1"/>
  <c r="E238" i="1"/>
  <c r="E237" i="1"/>
  <c r="E236" i="1"/>
  <c r="E235" i="1"/>
  <c r="E234" i="1"/>
  <c r="E233" i="1"/>
  <c r="E232" i="1"/>
  <c r="E231" i="1"/>
  <c r="E230" i="1"/>
  <c r="J229" i="1"/>
  <c r="E229" i="1"/>
  <c r="X130" i="1"/>
  <c r="X128" i="1"/>
  <c r="G72" i="1"/>
  <c r="G75" i="1"/>
  <c r="G77" i="1"/>
  <c r="G79" i="1"/>
  <c r="Q128" i="1"/>
  <c r="R128" i="1"/>
  <c r="S128" i="1"/>
  <c r="T128" i="1"/>
  <c r="U128" i="1"/>
  <c r="V128" i="1"/>
  <c r="P130" i="1"/>
  <c r="Q130" i="1"/>
  <c r="R130" i="1"/>
  <c r="S130" i="1"/>
  <c r="T130" i="1"/>
  <c r="U130" i="1"/>
  <c r="V130" i="1"/>
  <c r="W130" i="1"/>
  <c r="P132" i="1"/>
  <c r="Q132" i="1"/>
  <c r="R132" i="1"/>
  <c r="S132" i="1"/>
  <c r="T132" i="1"/>
  <c r="U132" i="1"/>
  <c r="V132" i="1"/>
  <c r="W132" i="1"/>
  <c r="X132" i="1"/>
  <c r="P134" i="1"/>
  <c r="Q134" i="1"/>
  <c r="R134" i="1"/>
  <c r="S134" i="1"/>
  <c r="T134" i="1"/>
  <c r="U134" i="1"/>
  <c r="V134" i="1"/>
  <c r="W134" i="1"/>
  <c r="X134" i="1"/>
  <c r="P136" i="1"/>
  <c r="Q136" i="1"/>
  <c r="R136" i="1"/>
  <c r="S136" i="1"/>
  <c r="T136" i="1"/>
  <c r="U136" i="1"/>
  <c r="V136" i="1"/>
  <c r="W136" i="1"/>
  <c r="X136" i="1"/>
  <c r="P138" i="1"/>
  <c r="Q138" i="1"/>
  <c r="R138" i="1"/>
  <c r="S138" i="1"/>
  <c r="T138" i="1"/>
  <c r="U138" i="1"/>
  <c r="V138" i="1"/>
  <c r="W138" i="1"/>
  <c r="X138" i="1"/>
  <c r="P140" i="1"/>
  <c r="Q140" i="1"/>
  <c r="R140" i="1"/>
  <c r="S140" i="1"/>
  <c r="T140" i="1"/>
  <c r="U140" i="1"/>
  <c r="V140" i="1"/>
  <c r="W140" i="1"/>
  <c r="X140" i="1"/>
  <c r="P142" i="1"/>
  <c r="Q142" i="1"/>
  <c r="R142" i="1"/>
  <c r="S142" i="1"/>
  <c r="T142" i="1"/>
  <c r="U142" i="1"/>
  <c r="V142" i="1"/>
  <c r="W142" i="1"/>
  <c r="X142" i="1"/>
  <c r="P144" i="1"/>
  <c r="Q144" i="1"/>
  <c r="R144" i="1"/>
  <c r="S144" i="1"/>
  <c r="T144" i="1"/>
  <c r="U144" i="1"/>
  <c r="V144" i="1"/>
  <c r="W144" i="1"/>
  <c r="X144" i="1"/>
  <c r="P146" i="1"/>
  <c r="Q146" i="1"/>
  <c r="R146" i="1"/>
  <c r="S146" i="1"/>
  <c r="T146" i="1"/>
  <c r="U146" i="1"/>
  <c r="V146" i="1"/>
  <c r="W146" i="1"/>
  <c r="X146" i="1"/>
  <c r="P148" i="1"/>
  <c r="Q148" i="1"/>
  <c r="R148" i="1"/>
  <c r="S148" i="1"/>
  <c r="T148" i="1"/>
  <c r="U148" i="1"/>
  <c r="V148" i="1"/>
  <c r="W148" i="1"/>
  <c r="X148" i="1"/>
  <c r="A173" i="1"/>
  <c r="A174" i="1"/>
  <c r="A175" i="1"/>
  <c r="A176" i="1"/>
  <c r="A177" i="1"/>
  <c r="A186" i="1"/>
  <c r="A187" i="1"/>
  <c r="A188" i="1"/>
  <c r="A189" i="1"/>
  <c r="A191" i="1"/>
  <c r="A199" i="1"/>
  <c r="I199" i="1"/>
  <c r="A200" i="1"/>
  <c r="I200" i="1"/>
  <c r="A201" i="1"/>
  <c r="I201" i="1"/>
  <c r="F214" i="1"/>
  <c r="G214" i="1" s="1"/>
  <c r="L214" i="1"/>
  <c r="F215" i="1"/>
  <c r="G215" i="1" s="1"/>
  <c r="L215" i="1"/>
  <c r="F216" i="1"/>
  <c r="G216" i="1" s="1"/>
  <c r="L216" i="1"/>
  <c r="F217" i="1"/>
  <c r="G217" i="1" s="1"/>
  <c r="L217" i="1"/>
  <c r="F218" i="1"/>
  <c r="G218" i="1" s="1"/>
  <c r="L218" i="1"/>
  <c r="F219" i="1"/>
  <c r="G219" i="1" s="1"/>
  <c r="L219" i="1"/>
  <c r="A276" i="1"/>
  <c r="A277" i="1"/>
  <c r="A278" i="1"/>
  <c r="A279" i="1"/>
  <c r="A280" i="1"/>
  <c r="A289" i="1"/>
  <c r="A290" i="1"/>
  <c r="A291" i="1"/>
  <c r="A292" i="1"/>
  <c r="A294" i="1"/>
  <c r="A302" i="1"/>
  <c r="I302" i="1"/>
  <c r="A303" i="1"/>
  <c r="I303" i="1"/>
  <c r="A304" i="1"/>
  <c r="I304" i="1"/>
  <c r="F316" i="1"/>
  <c r="G316" i="1" s="1"/>
  <c r="L316" i="1"/>
  <c r="F318" i="1"/>
  <c r="G318" i="1" s="1"/>
  <c r="L318" i="1"/>
  <c r="F319" i="1"/>
  <c r="G319" i="1" s="1"/>
  <c r="L319" i="1"/>
  <c r="F320" i="1"/>
  <c r="G320" i="1" s="1"/>
  <c r="L320" i="1"/>
  <c r="F321" i="1"/>
  <c r="G321" i="1" s="1"/>
  <c r="L321" i="1"/>
  <c r="F322" i="1"/>
  <c r="G322" i="1" s="1"/>
  <c r="L322" i="1"/>
  <c r="A379" i="1"/>
  <c r="A380" i="1"/>
  <c r="A381" i="1"/>
  <c r="A382" i="1"/>
  <c r="A383" i="1"/>
  <c r="A392" i="1"/>
  <c r="A393" i="1"/>
  <c r="A394" i="1"/>
  <c r="A395" i="1"/>
  <c r="A397" i="1"/>
  <c r="A405" i="1"/>
  <c r="I405" i="1"/>
  <c r="A406" i="1"/>
  <c r="I406" i="1"/>
  <c r="A407" i="1"/>
  <c r="I407" i="1"/>
  <c r="F418" i="1"/>
  <c r="G418" i="1" s="1"/>
  <c r="L418" i="1"/>
  <c r="F419" i="1"/>
  <c r="G419" i="1" s="1"/>
  <c r="L419" i="1"/>
  <c r="F421" i="1"/>
  <c r="G421" i="1" s="1"/>
  <c r="L421" i="1"/>
  <c r="F422" i="1"/>
  <c r="G422" i="1" s="1"/>
  <c r="L422" i="1"/>
  <c r="F423" i="1"/>
  <c r="G423" i="1" s="1"/>
  <c r="L423" i="1"/>
  <c r="F424" i="1"/>
  <c r="G424" i="1" s="1"/>
  <c r="L424" i="1"/>
  <c r="F425" i="1"/>
  <c r="G425" i="1" s="1"/>
  <c r="L425" i="1"/>
  <c r="A482" i="1"/>
  <c r="A483" i="1"/>
  <c r="A484" i="1"/>
  <c r="A485" i="1"/>
  <c r="A486" i="1"/>
  <c r="A495" i="1"/>
  <c r="A496" i="1"/>
  <c r="A497" i="1"/>
  <c r="A498" i="1"/>
  <c r="A500" i="1"/>
  <c r="A508" i="1"/>
  <c r="I508" i="1"/>
  <c r="A509" i="1"/>
  <c r="I509" i="1"/>
  <c r="A510" i="1"/>
  <c r="I510" i="1"/>
  <c r="F521" i="1"/>
  <c r="G521" i="1" s="1"/>
  <c r="L521" i="1"/>
  <c r="F522" i="1"/>
  <c r="G522" i="1" s="1"/>
  <c r="L522" i="1"/>
  <c r="F523" i="1"/>
  <c r="G523" i="1" s="1"/>
  <c r="L523" i="1"/>
  <c r="F524" i="1"/>
  <c r="G524" i="1" s="1"/>
  <c r="L524" i="1"/>
  <c r="F525" i="1"/>
  <c r="G525" i="1" s="1"/>
  <c r="L525" i="1"/>
  <c r="F526" i="1"/>
  <c r="G526" i="1" s="1"/>
  <c r="L526" i="1"/>
  <c r="F527" i="1"/>
  <c r="G527" i="1" s="1"/>
  <c r="L527" i="1"/>
  <c r="F528" i="1"/>
  <c r="G528" i="1" s="1"/>
  <c r="L528" i="1"/>
  <c r="A585" i="1"/>
  <c r="A586" i="1"/>
  <c r="A587" i="1"/>
  <c r="A588" i="1"/>
  <c r="A589" i="1"/>
  <c r="A598" i="1"/>
  <c r="A599" i="1"/>
  <c r="A600" i="1"/>
  <c r="A601" i="1"/>
  <c r="A603" i="1"/>
  <c r="A611" i="1"/>
  <c r="I611" i="1"/>
  <c r="A612" i="1"/>
  <c r="I612" i="1"/>
  <c r="A613" i="1"/>
  <c r="I613" i="1"/>
  <c r="F624" i="1"/>
  <c r="G624" i="1" s="1"/>
  <c r="L624" i="1"/>
  <c r="F625" i="1"/>
  <c r="G625" i="1" s="1"/>
  <c r="L625" i="1"/>
  <c r="F626" i="1"/>
  <c r="G626" i="1" s="1"/>
  <c r="L626" i="1"/>
  <c r="F627" i="1"/>
  <c r="G627" i="1" s="1"/>
  <c r="L627" i="1"/>
  <c r="F628" i="1"/>
  <c r="G628" i="1" s="1"/>
  <c r="L628" i="1"/>
  <c r="F629" i="1"/>
  <c r="G629" i="1" s="1"/>
  <c r="L629" i="1"/>
  <c r="F630" i="1"/>
  <c r="G630" i="1" s="1"/>
  <c r="L630" i="1"/>
  <c r="F631" i="1"/>
  <c r="G631" i="1" s="1"/>
  <c r="L631" i="1"/>
  <c r="A688" i="1"/>
  <c r="A689" i="1"/>
  <c r="A690" i="1"/>
  <c r="A691" i="1"/>
  <c r="A692" i="1"/>
  <c r="A701" i="1"/>
  <c r="A702" i="1"/>
  <c r="A703" i="1"/>
  <c r="A704" i="1"/>
  <c r="A706" i="1"/>
  <c r="A714" i="1"/>
  <c r="I714" i="1"/>
  <c r="A715" i="1"/>
  <c r="I715" i="1"/>
  <c r="A716" i="1"/>
  <c r="I716" i="1"/>
  <c r="F727" i="1"/>
  <c r="G727" i="1" s="1"/>
  <c r="L727" i="1"/>
  <c r="F728" i="1"/>
  <c r="G728" i="1" s="1"/>
  <c r="L728" i="1"/>
  <c r="F729" i="1"/>
  <c r="G729" i="1" s="1"/>
  <c r="L729" i="1"/>
  <c r="F730" i="1"/>
  <c r="G730" i="1" s="1"/>
  <c r="L730" i="1"/>
  <c r="F731" i="1"/>
  <c r="G731" i="1" s="1"/>
  <c r="L731" i="1"/>
  <c r="F732" i="1"/>
  <c r="G732" i="1" s="1"/>
  <c r="L732" i="1"/>
  <c r="F733" i="1"/>
  <c r="G733" i="1" s="1"/>
  <c r="L733" i="1"/>
  <c r="F734" i="1"/>
  <c r="G734" i="1" s="1"/>
  <c r="L734" i="1"/>
  <c r="A791" i="1"/>
  <c r="A792" i="1"/>
  <c r="A793" i="1"/>
  <c r="A794" i="1"/>
  <c r="A795" i="1"/>
  <c r="A804" i="1"/>
  <c r="A805" i="1"/>
  <c r="A806" i="1"/>
  <c r="A807" i="1"/>
  <c r="A809" i="1"/>
  <c r="A817" i="1"/>
  <c r="I817" i="1"/>
  <c r="A818" i="1"/>
  <c r="I818" i="1"/>
  <c r="A819" i="1"/>
  <c r="I819" i="1"/>
  <c r="F830" i="1"/>
  <c r="G830" i="1" s="1"/>
  <c r="L830" i="1"/>
  <c r="F831" i="1"/>
  <c r="G831" i="1" s="1"/>
  <c r="L831" i="1"/>
  <c r="F832" i="1"/>
  <c r="G832" i="1" s="1"/>
  <c r="L832" i="1"/>
  <c r="F833" i="1"/>
  <c r="G833" i="1" s="1"/>
  <c r="L833" i="1"/>
  <c r="F834" i="1"/>
  <c r="G834" i="1" s="1"/>
  <c r="L834" i="1"/>
  <c r="F835" i="1"/>
  <c r="G835" i="1" s="1"/>
  <c r="L835" i="1"/>
  <c r="F836" i="1"/>
  <c r="G836" i="1" s="1"/>
  <c r="L836" i="1"/>
  <c r="F837" i="1"/>
  <c r="G837" i="1" s="1"/>
  <c r="L837" i="1"/>
  <c r="A894" i="1"/>
  <c r="A895" i="1"/>
  <c r="A896" i="1"/>
  <c r="A897" i="1"/>
  <c r="A898" i="1"/>
  <c r="A907" i="1"/>
  <c r="A908" i="1"/>
  <c r="A909" i="1"/>
  <c r="A910" i="1"/>
  <c r="A912" i="1"/>
  <c r="A920" i="1"/>
  <c r="I920" i="1"/>
  <c r="A921" i="1"/>
  <c r="I921" i="1"/>
  <c r="A922" i="1"/>
  <c r="I922" i="1"/>
  <c r="F933" i="1"/>
  <c r="G933" i="1" s="1"/>
  <c r="L933" i="1"/>
  <c r="F934" i="1"/>
  <c r="G934" i="1" s="1"/>
  <c r="L934" i="1"/>
  <c r="F935" i="1"/>
  <c r="G935" i="1" s="1"/>
  <c r="L935" i="1"/>
  <c r="F936" i="1"/>
  <c r="G936" i="1" s="1"/>
  <c r="L936" i="1"/>
  <c r="F937" i="1"/>
  <c r="G937" i="1" s="1"/>
  <c r="L937" i="1"/>
  <c r="F938" i="1"/>
  <c r="G938" i="1" s="1"/>
  <c r="L938" i="1"/>
  <c r="F939" i="1"/>
  <c r="G939" i="1" s="1"/>
  <c r="L939" i="1"/>
  <c r="F940" i="1"/>
  <c r="G940" i="1" s="1"/>
  <c r="L940" i="1"/>
  <c r="A997" i="1"/>
  <c r="A998" i="1"/>
  <c r="A999" i="1"/>
  <c r="A1000" i="1"/>
  <c r="A1001" i="1"/>
  <c r="A1010" i="1"/>
  <c r="A1011" i="1"/>
  <c r="A1012" i="1"/>
  <c r="A1013" i="1"/>
  <c r="A1015" i="1"/>
  <c r="A1023" i="1"/>
  <c r="I1023" i="1"/>
  <c r="A1024" i="1"/>
  <c r="I1024" i="1"/>
  <c r="A1025" i="1"/>
  <c r="I1025" i="1"/>
  <c r="F1036" i="1"/>
  <c r="G1036" i="1" s="1"/>
  <c r="L1036" i="1"/>
  <c r="F1037" i="1"/>
  <c r="G1037" i="1" s="1"/>
  <c r="L1037" i="1"/>
  <c r="F1038" i="1"/>
  <c r="G1038" i="1" s="1"/>
  <c r="L1038" i="1"/>
  <c r="F1039" i="1"/>
  <c r="G1039" i="1" s="1"/>
  <c r="L1039" i="1"/>
  <c r="F1040" i="1"/>
  <c r="G1040" i="1" s="1"/>
  <c r="L1040" i="1"/>
  <c r="F1041" i="1"/>
  <c r="G1041" i="1" s="1"/>
  <c r="L1041" i="1"/>
  <c r="F1042" i="1"/>
  <c r="G1042" i="1" s="1"/>
  <c r="L1042" i="1"/>
  <c r="F1043" i="1"/>
  <c r="G1043" i="1" s="1"/>
  <c r="L1043" i="1"/>
  <c r="O1215" i="1"/>
  <c r="F1210" i="1"/>
  <c r="F1226" i="1" s="1"/>
  <c r="A1214" i="1"/>
  <c r="A1215" i="1"/>
  <c r="A1216" i="1"/>
  <c r="A1217" i="1"/>
  <c r="A1218" i="1"/>
  <c r="A1227" i="1"/>
  <c r="A1228" i="1"/>
  <c r="A1229" i="1"/>
  <c r="A1230" i="1"/>
  <c r="F1230" i="1" s="1"/>
  <c r="A1232" i="1"/>
  <c r="E1235" i="1"/>
  <c r="K1251" i="1" s="1"/>
  <c r="A1240" i="1"/>
  <c r="I1240" i="1"/>
  <c r="A1241" i="1"/>
  <c r="I1241" i="1"/>
  <c r="A1242" i="1"/>
  <c r="I1242" i="1"/>
  <c r="K1242" i="1" s="1"/>
  <c r="M1242" i="1" s="1"/>
  <c r="E1248" i="1"/>
  <c r="J1248" i="1"/>
  <c r="F317" i="1"/>
  <c r="G317" i="1" s="1"/>
  <c r="L317" i="1"/>
  <c r="W128" i="1"/>
  <c r="F1242" i="2"/>
  <c r="G1242" i="2" s="1"/>
  <c r="F1241" i="2"/>
  <c r="G1241" i="2" s="1"/>
  <c r="F1240" i="2"/>
  <c r="G1240" i="2" s="1"/>
  <c r="F1231" i="2"/>
  <c r="G1231" i="2" s="1"/>
  <c r="F1228" i="2"/>
  <c r="G1228" i="2"/>
  <c r="F1226" i="2"/>
  <c r="G1226" i="2"/>
  <c r="F1215" i="2"/>
  <c r="G1215" i="2"/>
  <c r="F1213" i="2"/>
  <c r="G1213" i="2" s="1"/>
  <c r="G1222" i="2" s="1"/>
  <c r="F1217" i="2"/>
  <c r="G1217" i="2" s="1"/>
  <c r="F1227" i="2"/>
  <c r="G1227" i="2" s="1"/>
  <c r="F1229" i="2"/>
  <c r="G1229" i="2" s="1"/>
  <c r="F1239" i="2"/>
  <c r="G1239" i="2"/>
  <c r="K1251" i="2"/>
  <c r="P1251" i="2"/>
  <c r="T1251" i="2"/>
  <c r="X1251" i="2"/>
  <c r="AB1251" i="2"/>
  <c r="I1252" i="2"/>
  <c r="N1252" i="2"/>
  <c r="R1252" i="2"/>
  <c r="V1252" i="2"/>
  <c r="Z1252" i="2"/>
  <c r="AD1252" i="2"/>
  <c r="K1253" i="2"/>
  <c r="P1253" i="2"/>
  <c r="T1253" i="2"/>
  <c r="X1253" i="2"/>
  <c r="AB1253" i="2"/>
  <c r="I1254" i="2"/>
  <c r="N1254" i="2"/>
  <c r="R1254" i="2"/>
  <c r="V1254" i="2"/>
  <c r="Z1254" i="2"/>
  <c r="AD1254" i="2"/>
  <c r="K1255" i="2"/>
  <c r="P1255" i="2"/>
  <c r="T1255" i="2"/>
  <c r="X1255" i="2"/>
  <c r="AB1255" i="2"/>
  <c r="I1256" i="2"/>
  <c r="N1256" i="2"/>
  <c r="R1256" i="2"/>
  <c r="R1260" i="2" s="1"/>
  <c r="V1256" i="2"/>
  <c r="Z1256" i="2"/>
  <c r="AD1256" i="2"/>
  <c r="K1257" i="2"/>
  <c r="P1257" i="2"/>
  <c r="T1257" i="2"/>
  <c r="X1257" i="2"/>
  <c r="AB1257" i="2"/>
  <c r="K1263" i="2"/>
  <c r="K1264" i="2"/>
  <c r="K1265" i="2"/>
  <c r="K1266" i="2"/>
  <c r="K1267" i="2"/>
  <c r="K1268" i="2"/>
  <c r="K1269" i="2"/>
  <c r="K1270" i="2"/>
  <c r="K1240" i="2"/>
  <c r="M1240" i="2"/>
  <c r="N1251" i="2"/>
  <c r="AD1251" i="2"/>
  <c r="AD1260" i="2" s="1"/>
  <c r="X1252" i="2"/>
  <c r="R1253" i="2"/>
  <c r="K1254" i="2"/>
  <c r="AB1254" i="2"/>
  <c r="V1255" i="2"/>
  <c r="P1256" i="2"/>
  <c r="I1257" i="2"/>
  <c r="Z1257" i="2"/>
  <c r="I1266" i="2"/>
  <c r="V1251" i="2"/>
  <c r="P1252" i="2"/>
  <c r="I1253" i="2"/>
  <c r="Z1253" i="2"/>
  <c r="T1254" i="2"/>
  <c r="N1255" i="2"/>
  <c r="AD1255" i="2"/>
  <c r="X1256" i="2"/>
  <c r="R1257" i="2"/>
  <c r="I1264" i="2"/>
  <c r="I1270" i="2" s="1"/>
  <c r="I1268" i="2"/>
  <c r="AU128" i="2"/>
  <c r="AU157" i="2" s="1"/>
  <c r="H1215" i="2"/>
  <c r="H1213" i="2"/>
  <c r="H1222" i="2" s="1"/>
  <c r="G1246" i="2"/>
  <c r="G1233" i="2"/>
  <c r="H1217" i="2"/>
  <c r="F1216" i="2"/>
  <c r="H1216" i="2" s="1"/>
  <c r="F1218" i="2"/>
  <c r="H1218" i="2" s="1"/>
  <c r="F1232" i="2"/>
  <c r="G1232" i="2" s="1"/>
  <c r="K1239" i="2"/>
  <c r="I1251" i="2"/>
  <c r="R1251" i="2"/>
  <c r="Z1251" i="2"/>
  <c r="K1252" i="2"/>
  <c r="T1252" i="2"/>
  <c r="T1260" i="2" s="1"/>
  <c r="AB1252" i="2"/>
  <c r="N1253" i="2"/>
  <c r="V1253" i="2"/>
  <c r="AD1253" i="2"/>
  <c r="P1254" i="2"/>
  <c r="X1254" i="2"/>
  <c r="X1260" i="2" s="1"/>
  <c r="I1255" i="2"/>
  <c r="R1255" i="2"/>
  <c r="Z1255" i="2"/>
  <c r="Z1260" i="2" s="1"/>
  <c r="K1256" i="2"/>
  <c r="T1256" i="2"/>
  <c r="AB1256" i="2"/>
  <c r="N1257" i="2"/>
  <c r="V1257" i="2"/>
  <c r="AD1257" i="2"/>
  <c r="I1263" i="2"/>
  <c r="I1265" i="2"/>
  <c r="I1267" i="2"/>
  <c r="P128" i="1"/>
  <c r="K1260" i="2"/>
  <c r="M1239" i="2"/>
  <c r="M1246" i="2"/>
  <c r="G1218" i="2"/>
  <c r="F1231" i="1" l="1"/>
  <c r="G1231" i="1" s="1"/>
  <c r="K1241" i="1"/>
  <c r="F1241" i="1"/>
  <c r="G1241" i="1" s="1"/>
  <c r="F1227" i="1"/>
  <c r="F1229" i="1"/>
  <c r="G1229" i="1" s="1"/>
  <c r="K1240" i="1"/>
  <c r="M1240" i="1" s="1"/>
  <c r="F1214" i="2"/>
  <c r="G1214" i="2" s="1"/>
  <c r="G1216" i="2"/>
  <c r="V1260" i="2"/>
  <c r="I1268" i="1"/>
  <c r="AB1260" i="2"/>
  <c r="N1260" i="2"/>
  <c r="I1260" i="2"/>
  <c r="AN136" i="2"/>
  <c r="AX136" i="2" s="1"/>
  <c r="AX159" i="2"/>
  <c r="AX177" i="2"/>
  <c r="AN138" i="2"/>
  <c r="AX138" i="2" s="1"/>
  <c r="AX165" i="2"/>
  <c r="AN140" i="2"/>
  <c r="AX140" i="2" s="1"/>
  <c r="AX167" i="2"/>
  <c r="AX130" i="1"/>
  <c r="AX140" i="1"/>
  <c r="I165" i="1"/>
  <c r="G45" i="1" s="1"/>
  <c r="F684" i="1" s="1"/>
  <c r="AN130" i="2"/>
  <c r="AX130" i="2" s="1"/>
  <c r="AN142" i="2"/>
  <c r="AX142" i="2" s="1"/>
  <c r="AX169" i="2"/>
  <c r="AX142" i="1"/>
  <c r="AN132" i="2"/>
  <c r="AX132" i="2" s="1"/>
  <c r="AN144" i="2"/>
  <c r="AX144" i="2" s="1"/>
  <c r="AX171" i="2"/>
  <c r="AX132" i="1"/>
  <c r="AX144" i="1"/>
  <c r="AN134" i="2"/>
  <c r="AX134" i="2" s="1"/>
  <c r="AN146" i="2"/>
  <c r="AX146" i="2" s="1"/>
  <c r="AX173" i="2"/>
  <c r="AX134" i="1"/>
  <c r="AX146" i="1"/>
  <c r="F150" i="1"/>
  <c r="AM163" i="1"/>
  <c r="A165" i="1"/>
  <c r="G20" i="1" s="1"/>
  <c r="F169" i="1" s="1"/>
  <c r="O157" i="1"/>
  <c r="T181" i="1"/>
  <c r="S181" i="1"/>
  <c r="E241" i="1"/>
  <c r="N165" i="1"/>
  <c r="G60" i="1" s="1"/>
  <c r="F993" i="1" s="1"/>
  <c r="J241" i="1"/>
  <c r="I1263" i="1"/>
  <c r="P1253" i="1"/>
  <c r="T1252" i="1"/>
  <c r="AJ165" i="1"/>
  <c r="G52" i="1" s="1"/>
  <c r="F787" i="2" s="1"/>
  <c r="F819" i="2" s="1"/>
  <c r="G819" i="2" s="1"/>
  <c r="G165" i="1"/>
  <c r="G35" i="1" s="1"/>
  <c r="F478" i="1" s="1"/>
  <c r="H165" i="1"/>
  <c r="G40" i="1" s="1"/>
  <c r="F581" i="1" s="1"/>
  <c r="F1218" i="1"/>
  <c r="F1214" i="1"/>
  <c r="H1214" i="1" s="1"/>
  <c r="F1240" i="1"/>
  <c r="G1240" i="1" s="1"/>
  <c r="F1213" i="1"/>
  <c r="J150" i="2"/>
  <c r="K1239" i="1"/>
  <c r="M1239" i="1" s="1"/>
  <c r="F1217" i="1"/>
  <c r="H1217" i="1" s="1"/>
  <c r="A150" i="1"/>
  <c r="F1239" i="1"/>
  <c r="G1239" i="1" s="1"/>
  <c r="F1232" i="1"/>
  <c r="G1232" i="1" s="1"/>
  <c r="F1216" i="1"/>
  <c r="AL165" i="1"/>
  <c r="G62" i="1" s="1"/>
  <c r="F993" i="2" s="1"/>
  <c r="A150" i="2"/>
  <c r="AW181" i="1"/>
  <c r="F1242" i="1"/>
  <c r="G1242" i="1" s="1"/>
  <c r="AB1254" i="1"/>
  <c r="AS146" i="1"/>
  <c r="G1216" i="1"/>
  <c r="H1216" i="1"/>
  <c r="G1226" i="1"/>
  <c r="Q181" i="1"/>
  <c r="G1217" i="1"/>
  <c r="W181" i="2"/>
  <c r="K150" i="2"/>
  <c r="AG130" i="2"/>
  <c r="AS130" i="2" s="1"/>
  <c r="AG140" i="2"/>
  <c r="AS140" i="2" s="1"/>
  <c r="AS161" i="2"/>
  <c r="AS179" i="2"/>
  <c r="AS134" i="1"/>
  <c r="AS165" i="1" s="1"/>
  <c r="AS144" i="1"/>
  <c r="AH165" i="1"/>
  <c r="G42" i="1" s="1"/>
  <c r="F581" i="2" s="1"/>
  <c r="F588" i="2" s="1"/>
  <c r="AK165" i="1"/>
  <c r="G57" i="1" s="1"/>
  <c r="F890" i="2" s="1"/>
  <c r="F908" i="2" s="1"/>
  <c r="G908" i="2" s="1"/>
  <c r="AF150" i="2"/>
  <c r="W212" i="1"/>
  <c r="G1230" i="1"/>
  <c r="AG132" i="2"/>
  <c r="AS132" i="2" s="1"/>
  <c r="AG142" i="2"/>
  <c r="AS142" i="2" s="1"/>
  <c r="AS167" i="2"/>
  <c r="AJ150" i="2"/>
  <c r="AS136" i="1"/>
  <c r="AS148" i="1"/>
  <c r="U181" i="1"/>
  <c r="I150" i="2"/>
  <c r="F1228" i="1"/>
  <c r="G1228" i="1" s="1"/>
  <c r="N1255" i="1"/>
  <c r="F1215" i="1"/>
  <c r="G1215" i="1" s="1"/>
  <c r="AG144" i="2"/>
  <c r="AS144" i="2" s="1"/>
  <c r="AS169" i="2"/>
  <c r="AP181" i="1"/>
  <c r="AS138" i="1"/>
  <c r="AF150" i="1"/>
  <c r="F150" i="2"/>
  <c r="AG134" i="2"/>
  <c r="AS134" i="2" s="1"/>
  <c r="AS165" i="2" s="1"/>
  <c r="AG146" i="2"/>
  <c r="AS146" i="2" s="1"/>
  <c r="AS171" i="2"/>
  <c r="AS128" i="1"/>
  <c r="AS157" i="1" s="1"/>
  <c r="AS140" i="1"/>
  <c r="AQ181" i="2"/>
  <c r="AG136" i="2"/>
  <c r="AS136" i="2" s="1"/>
  <c r="AS173" i="2"/>
  <c r="AS130" i="1"/>
  <c r="AJ150" i="1"/>
  <c r="AK150" i="2"/>
  <c r="R181" i="1"/>
  <c r="G1227" i="1"/>
  <c r="V212" i="1"/>
  <c r="P181" i="1"/>
  <c r="U212" i="1"/>
  <c r="AE150" i="2"/>
  <c r="AG138" i="2"/>
  <c r="AS138" i="2" s="1"/>
  <c r="AG148" i="2"/>
  <c r="AS148" i="2" s="1"/>
  <c r="AS175" i="2"/>
  <c r="AS132" i="1"/>
  <c r="AS142" i="1"/>
  <c r="AA150" i="2"/>
  <c r="AS157" i="2"/>
  <c r="AS159" i="2"/>
  <c r="AS177" i="2"/>
  <c r="G150" i="2"/>
  <c r="T212" i="1"/>
  <c r="G150" i="1"/>
  <c r="K1267" i="1"/>
  <c r="V181" i="1"/>
  <c r="AA150" i="1"/>
  <c r="H150" i="1"/>
  <c r="X212" i="1"/>
  <c r="H150" i="2"/>
  <c r="X1252" i="1"/>
  <c r="N1254" i="1"/>
  <c r="K1264" i="1"/>
  <c r="K1266" i="1"/>
  <c r="AB1255" i="1"/>
  <c r="N1253" i="1"/>
  <c r="Z1251" i="1"/>
  <c r="Q181" i="2"/>
  <c r="V181" i="2"/>
  <c r="X181" i="2"/>
  <c r="AP181" i="2"/>
  <c r="AR181" i="2"/>
  <c r="AH134" i="2"/>
  <c r="AT134" i="2" s="1"/>
  <c r="AH144" i="2"/>
  <c r="AT144" i="2" s="1"/>
  <c r="AT171" i="2"/>
  <c r="AU181" i="2"/>
  <c r="AW181" i="2"/>
  <c r="AT146" i="1"/>
  <c r="AT128" i="1"/>
  <c r="AT148" i="1"/>
  <c r="AH128" i="2"/>
  <c r="AT128" i="2" s="1"/>
  <c r="AT157" i="2" s="1"/>
  <c r="X1254" i="1"/>
  <c r="R1252" i="1"/>
  <c r="AB1257" i="1"/>
  <c r="K1252" i="1"/>
  <c r="W181" i="1"/>
  <c r="AH136" i="2"/>
  <c r="AT136" i="2" s="1"/>
  <c r="AH148" i="2"/>
  <c r="AT148" i="2" s="1"/>
  <c r="AT175" i="2"/>
  <c r="AT138" i="1"/>
  <c r="AT132" i="1"/>
  <c r="AE165" i="1"/>
  <c r="G27" i="1" s="1"/>
  <c r="F272" i="2" s="1"/>
  <c r="F292" i="2" s="1"/>
  <c r="G292" i="2" s="1"/>
  <c r="K1256" i="1"/>
  <c r="K1255" i="1"/>
  <c r="K165" i="1"/>
  <c r="G55" i="1" s="1"/>
  <c r="F890" i="1" s="1"/>
  <c r="P1255" i="1"/>
  <c r="Z1256" i="1"/>
  <c r="I1253" i="1"/>
  <c r="X1257" i="1"/>
  <c r="Z1254" i="1"/>
  <c r="AB1251" i="1"/>
  <c r="AH138" i="2"/>
  <c r="AT138" i="2" s="1"/>
  <c r="AT159" i="2"/>
  <c r="AT177" i="2"/>
  <c r="AT136" i="1"/>
  <c r="AK150" i="1"/>
  <c r="E150" i="1"/>
  <c r="N1257" i="1"/>
  <c r="X1251" i="1"/>
  <c r="T1257" i="1"/>
  <c r="V1254" i="1"/>
  <c r="V1251" i="1"/>
  <c r="AH140" i="2"/>
  <c r="AT140" i="2" s="1"/>
  <c r="AT161" i="2"/>
  <c r="AT179" i="2"/>
  <c r="AT134" i="1"/>
  <c r="AT140" i="1"/>
  <c r="AD1257" i="1"/>
  <c r="P1252" i="1"/>
  <c r="X1256" i="1"/>
  <c r="AD1253" i="1"/>
  <c r="AH130" i="2"/>
  <c r="AT130" i="2" s="1"/>
  <c r="AT165" i="2"/>
  <c r="AQ181" i="1"/>
  <c r="AR181" i="1"/>
  <c r="AV181" i="1"/>
  <c r="P181" i="2"/>
  <c r="Z1253" i="1"/>
  <c r="K1269" i="1"/>
  <c r="X1253" i="1"/>
  <c r="I1269" i="1"/>
  <c r="T1256" i="1"/>
  <c r="AB1253" i="1"/>
  <c r="L736" i="1"/>
  <c r="AH132" i="2"/>
  <c r="AT132" i="2" s="1"/>
  <c r="AH142" i="2"/>
  <c r="AT142" i="2" s="1"/>
  <c r="AT167" i="2"/>
  <c r="AT130" i="1"/>
  <c r="AT144" i="1"/>
  <c r="K150" i="1"/>
  <c r="I1255" i="1"/>
  <c r="T1251" i="1"/>
  <c r="X1255" i="1"/>
  <c r="I1256" i="1"/>
  <c r="R1253" i="1"/>
  <c r="L942" i="1"/>
  <c r="AT169" i="2"/>
  <c r="P212" i="1"/>
  <c r="U181" i="2"/>
  <c r="G633" i="2"/>
  <c r="AV181" i="2"/>
  <c r="L839" i="2"/>
  <c r="X181" i="1"/>
  <c r="I1254" i="1"/>
  <c r="I1266" i="1"/>
  <c r="T1255" i="1"/>
  <c r="AD1252" i="1"/>
  <c r="I1251" i="1"/>
  <c r="K1268" i="1"/>
  <c r="Z1257" i="1"/>
  <c r="N1256" i="1"/>
  <c r="AD1254" i="1"/>
  <c r="V1253" i="1"/>
  <c r="AD1251" i="1"/>
  <c r="S181" i="2"/>
  <c r="T181" i="2"/>
  <c r="AI165" i="1"/>
  <c r="G47" i="1" s="1"/>
  <c r="F684" i="2" s="1"/>
  <c r="L633" i="2"/>
  <c r="L942" i="2"/>
  <c r="J165" i="1"/>
  <c r="G50" i="1" s="1"/>
  <c r="F787" i="1" s="1"/>
  <c r="AU181" i="1"/>
  <c r="R212" i="1"/>
  <c r="R1256" i="1"/>
  <c r="AD1255" i="1"/>
  <c r="N1252" i="1"/>
  <c r="R1257" i="1"/>
  <c r="P1256" i="1"/>
  <c r="R1254" i="1"/>
  <c r="K1265" i="1"/>
  <c r="P1257" i="1"/>
  <c r="Z1255" i="1"/>
  <c r="T1254" i="1"/>
  <c r="K1253" i="1"/>
  <c r="R1251" i="1"/>
  <c r="L1045" i="2"/>
  <c r="S212" i="1"/>
  <c r="P1251" i="1"/>
  <c r="AB1252" i="1"/>
  <c r="K1263" i="1"/>
  <c r="AD1256" i="1"/>
  <c r="I1257" i="1"/>
  <c r="I1265" i="1"/>
  <c r="K1257" i="1"/>
  <c r="V1255" i="1"/>
  <c r="P1254" i="1"/>
  <c r="Z1252" i="1"/>
  <c r="N1251" i="1"/>
  <c r="L530" i="2"/>
  <c r="I1252" i="1"/>
  <c r="V1256" i="1"/>
  <c r="T1253" i="1"/>
  <c r="I1267" i="1"/>
  <c r="V1257" i="1"/>
  <c r="I1264" i="1"/>
  <c r="AB1256" i="1"/>
  <c r="R1255" i="1"/>
  <c r="K1254" i="1"/>
  <c r="V1252" i="1"/>
  <c r="P1260" i="2"/>
  <c r="L633" i="1"/>
  <c r="G530" i="2"/>
  <c r="J150" i="1"/>
  <c r="AI150" i="1"/>
  <c r="AU128" i="1"/>
  <c r="G736" i="2"/>
  <c r="AI150" i="2"/>
  <c r="N150" i="2"/>
  <c r="Q212" i="1"/>
  <c r="G1045" i="2"/>
  <c r="E150" i="2"/>
  <c r="AE150" i="1"/>
  <c r="AQ132" i="1"/>
  <c r="L736" i="2"/>
  <c r="M1241" i="1"/>
  <c r="L839" i="1"/>
  <c r="N150" i="1"/>
  <c r="I150" i="1"/>
  <c r="R181" i="2"/>
  <c r="G839" i="2"/>
  <c r="L530" i="1"/>
  <c r="G942" i="2"/>
  <c r="L1045" i="1"/>
  <c r="G1045" i="1"/>
  <c r="G942" i="1"/>
  <c r="G839" i="1"/>
  <c r="G736" i="1"/>
  <c r="G633" i="1"/>
  <c r="G530" i="1"/>
  <c r="H1215" i="1" l="1"/>
  <c r="G1214" i="1"/>
  <c r="AF157" i="1"/>
  <c r="AF165" i="1" s="1"/>
  <c r="G32" i="1" s="1"/>
  <c r="F375" i="2" s="1"/>
  <c r="F601" i="1"/>
  <c r="G601" i="1" s="1"/>
  <c r="F481" i="1"/>
  <c r="G1246" i="1"/>
  <c r="G1233" i="1"/>
  <c r="AX181" i="2"/>
  <c r="AX181" i="1"/>
  <c r="H1214" i="2"/>
  <c r="F495" i="1"/>
  <c r="G495" i="1" s="1"/>
  <c r="AN150" i="2"/>
  <c r="AN150" i="1"/>
  <c r="F303" i="2"/>
  <c r="G303" i="2" s="1"/>
  <c r="F304" i="2"/>
  <c r="G304" i="2" s="1"/>
  <c r="F291" i="2"/>
  <c r="G291" i="2" s="1"/>
  <c r="K507" i="1"/>
  <c r="M507" i="1" s="1"/>
  <c r="F497" i="1"/>
  <c r="G497" i="1" s="1"/>
  <c r="F507" i="1"/>
  <c r="G507" i="1" s="1"/>
  <c r="F510" i="1"/>
  <c r="G510" i="1" s="1"/>
  <c r="F496" i="1"/>
  <c r="G496" i="1" s="1"/>
  <c r="F484" i="1"/>
  <c r="H484" i="1" s="1"/>
  <c r="F586" i="2"/>
  <c r="H586" i="2" s="1"/>
  <c r="K612" i="2"/>
  <c r="M612" i="2" s="1"/>
  <c r="F611" i="2"/>
  <c r="G611" i="2" s="1"/>
  <c r="F613" i="2"/>
  <c r="G613" i="2" s="1"/>
  <c r="AS181" i="1"/>
  <c r="AG157" i="1" s="1"/>
  <c r="AG165" i="1" s="1"/>
  <c r="G37" i="1" s="1"/>
  <c r="F478" i="2" s="1"/>
  <c r="F499" i="2" s="1"/>
  <c r="G499" i="2" s="1"/>
  <c r="F795" i="2"/>
  <c r="G795" i="2" s="1"/>
  <c r="F792" i="2"/>
  <c r="H792" i="2" s="1"/>
  <c r="K819" i="2"/>
  <c r="M819" i="2" s="1"/>
  <c r="F921" i="2"/>
  <c r="G921" i="2" s="1"/>
  <c r="H57" i="1"/>
  <c r="E245" i="1"/>
  <c r="L262" i="1" s="1"/>
  <c r="M262" i="1" s="1"/>
  <c r="N262" i="1" s="1"/>
  <c r="F804" i="2"/>
  <c r="G804" i="2" s="1"/>
  <c r="F803" i="2"/>
  <c r="G803" i="2" s="1"/>
  <c r="K818" i="2"/>
  <c r="M818" i="2" s="1"/>
  <c r="F790" i="2"/>
  <c r="G790" i="2" s="1"/>
  <c r="G799" i="2" s="1"/>
  <c r="F809" i="2"/>
  <c r="G809" i="2" s="1"/>
  <c r="F807" i="2"/>
  <c r="G807" i="2" s="1"/>
  <c r="F280" i="2"/>
  <c r="K304" i="2"/>
  <c r="M304" i="2" s="1"/>
  <c r="K303" i="2"/>
  <c r="M303" i="2" s="1"/>
  <c r="F508" i="1"/>
  <c r="G508" i="1" s="1"/>
  <c r="F498" i="1"/>
  <c r="G498" i="1" s="1"/>
  <c r="F494" i="1"/>
  <c r="G494" i="1" s="1"/>
  <c r="F509" i="1"/>
  <c r="G509" i="1" s="1"/>
  <c r="F500" i="1"/>
  <c r="G500" i="1" s="1"/>
  <c r="F486" i="1"/>
  <c r="G486" i="1" s="1"/>
  <c r="F499" i="1"/>
  <c r="G499" i="1" s="1"/>
  <c r="F482" i="1"/>
  <c r="G482" i="1" s="1"/>
  <c r="F483" i="1"/>
  <c r="G483" i="1" s="1"/>
  <c r="K509" i="1"/>
  <c r="M509" i="1" s="1"/>
  <c r="F485" i="1"/>
  <c r="H485" i="1" s="1"/>
  <c r="K510" i="1"/>
  <c r="M510" i="1" s="1"/>
  <c r="K508" i="1"/>
  <c r="M508" i="1" s="1"/>
  <c r="F816" i="2"/>
  <c r="G816" i="2" s="1"/>
  <c r="F793" i="2"/>
  <c r="G793" i="2" s="1"/>
  <c r="F805" i="2"/>
  <c r="G805" i="2" s="1"/>
  <c r="F791" i="2"/>
  <c r="G791" i="2" s="1"/>
  <c r="F794" i="2"/>
  <c r="G794" i="2" s="1"/>
  <c r="F806" i="2"/>
  <c r="G806" i="2" s="1"/>
  <c r="K817" i="2"/>
  <c r="M817" i="2" s="1"/>
  <c r="K816" i="2"/>
  <c r="M816" i="2" s="1"/>
  <c r="M823" i="2" s="1"/>
  <c r="F818" i="2"/>
  <c r="G818" i="2" s="1"/>
  <c r="F817" i="2"/>
  <c r="G817" i="2" s="1"/>
  <c r="F808" i="2"/>
  <c r="G808" i="2" s="1"/>
  <c r="K921" i="2"/>
  <c r="M921" i="2" s="1"/>
  <c r="F898" i="2"/>
  <c r="G898" i="2" s="1"/>
  <c r="F481" i="2"/>
  <c r="G481" i="2" s="1"/>
  <c r="F922" i="2"/>
  <c r="G922" i="2" s="1"/>
  <c r="K922" i="2"/>
  <c r="M922" i="2" s="1"/>
  <c r="F906" i="2"/>
  <c r="G906" i="2" s="1"/>
  <c r="K613" i="2"/>
  <c r="M613" i="2" s="1"/>
  <c r="F598" i="2"/>
  <c r="G598" i="2" s="1"/>
  <c r="F587" i="2"/>
  <c r="G587" i="2" s="1"/>
  <c r="K920" i="2"/>
  <c r="M920" i="2" s="1"/>
  <c r="F912" i="2"/>
  <c r="G912" i="2" s="1"/>
  <c r="K919" i="2"/>
  <c r="M919" i="2" s="1"/>
  <c r="F895" i="2"/>
  <c r="G895" i="2" s="1"/>
  <c r="F603" i="2"/>
  <c r="G603" i="2" s="1"/>
  <c r="K611" i="2"/>
  <c r="M611" i="2" s="1"/>
  <c r="F909" i="2"/>
  <c r="G909" i="2" s="1"/>
  <c r="F919" i="2"/>
  <c r="G919" i="2" s="1"/>
  <c r="F893" i="2"/>
  <c r="H893" i="2" s="1"/>
  <c r="H902" i="2" s="1"/>
  <c r="F585" i="2"/>
  <c r="H585" i="2" s="1"/>
  <c r="F599" i="2"/>
  <c r="G599" i="2" s="1"/>
  <c r="K610" i="2"/>
  <c r="M610" i="2" s="1"/>
  <c r="M617" i="2" s="1"/>
  <c r="F584" i="2"/>
  <c r="F897" i="2"/>
  <c r="H897" i="2" s="1"/>
  <c r="F911" i="2"/>
  <c r="G911" i="2" s="1"/>
  <c r="F612" i="2"/>
  <c r="G612" i="2" s="1"/>
  <c r="F589" i="2"/>
  <c r="G589" i="2" s="1"/>
  <c r="F601" i="2"/>
  <c r="G601" i="2" s="1"/>
  <c r="F920" i="2"/>
  <c r="G920" i="2" s="1"/>
  <c r="F907" i="2"/>
  <c r="G907" i="2" s="1"/>
  <c r="F602" i="2"/>
  <c r="G602" i="2" s="1"/>
  <c r="F610" i="2"/>
  <c r="G610" i="2" s="1"/>
  <c r="F896" i="2"/>
  <c r="G896" i="2" s="1"/>
  <c r="F910" i="2"/>
  <c r="G910" i="2" s="1"/>
  <c r="F894" i="2"/>
  <c r="H894" i="2" s="1"/>
  <c r="F597" i="2"/>
  <c r="G597" i="2" s="1"/>
  <c r="G604" i="2" s="1"/>
  <c r="F600" i="2"/>
  <c r="G600" i="2" s="1"/>
  <c r="F294" i="2"/>
  <c r="G294" i="2" s="1"/>
  <c r="F290" i="2"/>
  <c r="G290" i="2" s="1"/>
  <c r="F279" i="2"/>
  <c r="F293" i="2"/>
  <c r="G293" i="2" s="1"/>
  <c r="F277" i="2"/>
  <c r="K301" i="2"/>
  <c r="K510" i="2"/>
  <c r="M510" i="2" s="1"/>
  <c r="F278" i="2"/>
  <c r="H278" i="2" s="1"/>
  <c r="X1260" i="1"/>
  <c r="F597" i="1"/>
  <c r="G597" i="1" s="1"/>
  <c r="F600" i="1"/>
  <c r="G600" i="1" s="1"/>
  <c r="K1260" i="1"/>
  <c r="M1246" i="1"/>
  <c r="H1213" i="1"/>
  <c r="H1222" i="1" s="1"/>
  <c r="G1213" i="1"/>
  <c r="G1222" i="1" s="1"/>
  <c r="T1260" i="1"/>
  <c r="P183" i="1"/>
  <c r="AS181" i="2"/>
  <c r="H1218" i="1"/>
  <c r="G1218" i="1"/>
  <c r="AG150" i="2"/>
  <c r="F496" i="2"/>
  <c r="G496" i="2" s="1"/>
  <c r="F509" i="2"/>
  <c r="G509" i="2" s="1"/>
  <c r="F498" i="2"/>
  <c r="G498" i="2" s="1"/>
  <c r="F495" i="2"/>
  <c r="G495" i="2" s="1"/>
  <c r="K507" i="2"/>
  <c r="F485" i="2"/>
  <c r="F483" i="2"/>
  <c r="F507" i="2"/>
  <c r="F494" i="2"/>
  <c r="F510" i="2"/>
  <c r="G510" i="2" s="1"/>
  <c r="F508" i="2"/>
  <c r="G508" i="2" s="1"/>
  <c r="AG150" i="1"/>
  <c r="I1270" i="1"/>
  <c r="F275" i="2"/>
  <c r="H275" i="2" s="1"/>
  <c r="H284" i="2" s="1"/>
  <c r="F276" i="2"/>
  <c r="H276" i="2" s="1"/>
  <c r="AT181" i="1"/>
  <c r="V1260" i="1"/>
  <c r="F289" i="2"/>
  <c r="G289" i="2" s="1"/>
  <c r="F301" i="2"/>
  <c r="F288" i="2"/>
  <c r="G288" i="2" s="1"/>
  <c r="K302" i="2"/>
  <c r="M302" i="2" s="1"/>
  <c r="F302" i="2"/>
  <c r="G302" i="2" s="1"/>
  <c r="AH150" i="2"/>
  <c r="AT181" i="2"/>
  <c r="AH150" i="1"/>
  <c r="N1260" i="1"/>
  <c r="K1270" i="1"/>
  <c r="R1260" i="1"/>
  <c r="A152" i="1"/>
  <c r="Z1260" i="1"/>
  <c r="AB1260" i="1"/>
  <c r="F602" i="1"/>
  <c r="G602" i="1" s="1"/>
  <c r="F610" i="1"/>
  <c r="G610" i="1" s="1"/>
  <c r="F599" i="1"/>
  <c r="G599" i="1" s="1"/>
  <c r="P1260" i="1"/>
  <c r="I1260" i="1"/>
  <c r="F584" i="1"/>
  <c r="H584" i="1" s="1"/>
  <c r="AD1260" i="1"/>
  <c r="G588" i="2"/>
  <c r="H588" i="2"/>
  <c r="K610" i="1"/>
  <c r="M610" i="1" s="1"/>
  <c r="F586" i="1"/>
  <c r="F613" i="1"/>
  <c r="G613" i="1" s="1"/>
  <c r="F587" i="1"/>
  <c r="K612" i="1"/>
  <c r="M612" i="1" s="1"/>
  <c r="F612" i="1"/>
  <c r="G612" i="1" s="1"/>
  <c r="F585" i="1"/>
  <c r="F603" i="1"/>
  <c r="G603" i="1" s="1"/>
  <c r="K613" i="1"/>
  <c r="M613" i="1" s="1"/>
  <c r="K611" i="1"/>
  <c r="M611" i="1" s="1"/>
  <c r="F589" i="1"/>
  <c r="F588" i="1"/>
  <c r="F598" i="1"/>
  <c r="G598" i="1" s="1"/>
  <c r="F611" i="1"/>
  <c r="G611" i="1" s="1"/>
  <c r="P183" i="2"/>
  <c r="A152" i="2"/>
  <c r="F690" i="2"/>
  <c r="F715" i="2"/>
  <c r="G715" i="2" s="1"/>
  <c r="F716" i="2"/>
  <c r="G716" i="2" s="1"/>
  <c r="F688" i="2"/>
  <c r="F702" i="2"/>
  <c r="G702" i="2" s="1"/>
  <c r="F713" i="2"/>
  <c r="G713" i="2" s="1"/>
  <c r="F703" i="2"/>
  <c r="G703" i="2" s="1"/>
  <c r="K716" i="2"/>
  <c r="M716" i="2" s="1"/>
  <c r="F704" i="2"/>
  <c r="G704" i="2" s="1"/>
  <c r="F689" i="2"/>
  <c r="F687" i="2"/>
  <c r="F700" i="2"/>
  <c r="G700" i="2" s="1"/>
  <c r="F706" i="2"/>
  <c r="G706" i="2" s="1"/>
  <c r="K713" i="2"/>
  <c r="M713" i="2" s="1"/>
  <c r="F705" i="2"/>
  <c r="G705" i="2" s="1"/>
  <c r="K714" i="2"/>
  <c r="M714" i="2" s="1"/>
  <c r="F714" i="2"/>
  <c r="G714" i="2" s="1"/>
  <c r="F692" i="2"/>
  <c r="F691" i="2"/>
  <c r="F701" i="2"/>
  <c r="G701" i="2" s="1"/>
  <c r="K715" i="2"/>
  <c r="M715" i="2" s="1"/>
  <c r="F996" i="2"/>
  <c r="F1022" i="2"/>
  <c r="G1022" i="2" s="1"/>
  <c r="F999" i="2"/>
  <c r="K1023" i="2"/>
  <c r="M1023" i="2" s="1"/>
  <c r="F1013" i="2"/>
  <c r="G1013" i="2" s="1"/>
  <c r="F1000" i="2"/>
  <c r="F998" i="2"/>
  <c r="F1012" i="2"/>
  <c r="G1012" i="2" s="1"/>
  <c r="F1024" i="2"/>
  <c r="G1024" i="2" s="1"/>
  <c r="K1025" i="2"/>
  <c r="M1025" i="2" s="1"/>
  <c r="F1009" i="2"/>
  <c r="G1009" i="2" s="1"/>
  <c r="F1025" i="2"/>
  <c r="G1025" i="2" s="1"/>
  <c r="F1023" i="2"/>
  <c r="G1023" i="2" s="1"/>
  <c r="F1015" i="2"/>
  <c r="G1015" i="2" s="1"/>
  <c r="F1010" i="2"/>
  <c r="G1010" i="2" s="1"/>
  <c r="F997" i="2"/>
  <c r="K1024" i="2"/>
  <c r="M1024" i="2" s="1"/>
  <c r="K1022" i="2"/>
  <c r="M1022" i="2" s="1"/>
  <c r="F1014" i="2"/>
  <c r="G1014" i="2" s="1"/>
  <c r="F1011" i="2"/>
  <c r="G1011" i="2" s="1"/>
  <c r="F1001" i="2"/>
  <c r="F1025" i="1"/>
  <c r="G1025" i="1" s="1"/>
  <c r="F1024" i="1"/>
  <c r="G1024" i="1" s="1"/>
  <c r="F1022" i="1"/>
  <c r="G1022" i="1" s="1"/>
  <c r="F1011" i="1"/>
  <c r="G1011" i="1" s="1"/>
  <c r="F1015" i="1"/>
  <c r="G1015" i="1" s="1"/>
  <c r="F1013" i="1"/>
  <c r="G1013" i="1" s="1"/>
  <c r="K1022" i="1"/>
  <c r="M1022" i="1" s="1"/>
  <c r="K1023" i="1"/>
  <c r="M1023" i="1" s="1"/>
  <c r="F997" i="1"/>
  <c r="F998" i="1"/>
  <c r="F999" i="1"/>
  <c r="F1000" i="1"/>
  <c r="F1009" i="1"/>
  <c r="G1009" i="1" s="1"/>
  <c r="F1023" i="1"/>
  <c r="G1023" i="1" s="1"/>
  <c r="F1010" i="1"/>
  <c r="G1010" i="1" s="1"/>
  <c r="K1025" i="1"/>
  <c r="M1025" i="1" s="1"/>
  <c r="F1001" i="1"/>
  <c r="F996" i="1"/>
  <c r="K1024" i="1"/>
  <c r="M1024" i="1" s="1"/>
  <c r="F1014" i="1"/>
  <c r="G1014" i="1" s="1"/>
  <c r="F1012" i="1"/>
  <c r="G1012" i="1" s="1"/>
  <c r="F919" i="1"/>
  <c r="G919" i="1" s="1"/>
  <c r="F910" i="1"/>
  <c r="G910" i="1" s="1"/>
  <c r="K920" i="1"/>
  <c r="M920" i="1" s="1"/>
  <c r="F909" i="1"/>
  <c r="G909" i="1" s="1"/>
  <c r="K921" i="1"/>
  <c r="M921" i="1" s="1"/>
  <c r="F906" i="1"/>
  <c r="G906" i="1" s="1"/>
  <c r="F893" i="1"/>
  <c r="F908" i="1"/>
  <c r="G908" i="1" s="1"/>
  <c r="F922" i="1"/>
  <c r="G922" i="1" s="1"/>
  <c r="F898" i="1"/>
  <c r="F912" i="1"/>
  <c r="G912" i="1" s="1"/>
  <c r="F896" i="1"/>
  <c r="F921" i="1"/>
  <c r="G921" i="1" s="1"/>
  <c r="F894" i="1"/>
  <c r="F911" i="1"/>
  <c r="G911" i="1" s="1"/>
  <c r="F897" i="1"/>
  <c r="F895" i="1"/>
  <c r="F920" i="1"/>
  <c r="G920" i="1" s="1"/>
  <c r="K922" i="1"/>
  <c r="M922" i="1" s="1"/>
  <c r="F907" i="1"/>
  <c r="G907" i="1" s="1"/>
  <c r="K919" i="1"/>
  <c r="M919" i="1" s="1"/>
  <c r="F791" i="1"/>
  <c r="K816" i="1"/>
  <c r="M816" i="1" s="1"/>
  <c r="F794" i="1"/>
  <c r="F807" i="1"/>
  <c r="G807" i="1" s="1"/>
  <c r="F793" i="1"/>
  <c r="F806" i="1"/>
  <c r="G806" i="1" s="1"/>
  <c r="F816" i="1"/>
  <c r="G816" i="1" s="1"/>
  <c r="F790" i="1"/>
  <c r="F803" i="1"/>
  <c r="G803" i="1" s="1"/>
  <c r="F808" i="1"/>
  <c r="G808" i="1" s="1"/>
  <c r="F805" i="1"/>
  <c r="G805" i="1" s="1"/>
  <c r="K818" i="1"/>
  <c r="M818" i="1" s="1"/>
  <c r="F795" i="1"/>
  <c r="F819" i="1"/>
  <c r="G819" i="1" s="1"/>
  <c r="F817" i="1"/>
  <c r="G817" i="1" s="1"/>
  <c r="K819" i="1"/>
  <c r="M819" i="1" s="1"/>
  <c r="F818" i="1"/>
  <c r="G818" i="1" s="1"/>
  <c r="F809" i="1"/>
  <c r="G809" i="1" s="1"/>
  <c r="F792" i="1"/>
  <c r="F804" i="1"/>
  <c r="G804" i="1" s="1"/>
  <c r="K817" i="1"/>
  <c r="M817" i="1" s="1"/>
  <c r="F689" i="1"/>
  <c r="F688" i="1"/>
  <c r="F713" i="1"/>
  <c r="G713" i="1" s="1"/>
  <c r="K714" i="1"/>
  <c r="M714" i="1" s="1"/>
  <c r="F706" i="1"/>
  <c r="G706" i="1" s="1"/>
  <c r="F716" i="1"/>
  <c r="G716" i="1" s="1"/>
  <c r="K713" i="1"/>
  <c r="M713" i="1" s="1"/>
  <c r="K715" i="1"/>
  <c r="M715" i="1" s="1"/>
  <c r="F687" i="1"/>
  <c r="F704" i="1"/>
  <c r="G704" i="1" s="1"/>
  <c r="F691" i="1"/>
  <c r="F703" i="1"/>
  <c r="G703" i="1" s="1"/>
  <c r="F702" i="1"/>
  <c r="G702" i="1" s="1"/>
  <c r="F700" i="1"/>
  <c r="G700" i="1" s="1"/>
  <c r="F690" i="1"/>
  <c r="F714" i="1"/>
  <c r="G714" i="1" s="1"/>
  <c r="K716" i="1"/>
  <c r="M716" i="1" s="1"/>
  <c r="F701" i="1"/>
  <c r="G701" i="1" s="1"/>
  <c r="F715" i="1"/>
  <c r="G715" i="1" s="1"/>
  <c r="F705" i="1"/>
  <c r="G705" i="1" s="1"/>
  <c r="F692" i="1"/>
  <c r="K200" i="1"/>
  <c r="M200" i="1" s="1"/>
  <c r="F198" i="1"/>
  <c r="G198" i="1" s="1"/>
  <c r="F174" i="1"/>
  <c r="F172" i="1"/>
  <c r="F188" i="1"/>
  <c r="G188" i="1" s="1"/>
  <c r="F187" i="1"/>
  <c r="G187" i="1" s="1"/>
  <c r="F199" i="1"/>
  <c r="G199" i="1" s="1"/>
  <c r="F200" i="1"/>
  <c r="G200" i="1" s="1"/>
  <c r="F189" i="1"/>
  <c r="G189" i="1" s="1"/>
  <c r="K201" i="1"/>
  <c r="M201" i="1" s="1"/>
  <c r="F186" i="1"/>
  <c r="G186" i="1" s="1"/>
  <c r="F173" i="1"/>
  <c r="F176" i="1"/>
  <c r="F185" i="1"/>
  <c r="G185" i="1" s="1"/>
  <c r="F191" i="1"/>
  <c r="G191" i="1" s="1"/>
  <c r="K199" i="1"/>
  <c r="M199" i="1" s="1"/>
  <c r="F201" i="1"/>
  <c r="G201" i="1" s="1"/>
  <c r="F190" i="1"/>
  <c r="G190" i="1" s="1"/>
  <c r="K198" i="1"/>
  <c r="M198" i="1" s="1"/>
  <c r="F177" i="1"/>
  <c r="F175" i="1"/>
  <c r="F383" i="2" l="1"/>
  <c r="F392" i="2"/>
  <c r="G392" i="2" s="1"/>
  <c r="F382" i="2"/>
  <c r="H382" i="2" s="1"/>
  <c r="F393" i="2"/>
  <c r="G393" i="2" s="1"/>
  <c r="F379" i="2"/>
  <c r="H379" i="2" s="1"/>
  <c r="F380" i="2"/>
  <c r="G380" i="2" s="1"/>
  <c r="F405" i="2"/>
  <c r="G405" i="2" s="1"/>
  <c r="F395" i="2"/>
  <c r="G395" i="2" s="1"/>
  <c r="F404" i="2"/>
  <c r="G404" i="2" s="1"/>
  <c r="F396" i="2"/>
  <c r="G396" i="2" s="1"/>
  <c r="F407" i="2"/>
  <c r="G407" i="2" s="1"/>
  <c r="F381" i="2"/>
  <c r="H381" i="2" s="1"/>
  <c r="K405" i="2"/>
  <c r="M405" i="2" s="1"/>
  <c r="F394" i="2"/>
  <c r="G394" i="2" s="1"/>
  <c r="K406" i="2"/>
  <c r="M406" i="2" s="1"/>
  <c r="F406" i="2"/>
  <c r="G406" i="2" s="1"/>
  <c r="F391" i="2"/>
  <c r="G391" i="2" s="1"/>
  <c r="F397" i="2"/>
  <c r="G397" i="2" s="1"/>
  <c r="F378" i="2"/>
  <c r="H378" i="2" s="1"/>
  <c r="K407" i="2"/>
  <c r="M407" i="2" s="1"/>
  <c r="K404" i="2"/>
  <c r="M404" i="2" s="1"/>
  <c r="F500" i="2"/>
  <c r="G500" i="2" s="1"/>
  <c r="F482" i="2"/>
  <c r="G482" i="2" s="1"/>
  <c r="K508" i="2"/>
  <c r="M508" i="2" s="1"/>
  <c r="F497" i="2"/>
  <c r="G497" i="2" s="1"/>
  <c r="F486" i="2"/>
  <c r="G486" i="2" s="1"/>
  <c r="AM157" i="1"/>
  <c r="F484" i="2"/>
  <c r="G484" i="2" s="1"/>
  <c r="K509" i="2"/>
  <c r="M509" i="2" s="1"/>
  <c r="M789" i="2"/>
  <c r="M795" i="2" s="1"/>
  <c r="G501" i="1"/>
  <c r="G720" i="1"/>
  <c r="M720" i="1"/>
  <c r="G481" i="1"/>
  <c r="G490" i="1" s="1"/>
  <c r="G707" i="1"/>
  <c r="G192" i="1"/>
  <c r="G810" i="1"/>
  <c r="G205" i="1"/>
  <c r="G1016" i="1"/>
  <c r="G926" i="1"/>
  <c r="M205" i="1"/>
  <c r="H593" i="1"/>
  <c r="G1029" i="1"/>
  <c r="M926" i="1"/>
  <c r="G823" i="1"/>
  <c r="G514" i="1"/>
  <c r="G604" i="1"/>
  <c r="M1029" i="1"/>
  <c r="M823" i="1"/>
  <c r="M514" i="1"/>
  <c r="G617" i="1"/>
  <c r="H481" i="1"/>
  <c r="H490" i="1" s="1"/>
  <c r="M617" i="1"/>
  <c r="G913" i="1"/>
  <c r="L250" i="1"/>
  <c r="M250" i="1" s="1"/>
  <c r="N250" i="1" s="1"/>
  <c r="E252" i="1"/>
  <c r="F252" i="1" s="1"/>
  <c r="G586" i="2"/>
  <c r="H790" i="2"/>
  <c r="H799" i="2" s="1"/>
  <c r="H793" i="2"/>
  <c r="AA152" i="1"/>
  <c r="G485" i="1"/>
  <c r="H483" i="1"/>
  <c r="G484" i="1"/>
  <c r="H486" i="1"/>
  <c r="L258" i="1"/>
  <c r="M258" i="1" s="1"/>
  <c r="N258" i="1" s="1"/>
  <c r="L248" i="1"/>
  <c r="M248" i="1" s="1"/>
  <c r="N248" i="1" s="1"/>
  <c r="AP183" i="1"/>
  <c r="H794" i="2"/>
  <c r="E262" i="1"/>
  <c r="F262" i="1" s="1"/>
  <c r="G262" i="1" s="1"/>
  <c r="H898" i="2"/>
  <c r="H795" i="2"/>
  <c r="G823" i="2"/>
  <c r="G894" i="2"/>
  <c r="G893" i="2"/>
  <c r="G902" i="2" s="1"/>
  <c r="H589" i="2"/>
  <c r="E248" i="1"/>
  <c r="F248" i="1" s="1"/>
  <c r="G248" i="1" s="1"/>
  <c r="E250" i="1"/>
  <c r="F250" i="1" s="1"/>
  <c r="G250" i="1" s="1"/>
  <c r="E254" i="1"/>
  <c r="F254" i="1" s="1"/>
  <c r="G254" i="1" s="1"/>
  <c r="L252" i="1"/>
  <c r="M252" i="1" s="1"/>
  <c r="N252" i="1" s="1"/>
  <c r="H791" i="2"/>
  <c r="E258" i="1"/>
  <c r="F258" i="1" s="1"/>
  <c r="G258" i="1" s="1"/>
  <c r="G585" i="2"/>
  <c r="E264" i="1"/>
  <c r="F264" i="1" s="1"/>
  <c r="G264" i="1" s="1"/>
  <c r="E260" i="1"/>
  <c r="F260" i="1" s="1"/>
  <c r="G260" i="1" s="1"/>
  <c r="L264" i="1"/>
  <c r="M264" i="1" s="1"/>
  <c r="N264" i="1" s="1"/>
  <c r="G792" i="2"/>
  <c r="L254" i="1"/>
  <c r="M254" i="1" s="1"/>
  <c r="N254" i="1" s="1"/>
  <c r="L260" i="1"/>
  <c r="M260" i="1" s="1"/>
  <c r="N260" i="1" s="1"/>
  <c r="E99" i="1"/>
  <c r="W109" i="1" s="1"/>
  <c r="G810" i="2"/>
  <c r="G926" i="2"/>
  <c r="H40" i="1"/>
  <c r="H42" i="1"/>
  <c r="H52" i="1"/>
  <c r="E256" i="1"/>
  <c r="F256" i="1" s="1"/>
  <c r="G256" i="1" s="1"/>
  <c r="H45" i="1"/>
  <c r="H55" i="1"/>
  <c r="H47" i="1"/>
  <c r="AP183" i="2"/>
  <c r="H62" i="1"/>
  <c r="H20" i="1"/>
  <c r="H35" i="1"/>
  <c r="G382" i="2"/>
  <c r="H50" i="1"/>
  <c r="H60" i="1"/>
  <c r="H32" i="1"/>
  <c r="H37" i="1"/>
  <c r="H27" i="1"/>
  <c r="G913" i="2"/>
  <c r="H895" i="2"/>
  <c r="H280" i="2"/>
  <c r="G280" i="2"/>
  <c r="H482" i="1"/>
  <c r="H896" i="2"/>
  <c r="H481" i="2"/>
  <c r="H490" i="2" s="1"/>
  <c r="G276" i="2"/>
  <c r="M926" i="2"/>
  <c r="G278" i="2"/>
  <c r="G617" i="2"/>
  <c r="G897" i="2"/>
  <c r="H587" i="2"/>
  <c r="H584" i="2"/>
  <c r="H593" i="2" s="1"/>
  <c r="G584" i="2"/>
  <c r="G593" i="2" s="1"/>
  <c r="M301" i="2"/>
  <c r="M308" i="2" s="1"/>
  <c r="H277" i="2"/>
  <c r="G277" i="2"/>
  <c r="G275" i="2"/>
  <c r="G284" i="2" s="1"/>
  <c r="H279" i="2"/>
  <c r="G279" i="2"/>
  <c r="G584" i="1"/>
  <c r="G593" i="1" s="1"/>
  <c r="M583" i="1" s="1"/>
  <c r="H485" i="2"/>
  <c r="G485" i="2"/>
  <c r="M507" i="2"/>
  <c r="G494" i="2"/>
  <c r="G501" i="2" s="1"/>
  <c r="G507" i="2"/>
  <c r="G514" i="2" s="1"/>
  <c r="G483" i="2"/>
  <c r="H483" i="2"/>
  <c r="M720" i="2"/>
  <c r="G295" i="2"/>
  <c r="L256" i="1"/>
  <c r="M256" i="1" s="1"/>
  <c r="N256" i="1" s="1"/>
  <c r="G301" i="2"/>
  <c r="G308" i="2" s="1"/>
  <c r="G720" i="2"/>
  <c r="H692" i="2"/>
  <c r="G692" i="2"/>
  <c r="H687" i="2"/>
  <c r="H696" i="2" s="1"/>
  <c r="G687" i="2"/>
  <c r="G696" i="2" s="1"/>
  <c r="H589" i="1"/>
  <c r="G589" i="1"/>
  <c r="H689" i="2"/>
  <c r="G689" i="2"/>
  <c r="G688" i="2"/>
  <c r="H688" i="2"/>
  <c r="H586" i="1"/>
  <c r="G586" i="1"/>
  <c r="G691" i="2"/>
  <c r="H691" i="2"/>
  <c r="H587" i="1"/>
  <c r="G587" i="1"/>
  <c r="G1029" i="2"/>
  <c r="G707" i="2"/>
  <c r="G588" i="1"/>
  <c r="H588" i="1"/>
  <c r="H690" i="2"/>
  <c r="G690" i="2"/>
  <c r="H585" i="1"/>
  <c r="G585" i="1"/>
  <c r="G997" i="2"/>
  <c r="H997" i="2"/>
  <c r="H998" i="2"/>
  <c r="G998" i="2"/>
  <c r="G999" i="2"/>
  <c r="H999" i="2"/>
  <c r="M1029" i="2"/>
  <c r="H1001" i="2"/>
  <c r="G1001" i="2"/>
  <c r="G1016" i="2"/>
  <c r="H1000" i="2"/>
  <c r="G1000" i="2"/>
  <c r="H996" i="2"/>
  <c r="H1005" i="2" s="1"/>
  <c r="G996" i="2"/>
  <c r="G1005" i="2" s="1"/>
  <c r="G996" i="1"/>
  <c r="G1005" i="1" s="1"/>
  <c r="M995" i="1" s="1"/>
  <c r="H996" i="1"/>
  <c r="H1005" i="1" s="1"/>
  <c r="G1000" i="1"/>
  <c r="H1000" i="1"/>
  <c r="G999" i="1"/>
  <c r="H999" i="1"/>
  <c r="G997" i="1"/>
  <c r="H997" i="1"/>
  <c r="G1001" i="1"/>
  <c r="H1001" i="1"/>
  <c r="H998" i="1"/>
  <c r="G998" i="1"/>
  <c r="G897" i="1"/>
  <c r="H897" i="1"/>
  <c r="H894" i="1"/>
  <c r="G894" i="1"/>
  <c r="G896" i="1"/>
  <c r="H896" i="1"/>
  <c r="G898" i="1"/>
  <c r="H898" i="1"/>
  <c r="H895" i="1"/>
  <c r="G895" i="1"/>
  <c r="G893" i="1"/>
  <c r="G902" i="1" s="1"/>
  <c r="M892" i="1" s="1"/>
  <c r="H893" i="1"/>
  <c r="H902" i="1" s="1"/>
  <c r="G792" i="1"/>
  <c r="H792" i="1"/>
  <c r="H795" i="1"/>
  <c r="G795" i="1"/>
  <c r="H790" i="1"/>
  <c r="H799" i="1" s="1"/>
  <c r="G790" i="1"/>
  <c r="G799" i="1" s="1"/>
  <c r="M789" i="1" s="1"/>
  <c r="H793" i="1"/>
  <c r="G793" i="1"/>
  <c r="H794" i="1"/>
  <c r="G794" i="1"/>
  <c r="H791" i="1"/>
  <c r="G791" i="1"/>
  <c r="G688" i="1"/>
  <c r="H688" i="1"/>
  <c r="G692" i="1"/>
  <c r="H692" i="1"/>
  <c r="G690" i="1"/>
  <c r="H690" i="1"/>
  <c r="H691" i="1"/>
  <c r="G691" i="1"/>
  <c r="H687" i="1"/>
  <c r="H696" i="1" s="1"/>
  <c r="G687" i="1"/>
  <c r="G696" i="1" s="1"/>
  <c r="M686" i="1" s="1"/>
  <c r="G689" i="1"/>
  <c r="H689" i="1"/>
  <c r="G175" i="1"/>
  <c r="H175" i="1"/>
  <c r="H176" i="1"/>
  <c r="G176" i="1"/>
  <c r="H173" i="1"/>
  <c r="G173" i="1"/>
  <c r="H172" i="1"/>
  <c r="H181" i="1" s="1"/>
  <c r="G172" i="1"/>
  <c r="G181" i="1" s="1"/>
  <c r="G177" i="1"/>
  <c r="H177" i="1"/>
  <c r="G174" i="1"/>
  <c r="H174" i="1"/>
  <c r="G381" i="2" l="1"/>
  <c r="M411" i="2"/>
  <c r="G379" i="2"/>
  <c r="G378" i="2"/>
  <c r="G387" i="2" s="1"/>
  <c r="M377" i="2" s="1"/>
  <c r="M383" i="2" s="1"/>
  <c r="H486" i="2"/>
  <c r="G398" i="2"/>
  <c r="F163" i="1"/>
  <c r="F165" i="1" s="1"/>
  <c r="G30" i="1" s="1"/>
  <c r="H30" i="1" s="1"/>
  <c r="G252" i="1"/>
  <c r="H380" i="2"/>
  <c r="H387" i="2" s="1"/>
  <c r="G411" i="2"/>
  <c r="G383" i="2"/>
  <c r="H383" i="2"/>
  <c r="H484" i="2"/>
  <c r="H482" i="2"/>
  <c r="M514" i="2"/>
  <c r="G490" i="2"/>
  <c r="M480" i="2" s="1"/>
  <c r="M486" i="2" s="1"/>
  <c r="J521" i="2" s="1"/>
  <c r="K521" i="2" s="1"/>
  <c r="J833" i="2"/>
  <c r="K833" i="2" s="1"/>
  <c r="J830" i="2"/>
  <c r="K830" i="2" s="1"/>
  <c r="J831" i="2"/>
  <c r="K831" i="2" s="1"/>
  <c r="J836" i="2"/>
  <c r="K836" i="2" s="1"/>
  <c r="J834" i="2"/>
  <c r="K834" i="2" s="1"/>
  <c r="I843" i="2"/>
  <c r="K52" i="1" s="1"/>
  <c r="F843" i="2"/>
  <c r="J835" i="2"/>
  <c r="K835" i="2" s="1"/>
  <c r="J832" i="2"/>
  <c r="K832" i="2" s="1"/>
  <c r="J837" i="2"/>
  <c r="K837" i="2" s="1"/>
  <c r="M480" i="1"/>
  <c r="M486" i="1" s="1"/>
  <c r="M583" i="2"/>
  <c r="M589" i="2" s="1"/>
  <c r="M892" i="2"/>
  <c r="M898" i="2" s="1"/>
  <c r="M995" i="2"/>
  <c r="M1001" i="2" s="1"/>
  <c r="M274" i="2"/>
  <c r="M280" i="2" s="1"/>
  <c r="M686" i="2"/>
  <c r="M692" i="2" s="1"/>
  <c r="AE107" i="1"/>
  <c r="M898" i="1"/>
  <c r="M589" i="1"/>
  <c r="M1001" i="1"/>
  <c r="M172" i="1"/>
  <c r="M177" i="1" s="1"/>
  <c r="M692" i="1"/>
  <c r="M795" i="1"/>
  <c r="W105" i="1"/>
  <c r="AC109" i="1"/>
  <c r="O108" i="1"/>
  <c r="AC107" i="1"/>
  <c r="F213" i="1"/>
  <c r="G213" i="1" s="1"/>
  <c r="O116" i="1"/>
  <c r="S103" i="1"/>
  <c r="AA103" i="1"/>
  <c r="O119" i="1"/>
  <c r="AE103" i="1"/>
  <c r="W107" i="1"/>
  <c r="S107" i="1"/>
  <c r="Y105" i="1"/>
  <c r="O105" i="1"/>
  <c r="AE106" i="1"/>
  <c r="K119" i="1"/>
  <c r="W106" i="1"/>
  <c r="AA108" i="1"/>
  <c r="W103" i="1"/>
  <c r="U105" i="1"/>
  <c r="K120" i="1"/>
  <c r="K108" i="1"/>
  <c r="Y106" i="1"/>
  <c r="S109" i="1"/>
  <c r="U109" i="1"/>
  <c r="W104" i="1"/>
  <c r="Q109" i="1"/>
  <c r="AG106" i="1"/>
  <c r="O106" i="1"/>
  <c r="AC103" i="1"/>
  <c r="K117" i="1"/>
  <c r="AA105" i="1"/>
  <c r="O118" i="1"/>
  <c r="S108" i="1"/>
  <c r="Q108" i="1"/>
  <c r="Y104" i="1"/>
  <c r="K105" i="1"/>
  <c r="Y108" i="1"/>
  <c r="S105" i="1"/>
  <c r="AG108" i="1"/>
  <c r="AG104" i="1"/>
  <c r="U106" i="1"/>
  <c r="K106" i="1"/>
  <c r="AG103" i="1"/>
  <c r="U104" i="1"/>
  <c r="K107" i="1"/>
  <c r="U108" i="1"/>
  <c r="AA109" i="1"/>
  <c r="Y109" i="1"/>
  <c r="AE104" i="1"/>
  <c r="O103" i="1"/>
  <c r="Q106" i="1"/>
  <c r="AC106" i="1"/>
  <c r="AC108" i="1"/>
  <c r="K109" i="1"/>
  <c r="K116" i="1"/>
  <c r="Y103" i="1"/>
  <c r="K115" i="1"/>
  <c r="O109" i="1"/>
  <c r="AE109" i="1"/>
  <c r="S104" i="1"/>
  <c r="Q104" i="1"/>
  <c r="O107" i="1"/>
  <c r="AG109" i="1"/>
  <c r="AA104" i="1"/>
  <c r="AA107" i="1"/>
  <c r="O121" i="1"/>
  <c r="O104" i="1"/>
  <c r="AE108" i="1"/>
  <c r="S106" i="1"/>
  <c r="K104" i="1"/>
  <c r="K118" i="1"/>
  <c r="Q105" i="1"/>
  <c r="O120" i="1"/>
  <c r="AG105" i="1"/>
  <c r="Q107" i="1"/>
  <c r="AG107" i="1"/>
  <c r="O117" i="1"/>
  <c r="U103" i="1"/>
  <c r="AC104" i="1"/>
  <c r="K103" i="1"/>
  <c r="AE105" i="1"/>
  <c r="O115" i="1"/>
  <c r="W108" i="1"/>
  <c r="K121" i="1"/>
  <c r="AC105" i="1"/>
  <c r="Q103" i="1"/>
  <c r="AA106" i="1"/>
  <c r="U107" i="1"/>
  <c r="Y107" i="1"/>
  <c r="F375" i="1" l="1"/>
  <c r="F393" i="1" s="1"/>
  <c r="G393" i="1" s="1"/>
  <c r="O163" i="1"/>
  <c r="H267" i="1" s="1"/>
  <c r="F534" i="2"/>
  <c r="J524" i="2"/>
  <c r="K524" i="2" s="1"/>
  <c r="J523" i="2"/>
  <c r="K523" i="2" s="1"/>
  <c r="J528" i="2"/>
  <c r="K528" i="2" s="1"/>
  <c r="J522" i="2"/>
  <c r="K522" i="2" s="1"/>
  <c r="J526" i="2"/>
  <c r="K526" i="2" s="1"/>
  <c r="I534" i="2"/>
  <c r="K37" i="1" s="1"/>
  <c r="J525" i="2"/>
  <c r="K525" i="2" s="1"/>
  <c r="J527" i="2"/>
  <c r="K527" i="2" s="1"/>
  <c r="I637" i="2"/>
  <c r="K42" i="1" s="1"/>
  <c r="J627" i="2"/>
  <c r="K627" i="2" s="1"/>
  <c r="J624" i="2"/>
  <c r="K624" i="2" s="1"/>
  <c r="J631" i="2"/>
  <c r="K631" i="2" s="1"/>
  <c r="J630" i="2"/>
  <c r="K630" i="2" s="1"/>
  <c r="J625" i="2"/>
  <c r="K625" i="2" s="1"/>
  <c r="F637" i="2"/>
  <c r="J629" i="2"/>
  <c r="K629" i="2" s="1"/>
  <c r="J628" i="2"/>
  <c r="K628" i="2" s="1"/>
  <c r="J626" i="2"/>
  <c r="K626" i="2" s="1"/>
  <c r="J733" i="2"/>
  <c r="K733" i="2" s="1"/>
  <c r="J727" i="2"/>
  <c r="K727" i="2" s="1"/>
  <c r="J729" i="2"/>
  <c r="K729" i="2" s="1"/>
  <c r="I740" i="2"/>
  <c r="K47" i="1" s="1"/>
  <c r="F740" i="2"/>
  <c r="J731" i="2"/>
  <c r="K731" i="2" s="1"/>
  <c r="J734" i="2"/>
  <c r="K734" i="2" s="1"/>
  <c r="J732" i="2"/>
  <c r="K732" i="2" s="1"/>
  <c r="J728" i="2"/>
  <c r="K728" i="2" s="1"/>
  <c r="J730" i="2"/>
  <c r="K730" i="2" s="1"/>
  <c r="J521" i="1"/>
  <c r="K521" i="1" s="1"/>
  <c r="J525" i="1"/>
  <c r="K525" i="1" s="1"/>
  <c r="J524" i="1"/>
  <c r="K524" i="1" s="1"/>
  <c r="J526" i="1"/>
  <c r="K526" i="1" s="1"/>
  <c r="F534" i="1"/>
  <c r="J522" i="1"/>
  <c r="K522" i="1" s="1"/>
  <c r="J523" i="1"/>
  <c r="K523" i="1" s="1"/>
  <c r="J527" i="1"/>
  <c r="K527" i="1" s="1"/>
  <c r="I534" i="1"/>
  <c r="K35" i="1" s="1"/>
  <c r="J528" i="1"/>
  <c r="K528" i="1" s="1"/>
  <c r="J419" i="2"/>
  <c r="K419" i="2" s="1"/>
  <c r="J425" i="2"/>
  <c r="K425" i="2" s="1"/>
  <c r="F420" i="2"/>
  <c r="G420" i="2" s="1"/>
  <c r="G427" i="2" s="1"/>
  <c r="F431" i="2" s="1"/>
  <c r="J420" i="2"/>
  <c r="K420" i="2" s="1"/>
  <c r="L420" i="2" s="1"/>
  <c r="L427" i="2" s="1"/>
  <c r="I431" i="2" s="1"/>
  <c r="K32" i="1" s="1"/>
  <c r="J422" i="2"/>
  <c r="K422" i="2" s="1"/>
  <c r="J423" i="2"/>
  <c r="K423" i="2" s="1"/>
  <c r="J418" i="2"/>
  <c r="K418" i="2" s="1"/>
  <c r="J424" i="2"/>
  <c r="K424" i="2" s="1"/>
  <c r="J421" i="2"/>
  <c r="K421" i="2" s="1"/>
  <c r="J320" i="2"/>
  <c r="K320" i="2" s="1"/>
  <c r="J322" i="2"/>
  <c r="K322" i="2" s="1"/>
  <c r="J319" i="2"/>
  <c r="K319" i="2" s="1"/>
  <c r="F315" i="2"/>
  <c r="G315" i="2" s="1"/>
  <c r="G324" i="2" s="1"/>
  <c r="F328" i="2" s="1"/>
  <c r="J318" i="2"/>
  <c r="K318" i="2" s="1"/>
  <c r="J315" i="2"/>
  <c r="K315" i="2" s="1"/>
  <c r="L315" i="2" s="1"/>
  <c r="L324" i="2" s="1"/>
  <c r="I328" i="2" s="1"/>
  <c r="K27" i="1" s="1"/>
  <c r="J321" i="2"/>
  <c r="K321" i="2" s="1"/>
  <c r="J316" i="2"/>
  <c r="K316" i="2" s="1"/>
  <c r="J317" i="2"/>
  <c r="K317" i="2" s="1"/>
  <c r="J935" i="2"/>
  <c r="K935" i="2" s="1"/>
  <c r="J936" i="2"/>
  <c r="K936" i="2" s="1"/>
  <c r="F946" i="2"/>
  <c r="J940" i="2"/>
  <c r="K940" i="2" s="1"/>
  <c r="J939" i="2"/>
  <c r="K939" i="2" s="1"/>
  <c r="J938" i="2"/>
  <c r="K938" i="2" s="1"/>
  <c r="J933" i="2"/>
  <c r="K933" i="2" s="1"/>
  <c r="I946" i="2"/>
  <c r="K57" i="1" s="1"/>
  <c r="J937" i="2"/>
  <c r="K937" i="2" s="1"/>
  <c r="J934" i="2"/>
  <c r="K934" i="2" s="1"/>
  <c r="J1042" i="2"/>
  <c r="K1042" i="2" s="1"/>
  <c r="F1049" i="2"/>
  <c r="J1043" i="2"/>
  <c r="K1043" i="2" s="1"/>
  <c r="J1036" i="2"/>
  <c r="K1036" i="2" s="1"/>
  <c r="I1049" i="2"/>
  <c r="K62" i="1" s="1"/>
  <c r="J1040" i="2"/>
  <c r="K1040" i="2" s="1"/>
  <c r="J1041" i="2"/>
  <c r="K1041" i="2" s="1"/>
  <c r="J1039" i="2"/>
  <c r="K1039" i="2" s="1"/>
  <c r="J1038" i="2"/>
  <c r="K1038" i="2" s="1"/>
  <c r="J1037" i="2"/>
  <c r="K1037" i="2" s="1"/>
  <c r="F404" i="1"/>
  <c r="G404" i="1" s="1"/>
  <c r="F396" i="1"/>
  <c r="G396" i="1" s="1"/>
  <c r="F382" i="1"/>
  <c r="H382" i="1" s="1"/>
  <c r="F397" i="1"/>
  <c r="G397" i="1" s="1"/>
  <c r="J1039" i="1"/>
  <c r="K1039" i="1" s="1"/>
  <c r="J1040" i="1"/>
  <c r="K1040" i="1" s="1"/>
  <c r="K406" i="1"/>
  <c r="M406" i="1" s="1"/>
  <c r="F394" i="1"/>
  <c r="G394" i="1" s="1"/>
  <c r="F406" i="1"/>
  <c r="G406" i="1" s="1"/>
  <c r="F407" i="1"/>
  <c r="G407" i="1" s="1"/>
  <c r="F405" i="1"/>
  <c r="G405" i="1" s="1"/>
  <c r="F212" i="1"/>
  <c r="G212" i="1" s="1"/>
  <c r="G221" i="1" s="1"/>
  <c r="F225" i="1" s="1"/>
  <c r="J217" i="1"/>
  <c r="K217" i="1" s="1"/>
  <c r="J214" i="1"/>
  <c r="K214" i="1" s="1"/>
  <c r="J218" i="1"/>
  <c r="K218" i="1" s="1"/>
  <c r="J212" i="1"/>
  <c r="K212" i="1" s="1"/>
  <c r="L212" i="1" s="1"/>
  <c r="J215" i="1"/>
  <c r="K215" i="1" s="1"/>
  <c r="J219" i="1"/>
  <c r="K219" i="1" s="1"/>
  <c r="J216" i="1"/>
  <c r="K216" i="1" s="1"/>
  <c r="J213" i="1"/>
  <c r="K213" i="1" s="1"/>
  <c r="L213" i="1" s="1"/>
  <c r="J732" i="1"/>
  <c r="K732" i="1" s="1"/>
  <c r="J734" i="1"/>
  <c r="K734" i="1" s="1"/>
  <c r="J728" i="1"/>
  <c r="K728" i="1" s="1"/>
  <c r="J730" i="1"/>
  <c r="K730" i="1" s="1"/>
  <c r="J733" i="1"/>
  <c r="K733" i="1" s="1"/>
  <c r="I740" i="1"/>
  <c r="K45" i="1" s="1"/>
  <c r="F740" i="1"/>
  <c r="J727" i="1"/>
  <c r="K727" i="1" s="1"/>
  <c r="J731" i="1"/>
  <c r="K731" i="1" s="1"/>
  <c r="J729" i="1"/>
  <c r="K729" i="1" s="1"/>
  <c r="F637" i="1"/>
  <c r="J630" i="1"/>
  <c r="K630" i="1" s="1"/>
  <c r="J627" i="1"/>
  <c r="K627" i="1" s="1"/>
  <c r="J628" i="1"/>
  <c r="K628" i="1" s="1"/>
  <c r="J625" i="1"/>
  <c r="K625" i="1" s="1"/>
  <c r="J624" i="1"/>
  <c r="K624" i="1" s="1"/>
  <c r="J629" i="1"/>
  <c r="K629" i="1" s="1"/>
  <c r="J631" i="1"/>
  <c r="K631" i="1" s="1"/>
  <c r="J626" i="1"/>
  <c r="K626" i="1" s="1"/>
  <c r="I637" i="1"/>
  <c r="K40" i="1" s="1"/>
  <c r="J934" i="1"/>
  <c r="K934" i="1" s="1"/>
  <c r="J940" i="1"/>
  <c r="K940" i="1" s="1"/>
  <c r="F946" i="1"/>
  <c r="I946" i="1"/>
  <c r="K55" i="1" s="1"/>
  <c r="J937" i="1"/>
  <c r="K937" i="1" s="1"/>
  <c r="J936" i="1"/>
  <c r="K936" i="1" s="1"/>
  <c r="J938" i="1"/>
  <c r="K938" i="1" s="1"/>
  <c r="J933" i="1"/>
  <c r="K933" i="1" s="1"/>
  <c r="J939" i="1"/>
  <c r="K939" i="1" s="1"/>
  <c r="J935" i="1"/>
  <c r="K935" i="1" s="1"/>
  <c r="J832" i="1"/>
  <c r="K832" i="1" s="1"/>
  <c r="J831" i="1"/>
  <c r="K831" i="1" s="1"/>
  <c r="J833" i="1"/>
  <c r="K833" i="1" s="1"/>
  <c r="J834" i="1"/>
  <c r="K834" i="1" s="1"/>
  <c r="J835" i="1"/>
  <c r="K835" i="1" s="1"/>
  <c r="F843" i="1"/>
  <c r="I843" i="1"/>
  <c r="K50" i="1" s="1"/>
  <c r="J837" i="1"/>
  <c r="K837" i="1" s="1"/>
  <c r="J830" i="1"/>
  <c r="K830" i="1" s="1"/>
  <c r="J836" i="1"/>
  <c r="K836" i="1" s="1"/>
  <c r="J1037" i="1"/>
  <c r="K1037" i="1" s="1"/>
  <c r="J1043" i="1"/>
  <c r="K1043" i="1" s="1"/>
  <c r="J1041" i="1"/>
  <c r="K1041" i="1" s="1"/>
  <c r="J1036" i="1"/>
  <c r="K1036" i="1" s="1"/>
  <c r="J1038" i="1"/>
  <c r="K1038" i="1" s="1"/>
  <c r="F1049" i="1"/>
  <c r="I1049" i="1"/>
  <c r="K60" i="1" s="1"/>
  <c r="J1042" i="1"/>
  <c r="K1042" i="1" s="1"/>
  <c r="U112" i="1"/>
  <c r="F378" i="1"/>
  <c r="G378" i="1" s="1"/>
  <c r="F392" i="1"/>
  <c r="G392" i="1" s="1"/>
  <c r="AA112" i="1"/>
  <c r="K122" i="1"/>
  <c r="S112" i="1"/>
  <c r="Y112" i="1"/>
  <c r="AC112" i="1"/>
  <c r="K112" i="1"/>
  <c r="W112" i="1"/>
  <c r="O122" i="1"/>
  <c r="F381" i="1"/>
  <c r="H381" i="1" s="1"/>
  <c r="F391" i="1"/>
  <c r="G391" i="1" s="1"/>
  <c r="AE112" i="1"/>
  <c r="Q112" i="1"/>
  <c r="AG112" i="1"/>
  <c r="O112" i="1"/>
  <c r="F380" i="1" l="1"/>
  <c r="H380" i="1" s="1"/>
  <c r="F395" i="1"/>
  <c r="G395" i="1" s="1"/>
  <c r="K405" i="1"/>
  <c r="M405" i="1" s="1"/>
  <c r="F379" i="1"/>
  <c r="H379" i="1" s="1"/>
  <c r="K404" i="1"/>
  <c r="M404" i="1" s="1"/>
  <c r="K407" i="1"/>
  <c r="M407" i="1" s="1"/>
  <c r="F383" i="1"/>
  <c r="H383" i="1" s="1"/>
  <c r="J69" i="1"/>
  <c r="J81" i="1" s="1"/>
  <c r="M270" i="1"/>
  <c r="AA159" i="1" s="1"/>
  <c r="AA165" i="1" s="1"/>
  <c r="G22" i="1" s="1"/>
  <c r="F270" i="1"/>
  <c r="E159" i="1" s="1"/>
  <c r="E165" i="1" s="1"/>
  <c r="G25" i="1" s="1"/>
  <c r="F272" i="1" s="1"/>
  <c r="L221" i="1"/>
  <c r="I225" i="1" s="1"/>
  <c r="K20" i="1" s="1"/>
  <c r="G382" i="1"/>
  <c r="G398" i="1"/>
  <c r="G411" i="1"/>
  <c r="G387" i="1"/>
  <c r="M377" i="1" s="1"/>
  <c r="H378" i="1"/>
  <c r="H387" i="1" s="1"/>
  <c r="G379" i="1"/>
  <c r="G383" i="1"/>
  <c r="G381" i="1"/>
  <c r="M411" i="1" l="1"/>
  <c r="G380" i="1"/>
  <c r="H25" i="1"/>
  <c r="G65" i="1"/>
  <c r="J70" i="1"/>
  <c r="J85" i="1" s="1"/>
  <c r="H22" i="1"/>
  <c r="F169" i="2"/>
  <c r="M383" i="1"/>
  <c r="H65" i="1"/>
  <c r="K301" i="1"/>
  <c r="M301" i="1" s="1"/>
  <c r="F290" i="1"/>
  <c r="G290" i="1" s="1"/>
  <c r="F301" i="1"/>
  <c r="G301" i="1" s="1"/>
  <c r="F293" i="1"/>
  <c r="G293" i="1" s="1"/>
  <c r="K302" i="1"/>
  <c r="M302" i="1" s="1"/>
  <c r="K303" i="1"/>
  <c r="M303" i="1" s="1"/>
  <c r="F294" i="1"/>
  <c r="G294" i="1" s="1"/>
  <c r="F276" i="1"/>
  <c r="F277" i="1"/>
  <c r="F289" i="1"/>
  <c r="G289" i="1" s="1"/>
  <c r="F291" i="1"/>
  <c r="G291" i="1" s="1"/>
  <c r="F278" i="1"/>
  <c r="F302" i="1"/>
  <c r="G302" i="1" s="1"/>
  <c r="F288" i="1"/>
  <c r="G288" i="1" s="1"/>
  <c r="F292" i="1"/>
  <c r="G292" i="1" s="1"/>
  <c r="F304" i="1"/>
  <c r="G304" i="1" s="1"/>
  <c r="F275" i="1"/>
  <c r="F280" i="1"/>
  <c r="F303" i="1"/>
  <c r="G303" i="1" s="1"/>
  <c r="F279" i="1"/>
  <c r="K304" i="1"/>
  <c r="M304" i="1" s="1"/>
  <c r="K200" i="2" l="1"/>
  <c r="M200" i="2" s="1"/>
  <c r="F173" i="2"/>
  <c r="F176" i="2"/>
  <c r="F190" i="2"/>
  <c r="G190" i="2" s="1"/>
  <c r="F201" i="2"/>
  <c r="G201" i="2" s="1"/>
  <c r="F200" i="2"/>
  <c r="G200" i="2" s="1"/>
  <c r="F172" i="2"/>
  <c r="F175" i="2"/>
  <c r="K199" i="2"/>
  <c r="M199" i="2" s="1"/>
  <c r="F177" i="2"/>
  <c r="F186" i="2"/>
  <c r="G186" i="2" s="1"/>
  <c r="F185" i="2"/>
  <c r="F189" i="2"/>
  <c r="G189" i="2" s="1"/>
  <c r="K198" i="2"/>
  <c r="F187" i="2"/>
  <c r="G187" i="2" s="1"/>
  <c r="F199" i="2"/>
  <c r="G199" i="2" s="1"/>
  <c r="K201" i="2"/>
  <c r="M201" i="2" s="1"/>
  <c r="F188" i="2"/>
  <c r="G188" i="2" s="1"/>
  <c r="F191" i="2"/>
  <c r="G191" i="2" s="1"/>
  <c r="F198" i="2"/>
  <c r="F174" i="2"/>
  <c r="G308" i="1"/>
  <c r="G295" i="1"/>
  <c r="M308" i="1"/>
  <c r="J419" i="1"/>
  <c r="K419" i="1" s="1"/>
  <c r="J420" i="1"/>
  <c r="K420" i="1" s="1"/>
  <c r="L420" i="1" s="1"/>
  <c r="L427" i="1" s="1"/>
  <c r="I431" i="1" s="1"/>
  <c r="K30" i="1" s="1"/>
  <c r="J421" i="1"/>
  <c r="K421" i="1" s="1"/>
  <c r="J425" i="1"/>
  <c r="K425" i="1" s="1"/>
  <c r="J422" i="1"/>
  <c r="K422" i="1" s="1"/>
  <c r="J418" i="1"/>
  <c r="K418" i="1" s="1"/>
  <c r="F420" i="1"/>
  <c r="G420" i="1" s="1"/>
  <c r="G427" i="1" s="1"/>
  <c r="F431" i="1" s="1"/>
  <c r="J423" i="1"/>
  <c r="K423" i="1" s="1"/>
  <c r="J424" i="1"/>
  <c r="K424" i="1" s="1"/>
  <c r="H279" i="1"/>
  <c r="G279" i="1"/>
  <c r="G278" i="1"/>
  <c r="H278" i="1"/>
  <c r="G276" i="1"/>
  <c r="H276" i="1"/>
  <c r="G280" i="1"/>
  <c r="H280" i="1"/>
  <c r="F213" i="2"/>
  <c r="G213" i="2" s="1"/>
  <c r="G275" i="1"/>
  <c r="G284" i="1" s="1"/>
  <c r="M274" i="1" s="1"/>
  <c r="H275" i="1"/>
  <c r="H277" i="1"/>
  <c r="G277" i="1"/>
  <c r="G175" i="2" l="1"/>
  <c r="H175" i="2"/>
  <c r="H172" i="2"/>
  <c r="G172" i="2"/>
  <c r="H174" i="2"/>
  <c r="G174" i="2"/>
  <c r="G198" i="2"/>
  <c r="G205" i="2" s="1"/>
  <c r="G185" i="2"/>
  <c r="G192" i="2" s="1"/>
  <c r="H176" i="2"/>
  <c r="G176" i="2"/>
  <c r="M198" i="2"/>
  <c r="M205" i="2"/>
  <c r="H177" i="2"/>
  <c r="G177" i="2"/>
  <c r="H173" i="2"/>
  <c r="G173" i="2"/>
  <c r="H284" i="1"/>
  <c r="H181" i="2" l="1"/>
  <c r="G181" i="2"/>
  <c r="M172" i="2" s="1"/>
  <c r="M177" i="2" s="1"/>
  <c r="J212" i="2" s="1"/>
  <c r="K212" i="2" s="1"/>
  <c r="L212" i="2" s="1"/>
  <c r="M280" i="1"/>
  <c r="J214" i="2" l="1"/>
  <c r="K214" i="2" s="1"/>
  <c r="J213" i="2"/>
  <c r="K213" i="2" s="1"/>
  <c r="L213" i="2" s="1"/>
  <c r="L221" i="2" s="1"/>
  <c r="I225" i="2" s="1"/>
  <c r="J219" i="2"/>
  <c r="K219" i="2" s="1"/>
  <c r="J217" i="2"/>
  <c r="K217" i="2" s="1"/>
  <c r="J216" i="2"/>
  <c r="K216" i="2" s="1"/>
  <c r="J218" i="2"/>
  <c r="K218" i="2" s="1"/>
  <c r="J215" i="2"/>
  <c r="K215" i="2" s="1"/>
  <c r="F212" i="2"/>
  <c r="G212" i="2" s="1"/>
  <c r="G221" i="2" s="1"/>
  <c r="F225" i="2" s="1"/>
  <c r="J315" i="1"/>
  <c r="K315" i="1" s="1"/>
  <c r="L315" i="1" s="1"/>
  <c r="L324" i="1" s="1"/>
  <c r="I328" i="1" s="1"/>
  <c r="K25" i="1" s="1"/>
  <c r="J318" i="1"/>
  <c r="K318" i="1" s="1"/>
  <c r="J320" i="1"/>
  <c r="K320" i="1" s="1"/>
  <c r="F315" i="1"/>
  <c r="G315" i="1" s="1"/>
  <c r="G324" i="1" s="1"/>
  <c r="F328" i="1" s="1"/>
  <c r="J321" i="1"/>
  <c r="K321" i="1" s="1"/>
  <c r="J319" i="1"/>
  <c r="K319" i="1" s="1"/>
  <c r="J322" i="1"/>
  <c r="K322" i="1" s="1"/>
  <c r="J316" i="1"/>
  <c r="K316" i="1" s="1"/>
  <c r="J317" i="1"/>
  <c r="K317" i="1" s="1"/>
  <c r="K22" i="1" l="1"/>
  <c r="K65" i="1" s="1"/>
  <c r="G70" i="1" s="1"/>
  <c r="G81" i="1" s="1"/>
  <c r="J82" i="1" l="1"/>
  <c r="J83" i="1"/>
  <c r="J87" i="1" s="1"/>
</calcChain>
</file>

<file path=xl/comments1.xml><?xml version="1.0" encoding="utf-8"?>
<comments xmlns="http://schemas.openxmlformats.org/spreadsheetml/2006/main">
  <authors>
    <author>Jo Hermans</author>
  </authors>
  <commentList>
    <comment ref="B19" authorId="0" shapeId="0">
      <text>
        <r>
          <rPr>
            <sz val="8"/>
            <color indexed="81"/>
            <rFont val="Tahoma"/>
            <family val="2"/>
          </rPr>
          <t xml:space="preserve">Nom du client
</t>
        </r>
      </text>
    </comment>
    <comment ref="I20" authorId="0" shapeId="0">
      <text>
        <r>
          <rPr>
            <b/>
            <sz val="8"/>
            <color indexed="81"/>
            <rFont val="Tahoma"/>
            <family val="2"/>
          </rPr>
          <t>Attention: 
- seulement en cas de donation en ligne directe;
- le tarif avantageux doit être demandé explicitement;
- au moins un des donataires qui demandent le taruf avantageux, doit s'engager dans l'acte à prendre son domicile à l'adresse du bien donné endéans les 2 ans après l'enregistrement de l'acte;
- ne vaut pas pour des terrains à bâtir 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25" authorId="0" shapeId="0">
      <text>
        <r>
          <rPr>
            <b/>
            <sz val="8"/>
            <color indexed="81"/>
            <rFont val="Tahoma"/>
            <family val="2"/>
          </rPr>
          <t>Attention: 
- seulement en cas de donation en ligne directe;
- le tarif avantageux doit être demandé explicitement;
- au moins un des donataires qui demandent le taruf avantageux, doit s'engager dans l'acte à prendre son domicile à l'adresse du bien donné endéans les 2 ans après l'enregistrement de l'acte;
- ne vaut pas pour des terrains à bâtir 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0" authorId="0" shapeId="0">
      <text>
        <r>
          <rPr>
            <b/>
            <sz val="8"/>
            <color indexed="81"/>
            <rFont val="Tahoma"/>
            <family val="2"/>
          </rPr>
          <t>Attention: 
- seulement en cas de donation en ligne directe;
- le tarif avantageux doit être demandé explicitement;
- au moins un des donataires qui demandent le taruf avantageux, doit s'engager dans l'acte à prendre son domicile à l'adresse du bien donné endéans les 2 ans après l'enregistrement de l'acte;
- ne vaut pas pour des terrains à bâtir 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5" authorId="0" shapeId="0">
      <text>
        <r>
          <rPr>
            <b/>
            <sz val="8"/>
            <color indexed="81"/>
            <rFont val="Tahoma"/>
            <family val="2"/>
          </rPr>
          <t>Attention: 
- seulement en cas de donation en ligne directe;
- le tarif avantageux doit être demandé explicitement;
- au moins un des donataires qui demandent le taruf avantageux, doit s'engager dans l'acte à prendre son domicile à l'adresse du bien donné endéans les 2 ans après l'enregistrement de l'acte;
- ne vaut pas pour des terrains à bâtir 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40" authorId="0" shapeId="0">
      <text>
        <r>
          <rPr>
            <b/>
            <sz val="8"/>
            <color indexed="81"/>
            <rFont val="Tahoma"/>
            <family val="2"/>
          </rPr>
          <t>Attention: 
- seulement en cas de donation en ligne directe;
- le tarif avantageux doit être demandé explicitement;
- au moins un des donataires qui demandent le taruf avantageux, doit s'engager dans l'acte à prendre son domicile à l'adresse du bien donné endéans les 2 ans après l'enregistrement de l'acte;
- ne vaut pas pour des terrains à bâtir 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45" authorId="0" shapeId="0">
      <text>
        <r>
          <rPr>
            <b/>
            <sz val="8"/>
            <color indexed="81"/>
            <rFont val="Tahoma"/>
            <family val="2"/>
          </rPr>
          <t>Attention: 
- seulement en cas de donation en ligne directe;
- le tarif avantageux doit être demandé explicitement;
- au moins un des donataires qui demandent le taruf avantageux, doit s'engager dans l'acte à prendre son domicile à l'adresse du bien donné endéans les 2 ans après l'enregistrement de l'acte;
- ne vaut pas pour des terrains à bâtir 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50" authorId="0" shapeId="0">
      <text>
        <r>
          <rPr>
            <b/>
            <sz val="8"/>
            <color indexed="81"/>
            <rFont val="Tahoma"/>
            <family val="2"/>
          </rPr>
          <t>Attention: 
- seulement en cas de donation en ligne directe;
- le tarif avantageux doit être demandé explicitement;
- au moins un des donataires qui demandent le taruf avantageux, doit s'engager dans l'acte à prendre son domicile à l'adresse du bien donné endéans les 2 ans après l'enregistrement de l'acte;
- ne vaut pas pour des terrains à bâtir 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55" authorId="0" shapeId="0">
      <text>
        <r>
          <rPr>
            <b/>
            <sz val="8"/>
            <color indexed="81"/>
            <rFont val="Tahoma"/>
            <family val="2"/>
          </rPr>
          <t>Attention: 
- seulement en cas de donation en ligne directe;
- le tarif avantageux doit être demandé explicitement;
- au moins un des donataires qui demandent le taruf avantageux, doit s'engager dans l'acte à prendre son domicile à l'adresse du bien donné endéans les 2 ans après l'enregistrement de l'acte;
- ne vaut pas pour des terrains à bâtir 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0" authorId="0" shapeId="0">
      <text>
        <r>
          <rPr>
            <b/>
            <sz val="8"/>
            <color indexed="81"/>
            <rFont val="Tahoma"/>
            <family val="2"/>
          </rPr>
          <t>Attention: 
- seulement en cas de donation en ligne directe;
- le tarif avantageux doit être demandé explicitement;
- au moins un des donataires qui demandent le taruf avantageux, doit s'engager dans l'acte à prendre son domicile à l'adresse du bien donné endéans les 2 ans après l'enregistrement de l'acte;
- ne vaut pas pour des terrains à bâtir !!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<sst xmlns="http://schemas.openxmlformats.org/spreadsheetml/2006/main" count="613" uniqueCount="123">
  <si>
    <t>Dossier</t>
  </si>
  <si>
    <t>------------------------------------------------------------------------------------------------</t>
  </si>
  <si>
    <t>Totaal</t>
  </si>
  <si>
    <t>Totaal:</t>
  </si>
  <si>
    <t>Waarde OG:</t>
  </si>
  <si>
    <t>REEKS 1</t>
  </si>
  <si>
    <t>RL/norm.</t>
  </si>
  <si>
    <t>Totaal loon</t>
  </si>
  <si>
    <t>REEKS 2</t>
  </si>
  <si>
    <t>Br/norm</t>
  </si>
  <si>
    <t>Oom/norm</t>
  </si>
  <si>
    <t>And/norm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</si>
  <si>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</si>
  <si>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</si>
  <si>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</si>
  <si>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</si>
  <si>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</si>
  <si>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</si>
  <si>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</si>
  <si>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</si>
  <si>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</si>
  <si>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</si>
  <si>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</si>
  <si>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</si>
  <si>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</si>
  <si>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RL/voordeel</t>
  </si>
  <si>
    <t>REEKS 3</t>
  </si>
  <si>
    <t>REEKS 4</t>
  </si>
  <si>
    <t>/</t>
  </si>
  <si>
    <t>Vruchtgebruik:</t>
  </si>
  <si>
    <t>Andere</t>
  </si>
  <si>
    <t>begiftigden</t>
  </si>
  <si>
    <t>Echtgenoot:</t>
  </si>
  <si>
    <t>Andere:</t>
  </si>
  <si>
    <t xml:space="preserve">   * Als (eventueel) vruchtgebruik, leeftijd van de begiftigde?</t>
  </si>
  <si>
    <t>VRUCHTGEBRUIK DERDE(N)</t>
  </si>
  <si>
    <t>=</t>
  </si>
  <si>
    <t>Eventueel vruchtgebruik 100 % begiftigde 1</t>
  </si>
  <si>
    <t>Eventueel vruchtgebruik 100 % begiftigde 2</t>
  </si>
  <si>
    <t>Eventueel vruchtgebruik 100 % begiftigde 3</t>
  </si>
  <si>
    <t>Eventueel vruchtgebruik 100 % begiftigde 4</t>
  </si>
  <si>
    <t>Eventueel vruchtgebruik 100 % begiftigde 5</t>
  </si>
  <si>
    <t>Eventueel vruchtgebruik 100 % begiftigde 6</t>
  </si>
  <si>
    <t>Eventueel vruchtgebruik 100 % begiftigde 7</t>
  </si>
  <si>
    <t>Eventueel vruchtgebruik 100 % begiftigde 8</t>
  </si>
  <si>
    <t>Eventueel vruchtgebruik 100 % begiftigde 9</t>
  </si>
  <si>
    <t>Waarde VOLLEDIG vruchtgebruik derden</t>
  </si>
  <si>
    <t>Vruchtgebruik</t>
  </si>
  <si>
    <t>Eventueel vruchtgebruik 100 % begiftigde 1bis</t>
  </si>
  <si>
    <t>Eventueel vruchtgebruik 100 % begiftigde 2bis</t>
  </si>
  <si>
    <t>Eventueel vruchtgebruik 100 % begiftigde 3bis</t>
  </si>
  <si>
    <t>Eventueel vruchtgebruik 100 % begiftigde 4bis</t>
  </si>
  <si>
    <t>Eventueel vruchtgebruik 100 % begiftigde 5bis</t>
  </si>
  <si>
    <t>Eventueel vruchtgebruik 100 % begiftigde 6bis</t>
  </si>
  <si>
    <t>Eventueel vruchtgebruik 100 % begiftigde 7bis</t>
  </si>
  <si>
    <t>Eventueel vruchtgebruik 100 % begiftigde 8bis</t>
  </si>
  <si>
    <t>Eventueel vruchtgebruik 100 % begiftigde 9bis</t>
  </si>
  <si>
    <t>DONATION IMMOBILIÈRE BRUXELLES</t>
  </si>
  <si>
    <t>Client (donateur)</t>
  </si>
  <si>
    <t>Valeur totale des biens donnés</t>
  </si>
  <si>
    <t>Usufruit --&gt; valeur locative annuelle?</t>
  </si>
  <si>
    <t>Est-ce que l'usufruit appartient à un ou plusieurs tiers?</t>
  </si>
  <si>
    <t>oui</t>
  </si>
  <si>
    <t>Si oui, quel est son âge (du plus jeune)?</t>
  </si>
  <si>
    <t>Usufruit de quelle part du bien?</t>
  </si>
  <si>
    <t>Valeur de l'usufruit</t>
  </si>
  <si>
    <t>Genre de donation</t>
  </si>
  <si>
    <t>Donataire 1</t>
  </si>
  <si>
    <t>* Quote-part dans les biens donnés?</t>
  </si>
  <si>
    <t xml:space="preserve">  * En cas d'usufruit (éventuel), l'âge du donataire?</t>
  </si>
  <si>
    <t>* Quote-part supplémentaire dans les biens donnés?</t>
  </si>
  <si>
    <t>NP</t>
  </si>
  <si>
    <t>Donataire 2</t>
  </si>
  <si>
    <t>Donataire 3</t>
  </si>
  <si>
    <t>USEV</t>
  </si>
  <si>
    <t>Donataire 4</t>
  </si>
  <si>
    <t>Donataire 5</t>
  </si>
  <si>
    <t>Donataire 6</t>
  </si>
  <si>
    <t>Donataire 7</t>
  </si>
  <si>
    <t>Donataire 8</t>
  </si>
  <si>
    <t>Donataire 9</t>
  </si>
  <si>
    <t>non</t>
  </si>
  <si>
    <t>US</t>
  </si>
  <si>
    <t>PP</t>
  </si>
  <si>
    <t>épou(x)(se)</t>
  </si>
  <si>
    <t>ligne directe</t>
  </si>
  <si>
    <t>frère/soeur</t>
  </si>
  <si>
    <t>oncle-tante/neveu-nièce</t>
  </si>
  <si>
    <t>étrangers</t>
  </si>
  <si>
    <t>avancement d'hoirie</t>
  </si>
  <si>
    <t>préciput et hors part</t>
  </si>
  <si>
    <t>Verminderingen wegens minderouirige kinderen van de begiftigden</t>
  </si>
  <si>
    <t>Parenté</t>
  </si>
  <si>
    <t>Valeur</t>
  </si>
  <si>
    <t>Quote-part</t>
  </si>
  <si>
    <t>Enfants -21 j</t>
  </si>
  <si>
    <t>à charge</t>
  </si>
  <si>
    <t>Enregistrement</t>
  </si>
  <si>
    <t>Futur domicile?</t>
  </si>
  <si>
    <t>droits d'enregistrement acte</t>
  </si>
  <si>
    <t>droits d'enregistrement annexe(s)</t>
  </si>
  <si>
    <t>transcription (rôles)</t>
  </si>
  <si>
    <t>renseignements urbanistiques (non obligatoires)</t>
  </si>
  <si>
    <t>droits d'écriture</t>
  </si>
  <si>
    <t>frais divers</t>
  </si>
  <si>
    <t>(TVA)</t>
  </si>
  <si>
    <t>Honoraire</t>
  </si>
  <si>
    <t>Total frais</t>
  </si>
  <si>
    <t>Total</t>
  </si>
  <si>
    <t>Ensemble</t>
  </si>
  <si>
    <t>TVA</t>
  </si>
  <si>
    <t>Total:</t>
  </si>
  <si>
    <t>Décompte donateur</t>
  </si>
  <si>
    <t>Décompte donataire 1</t>
  </si>
  <si>
    <t>Décompte donataire 2</t>
  </si>
  <si>
    <t>Décompte donataire 3</t>
  </si>
  <si>
    <t>Décompte donataire 4</t>
  </si>
  <si>
    <t>Décompte donataire 5</t>
  </si>
  <si>
    <t>Décompte donataire 6</t>
  </si>
  <si>
    <t>Décompte donataire 7</t>
  </si>
  <si>
    <t>Décompte donataire 8</t>
  </si>
  <si>
    <t>Décompte donataire 9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</si>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</sst>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_ ;\-#,##0\ "/>
    <numFmt numFmtId="169" formatCode="0.0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0.0000"/>
  </numFmts>
  <fonts count="18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 val="singleAccounting"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35"/>
      </top>
      <bottom/>
      <diagonal/>
    </border>
    <border>
      <left/>
      <right style="thick">
        <color indexed="35"/>
      </right>
      <top style="thick">
        <color indexed="35"/>
      </top>
      <bottom/>
      <diagonal/>
    </border>
    <border>
      <left/>
      <right style="thick">
        <color indexed="35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20"/>
      </top>
      <bottom/>
      <diagonal/>
    </border>
  </borders>
  <cellStyleXfs count="17">
    <xf numFmtId="0" fontId="0" fillId="0" borderId="0"/>
    <xf numFmtId="170" fontId="7" fillId="0" borderId="0">
      <protection locked="0"/>
    </xf>
    <xf numFmtId="171" fontId="1" fillId="0" borderId="0" applyFont="0" applyFill="0" applyBorder="0" applyAlignment="0" applyProtection="0"/>
    <xf numFmtId="172" fontId="7" fillId="0" borderId="0">
      <protection locked="0"/>
    </xf>
    <xf numFmtId="173" fontId="1" fillId="0" borderId="0" applyFont="0" applyFill="0" applyBorder="0" applyAlignment="0" applyProtection="0"/>
    <xf numFmtId="174" fontId="7" fillId="0" borderId="0">
      <protection locked="0"/>
    </xf>
    <xf numFmtId="175" fontId="7" fillId="0" borderId="0">
      <protection locked="0"/>
    </xf>
    <xf numFmtId="176" fontId="8" fillId="0" borderId="0">
      <protection locked="0"/>
    </xf>
    <xf numFmtId="176" fontId="8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7" fontId="7" fillId="0" borderId="0">
      <protection locked="0"/>
    </xf>
    <xf numFmtId="9" fontId="1" fillId="0" borderId="0" applyFont="0" applyFill="0" applyBorder="0" applyAlignment="0" applyProtection="0"/>
    <xf numFmtId="0" fontId="9" fillId="0" borderId="0"/>
    <xf numFmtId="0" fontId="17" fillId="0" borderId="0"/>
    <xf numFmtId="0" fontId="1" fillId="0" borderId="0"/>
    <xf numFmtId="0" fontId="17" fillId="0" borderId="0"/>
    <xf numFmtId="176" fontId="7" fillId="0" borderId="1">
      <protection locked="0"/>
    </xf>
  </cellStyleXfs>
  <cellXfs count="236">
    <xf numFmtId="0" fontId="0" fillId="0" borderId="0" xfId="0"/>
    <xf numFmtId="0" fontId="2" fillId="2" borderId="0" xfId="0" applyNumberFormat="1" applyFont="1" applyFill="1" applyBorder="1" applyAlignment="1" applyProtection="1">
      <alignment horizontal="left"/>
      <protection locked="0" hidden="1"/>
    </xf>
    <xf numFmtId="0" fontId="2" fillId="2" borderId="0" xfId="0" applyFont="1" applyFill="1" applyBorder="1" applyAlignment="1" applyProtection="1">
      <alignment horizontal="left"/>
      <protection hidden="1"/>
    </xf>
    <xf numFmtId="1" fontId="2" fillId="2" borderId="0" xfId="0" applyNumberFormat="1" applyFont="1" applyFill="1" applyBorder="1" applyAlignment="1" applyProtection="1">
      <alignment horizontal="right"/>
      <protection locked="0" hidden="1"/>
    </xf>
    <xf numFmtId="0" fontId="14" fillId="2" borderId="0" xfId="0" applyFont="1" applyFill="1" applyBorder="1" applyAlignment="1" applyProtection="1">
      <alignment horizontal="center"/>
      <protection locked="0" hidden="1"/>
    </xf>
    <xf numFmtId="178" fontId="14" fillId="4" borderId="3" xfId="0" applyNumberFormat="1" applyFont="1" applyFill="1" applyBorder="1" applyAlignment="1" applyProtection="1">
      <alignment horizontal="right"/>
      <protection hidden="1"/>
    </xf>
    <xf numFmtId="0" fontId="2" fillId="5" borderId="0" xfId="0" applyFont="1" applyFill="1" applyBorder="1" applyAlignment="1" applyProtection="1">
      <alignment horizontal="left"/>
      <protection hidden="1"/>
    </xf>
    <xf numFmtId="0" fontId="14" fillId="5" borderId="0" xfId="0" applyNumberFormat="1" applyFont="1" applyFill="1" applyBorder="1" applyAlignment="1" applyProtection="1">
      <protection hidden="1"/>
    </xf>
    <xf numFmtId="166" fontId="14" fillId="5" borderId="0" xfId="0" applyNumberFormat="1" applyFont="1" applyFill="1" applyBorder="1" applyAlignment="1" applyProtection="1">
      <protection hidden="1"/>
    </xf>
    <xf numFmtId="0" fontId="14" fillId="5" borderId="0" xfId="0" applyFont="1" applyFill="1" applyBorder="1" applyProtection="1">
      <protection hidden="1"/>
    </xf>
    <xf numFmtId="0" fontId="14" fillId="5" borderId="0" xfId="0" applyFont="1" applyFill="1" applyBorder="1" applyAlignment="1" applyProtection="1">
      <alignment horizontal="left"/>
      <protection hidden="1"/>
    </xf>
    <xf numFmtId="166" fontId="14" fillId="5" borderId="0" xfId="0" applyNumberFormat="1" applyFont="1" applyFill="1" applyBorder="1" applyAlignment="1" applyProtection="1">
      <alignment horizontal="left"/>
      <protection hidden="1"/>
    </xf>
    <xf numFmtId="0" fontId="5" fillId="5" borderId="0" xfId="0" applyFont="1" applyFill="1" applyBorder="1" applyAlignment="1" applyProtection="1">
      <alignment horizontal="center"/>
      <protection hidden="1"/>
    </xf>
    <xf numFmtId="166" fontId="12" fillId="5" borderId="0" xfId="0" applyNumberFormat="1" applyFont="1" applyFill="1" applyBorder="1" applyAlignment="1" applyProtection="1">
      <alignment horizontal="center"/>
      <protection hidden="1"/>
    </xf>
    <xf numFmtId="178" fontId="14" fillId="5" borderId="0" xfId="0" applyNumberFormat="1" applyFont="1" applyFill="1" applyBorder="1" applyAlignment="1" applyProtection="1">
      <protection hidden="1"/>
    </xf>
    <xf numFmtId="10" fontId="14" fillId="5" borderId="0" xfId="0" applyNumberFormat="1" applyFont="1" applyFill="1" applyBorder="1" applyAlignment="1" applyProtection="1">
      <protection hidden="1"/>
    </xf>
    <xf numFmtId="1" fontId="14" fillId="5" borderId="0" xfId="0" applyNumberFormat="1" applyFont="1" applyFill="1" applyBorder="1" applyAlignment="1" applyProtection="1">
      <alignment horizontal="center"/>
      <protection hidden="1"/>
    </xf>
    <xf numFmtId="10" fontId="14" fillId="5" borderId="0" xfId="0" applyNumberFormat="1" applyFont="1" applyFill="1" applyBorder="1" applyProtection="1">
      <protection hidden="1"/>
    </xf>
    <xf numFmtId="10" fontId="14" fillId="5" borderId="0" xfId="0" applyNumberFormat="1" applyFont="1" applyFill="1" applyBorder="1" applyAlignment="1" applyProtection="1">
      <alignment horizontal="center"/>
      <protection hidden="1"/>
    </xf>
    <xf numFmtId="1" fontId="14" fillId="5" borderId="0" xfId="0" applyNumberFormat="1" applyFont="1" applyFill="1" applyAlignment="1" applyProtection="1">
      <alignment horizontal="center"/>
      <protection hidden="1"/>
    </xf>
    <xf numFmtId="178" fontId="14" fillId="5" borderId="0" xfId="0" applyNumberFormat="1" applyFont="1" applyFill="1" applyProtection="1">
      <protection hidden="1"/>
    </xf>
    <xf numFmtId="0" fontId="14" fillId="5" borderId="0" xfId="0" applyFont="1" applyFill="1" applyProtection="1">
      <protection hidden="1"/>
    </xf>
    <xf numFmtId="0" fontId="14" fillId="5" borderId="0" xfId="0" applyFont="1" applyFill="1" applyBorder="1" applyAlignment="1" applyProtection="1">
      <alignment horizontal="center"/>
      <protection hidden="1"/>
    </xf>
    <xf numFmtId="178" fontId="14" fillId="5" borderId="0" xfId="0" applyNumberFormat="1" applyFont="1" applyFill="1" applyBorder="1" applyProtection="1">
      <protection hidden="1"/>
    </xf>
    <xf numFmtId="0" fontId="14" fillId="5" borderId="0" xfId="0" applyNumberFormat="1" applyFont="1" applyFill="1" applyBorder="1" applyAlignment="1" applyProtection="1">
      <alignment horizontal="right"/>
      <protection hidden="1"/>
    </xf>
    <xf numFmtId="0" fontId="2" fillId="5" borderId="0" xfId="0" quotePrefix="1" applyFont="1" applyFill="1" applyBorder="1" applyAlignment="1" applyProtection="1">
      <alignment horizontal="left"/>
      <protection hidden="1"/>
    </xf>
    <xf numFmtId="167" fontId="14" fillId="5" borderId="0" xfId="0" applyNumberFormat="1" applyFont="1" applyFill="1" applyBorder="1" applyAlignment="1" applyProtection="1">
      <alignment horizontal="right"/>
      <protection hidden="1"/>
    </xf>
    <xf numFmtId="178" fontId="14" fillId="5" borderId="0" xfId="0" applyNumberFormat="1" applyFont="1" applyFill="1" applyBorder="1" applyAlignment="1" applyProtection="1">
      <alignment horizontal="right"/>
      <protection hidden="1"/>
    </xf>
    <xf numFmtId="178" fontId="3" fillId="5" borderId="0" xfId="0" applyNumberFormat="1" applyFont="1" applyFill="1" applyBorder="1" applyAlignment="1" applyProtection="1">
      <alignment horizontal="right"/>
      <protection hidden="1"/>
    </xf>
    <xf numFmtId="4" fontId="14" fillId="5" borderId="0" xfId="0" applyNumberFormat="1" applyFont="1" applyFill="1" applyBorder="1" applyProtection="1">
      <protection hidden="1"/>
    </xf>
    <xf numFmtId="0" fontId="2" fillId="5" borderId="0" xfId="0" applyFont="1" applyFill="1" applyBorder="1" applyProtection="1">
      <protection hidden="1"/>
    </xf>
    <xf numFmtId="4" fontId="14" fillId="5" borderId="0" xfId="0" applyNumberFormat="1" applyFont="1" applyFill="1" applyBorder="1" applyAlignment="1" applyProtection="1">
      <alignment horizontal="center"/>
      <protection hidden="1"/>
    </xf>
    <xf numFmtId="4" fontId="14" fillId="5" borderId="0" xfId="11" applyNumberFormat="1" applyFont="1" applyFill="1" applyBorder="1" applyProtection="1">
      <protection hidden="1"/>
    </xf>
    <xf numFmtId="169" fontId="14" fillId="5" borderId="0" xfId="11" applyNumberFormat="1" applyFont="1" applyFill="1" applyBorder="1" applyProtection="1">
      <protection hidden="1"/>
    </xf>
    <xf numFmtId="1" fontId="14" fillId="5" borderId="0" xfId="11" applyNumberFormat="1" applyFont="1" applyFill="1" applyBorder="1" applyProtection="1">
      <protection hidden="1"/>
    </xf>
    <xf numFmtId="4" fontId="6" fillId="5" borderId="0" xfId="11" applyNumberFormat="1" applyFont="1" applyFill="1" applyBorder="1" applyAlignment="1" applyProtection="1">
      <alignment horizontal="center"/>
      <protection hidden="1"/>
    </xf>
    <xf numFmtId="169" fontId="6" fillId="5" borderId="0" xfId="11" applyNumberFormat="1" applyFont="1" applyFill="1" applyBorder="1" applyAlignment="1" applyProtection="1">
      <alignment horizontal="center"/>
      <protection hidden="1"/>
    </xf>
    <xf numFmtId="13" fontId="14" fillId="5" borderId="0" xfId="0" applyNumberFormat="1" applyFont="1" applyFill="1" applyBorder="1" applyProtection="1">
      <protection hidden="1"/>
    </xf>
    <xf numFmtId="2" fontId="14" fillId="5" borderId="0" xfId="0" applyNumberFormat="1" applyFont="1" applyFill="1" applyBorder="1" applyProtection="1">
      <protection hidden="1"/>
    </xf>
    <xf numFmtId="2" fontId="14" fillId="5" borderId="4" xfId="0" applyNumberFormat="1" applyFont="1" applyFill="1" applyBorder="1" applyProtection="1">
      <protection hidden="1"/>
    </xf>
    <xf numFmtId="0" fontId="14" fillId="5" borderId="4" xfId="0" applyFont="1" applyFill="1" applyBorder="1" applyProtection="1">
      <protection hidden="1"/>
    </xf>
    <xf numFmtId="0" fontId="14" fillId="5" borderId="4" xfId="0" applyFont="1" applyFill="1" applyBorder="1" applyAlignment="1" applyProtection="1">
      <alignment horizontal="center"/>
      <protection hidden="1"/>
    </xf>
    <xf numFmtId="4" fontId="2" fillId="5" borderId="0" xfId="0" applyNumberFormat="1" applyFont="1" applyFill="1" applyBorder="1" applyProtection="1">
      <protection hidden="1"/>
    </xf>
    <xf numFmtId="4" fontId="14" fillId="5" borderId="5" xfId="0" applyNumberFormat="1" applyFont="1" applyFill="1" applyBorder="1" applyProtection="1">
      <protection hidden="1"/>
    </xf>
    <xf numFmtId="4" fontId="5" fillId="5" borderId="5" xfId="0" applyNumberFormat="1" applyFont="1" applyFill="1" applyBorder="1" applyProtection="1">
      <protection hidden="1"/>
    </xf>
    <xf numFmtId="4" fontId="2" fillId="5" borderId="5" xfId="0" applyNumberFormat="1" applyFont="1" applyFill="1" applyBorder="1" applyAlignment="1" applyProtection="1">
      <alignment horizontal="center"/>
      <protection hidden="1"/>
    </xf>
    <xf numFmtId="167" fontId="14" fillId="5" borderId="5" xfId="0" applyNumberFormat="1" applyFont="1" applyFill="1" applyBorder="1" applyAlignment="1" applyProtection="1">
      <alignment horizontal="left"/>
      <protection hidden="1"/>
    </xf>
    <xf numFmtId="0" fontId="14" fillId="5" borderId="5" xfId="0" applyFont="1" applyFill="1" applyBorder="1" applyProtection="1">
      <protection hidden="1"/>
    </xf>
    <xf numFmtId="0" fontId="14" fillId="5" borderId="6" xfId="0" applyFont="1" applyFill="1" applyBorder="1" applyProtection="1">
      <protection hidden="1"/>
    </xf>
    <xf numFmtId="4" fontId="14" fillId="5" borderId="0" xfId="0" quotePrefix="1" applyNumberFormat="1" applyFont="1" applyFill="1" applyBorder="1" applyProtection="1">
      <protection hidden="1"/>
    </xf>
    <xf numFmtId="167" fontId="14" fillId="5" borderId="0" xfId="0" applyNumberFormat="1" applyFont="1" applyFill="1" applyBorder="1" applyAlignment="1" applyProtection="1">
      <alignment horizontal="left"/>
      <protection hidden="1"/>
    </xf>
    <xf numFmtId="0" fontId="14" fillId="5" borderId="7" xfId="0" applyFont="1" applyFill="1" applyBorder="1" applyProtection="1">
      <protection hidden="1"/>
    </xf>
    <xf numFmtId="4" fontId="5" fillId="5" borderId="0" xfId="0" applyNumberFormat="1" applyFont="1" applyFill="1" applyBorder="1" applyProtection="1">
      <protection hidden="1"/>
    </xf>
    <xf numFmtId="4" fontId="2" fillId="5" borderId="0" xfId="0" applyNumberFormat="1" applyFont="1" applyFill="1" applyBorder="1" applyAlignment="1" applyProtection="1">
      <alignment horizontal="center"/>
      <protection hidden="1"/>
    </xf>
    <xf numFmtId="4" fontId="14" fillId="5" borderId="0" xfId="0" quotePrefix="1" applyNumberFormat="1" applyFont="1" applyFill="1" applyBorder="1" applyAlignment="1" applyProtection="1">
      <alignment horizontal="left"/>
      <protection hidden="1"/>
    </xf>
    <xf numFmtId="2" fontId="14" fillId="5" borderId="8" xfId="0" applyNumberFormat="1" applyFont="1" applyFill="1" applyBorder="1" applyProtection="1">
      <protection hidden="1"/>
    </xf>
    <xf numFmtId="164" fontId="14" fillId="5" borderId="0" xfId="0" applyNumberFormat="1" applyFont="1" applyFill="1" applyBorder="1" applyProtection="1">
      <protection hidden="1"/>
    </xf>
    <xf numFmtId="0" fontId="15" fillId="6" borderId="9" xfId="0" applyFont="1" applyFill="1" applyBorder="1" applyAlignment="1" applyProtection="1">
      <alignment horizontal="left"/>
      <protection hidden="1"/>
    </xf>
    <xf numFmtId="0" fontId="13" fillId="6" borderId="9" xfId="0" applyFont="1" applyFill="1" applyBorder="1" applyAlignment="1" applyProtection="1">
      <alignment horizontal="left"/>
      <protection hidden="1"/>
    </xf>
    <xf numFmtId="0" fontId="2" fillId="7" borderId="0" xfId="0" applyFont="1" applyFill="1" applyBorder="1" applyAlignment="1" applyProtection="1">
      <alignment horizontal="left"/>
      <protection hidden="1"/>
    </xf>
    <xf numFmtId="0" fontId="14" fillId="8" borderId="0" xfId="0" applyFont="1" applyFill="1" applyBorder="1" applyAlignment="1" applyProtection="1">
      <alignment horizontal="center"/>
      <protection locked="0" hidden="1"/>
    </xf>
    <xf numFmtId="1" fontId="14" fillId="7" borderId="0" xfId="0" applyNumberFormat="1" applyFont="1" applyFill="1" applyBorder="1" applyAlignment="1" applyProtection="1">
      <alignment horizontal="center"/>
      <protection locked="0" hidden="1"/>
    </xf>
    <xf numFmtId="168" fontId="14" fillId="5" borderId="0" xfId="0" applyNumberFormat="1" applyFont="1" applyFill="1" applyBorder="1" applyAlignment="1" applyProtection="1">
      <alignment horizontal="center"/>
      <protection hidden="1"/>
    </xf>
    <xf numFmtId="164" fontId="14" fillId="5" borderId="0" xfId="0" applyNumberFormat="1" applyFont="1" applyFill="1" applyBorder="1" applyAlignment="1" applyProtection="1">
      <alignment horizontal="center"/>
      <protection hidden="1"/>
    </xf>
    <xf numFmtId="0" fontId="2" fillId="2" borderId="0" xfId="0" applyNumberFormat="1" applyFont="1" applyFill="1" applyBorder="1" applyAlignment="1" applyProtection="1">
      <alignment horizontal="center"/>
      <protection hidden="1"/>
    </xf>
    <xf numFmtId="168" fontId="2" fillId="5" borderId="0" xfId="0" applyNumberFormat="1" applyFont="1" applyFill="1" applyBorder="1" applyAlignment="1" applyProtection="1">
      <alignment horizontal="center"/>
      <protection hidden="1"/>
    </xf>
    <xf numFmtId="165" fontId="2" fillId="3" borderId="2" xfId="0" applyNumberFormat="1" applyFont="1" applyFill="1" applyBorder="1" applyAlignment="1" applyProtection="1">
      <alignment horizontal="center"/>
      <protection hidden="1"/>
    </xf>
    <xf numFmtId="10" fontId="14" fillId="5" borderId="0" xfId="0" applyNumberFormat="1" applyFont="1" applyFill="1" applyProtection="1">
      <protection hidden="1"/>
    </xf>
    <xf numFmtId="0" fontId="2" fillId="2" borderId="0" xfId="0" applyNumberFormat="1" applyFont="1" applyFill="1" applyBorder="1" applyAlignment="1" applyProtection="1">
      <alignment horizontal="left"/>
      <protection locked="0"/>
    </xf>
    <xf numFmtId="0" fontId="2" fillId="7" borderId="0" xfId="0" applyNumberFormat="1" applyFont="1" applyFill="1" applyBorder="1" applyAlignment="1" applyProtection="1">
      <alignment horizontal="left"/>
      <protection locked="0"/>
    </xf>
    <xf numFmtId="164" fontId="14" fillId="9" borderId="0" xfId="0" applyNumberFormat="1" applyFont="1" applyFill="1" applyBorder="1" applyAlignment="1" applyProtection="1">
      <protection locked="0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1" fontId="14" fillId="2" borderId="0" xfId="0" applyNumberFormat="1" applyFont="1" applyFill="1" applyAlignment="1" applyProtection="1">
      <alignment horizontal="center"/>
      <protection locked="0"/>
    </xf>
    <xf numFmtId="178" fontId="14" fillId="2" borderId="0" xfId="0" applyNumberFormat="1" applyFont="1" applyFill="1" applyBorder="1" applyAlignment="1" applyProtection="1">
      <alignment horizontal="right"/>
      <protection locked="0"/>
    </xf>
    <xf numFmtId="0" fontId="14" fillId="2" borderId="0" xfId="0" applyFont="1" applyFill="1" applyBorder="1" applyAlignment="1" applyProtection="1">
      <alignment horizontal="center"/>
      <protection locked="0"/>
    </xf>
    <xf numFmtId="164" fontId="14" fillId="7" borderId="0" xfId="0" applyNumberFormat="1" applyFont="1" applyFill="1" applyBorder="1" applyAlignment="1" applyProtection="1">
      <alignment horizontal="right"/>
      <protection locked="0"/>
    </xf>
    <xf numFmtId="166" fontId="0" fillId="5" borderId="0" xfId="0" applyNumberFormat="1" applyFont="1" applyFill="1" applyBorder="1" applyAlignment="1" applyProtection="1">
      <alignment horizontal="left"/>
      <protection hidden="1"/>
    </xf>
    <xf numFmtId="164" fontId="14" fillId="10" borderId="0" xfId="0" applyNumberFormat="1" applyFont="1" applyFill="1" applyBorder="1" applyAlignment="1" applyProtection="1">
      <alignment horizontal="right"/>
      <protection locked="0"/>
    </xf>
    <xf numFmtId="0" fontId="14" fillId="12" borderId="0" xfId="0" applyFont="1" applyFill="1" applyBorder="1" applyProtection="1">
      <protection hidden="1"/>
    </xf>
    <xf numFmtId="0" fontId="14" fillId="10" borderId="0" xfId="0" applyFont="1" applyFill="1" applyBorder="1" applyProtection="1">
      <protection hidden="1"/>
    </xf>
    <xf numFmtId="0" fontId="16" fillId="0" borderId="0" xfId="0" applyFont="1"/>
    <xf numFmtId="179" fontId="14" fillId="5" borderId="0" xfId="11" applyNumberFormat="1" applyFont="1" applyFill="1" applyBorder="1" applyProtection="1">
      <protection hidden="1"/>
    </xf>
    <xf numFmtId="0" fontId="14" fillId="14" borderId="0" xfId="0" applyFont="1" applyFill="1" applyBorder="1" applyProtection="1">
      <protection hidden="1"/>
    </xf>
    <xf numFmtId="4" fontId="0" fillId="5" borderId="0" xfId="0" applyNumberFormat="1" applyFont="1" applyFill="1" applyBorder="1" applyProtection="1">
      <protection hidden="1"/>
    </xf>
    <xf numFmtId="178" fontId="14" fillId="15" borderId="0" xfId="0" applyNumberFormat="1" applyFont="1" applyFill="1" applyBorder="1" applyProtection="1">
      <protection hidden="1"/>
    </xf>
    <xf numFmtId="0" fontId="0" fillId="5" borderId="0" xfId="0" applyFont="1" applyFill="1" applyBorder="1" applyAlignment="1" applyProtection="1">
      <alignment horizontal="left"/>
      <protection hidden="1"/>
    </xf>
    <xf numFmtId="0" fontId="0" fillId="5" borderId="0" xfId="0" applyFont="1" applyFill="1" applyBorder="1" applyProtection="1">
      <protection hidden="1"/>
    </xf>
    <xf numFmtId="0" fontId="14" fillId="13" borderId="0" xfId="0" applyFont="1" applyFill="1" applyBorder="1" applyProtection="1">
      <protection hidden="1"/>
    </xf>
    <xf numFmtId="4" fontId="14" fillId="13" borderId="0" xfId="0" applyNumberFormat="1" applyFont="1" applyFill="1" applyBorder="1" applyProtection="1">
      <protection hidden="1"/>
    </xf>
    <xf numFmtId="4" fontId="0" fillId="13" borderId="0" xfId="0" applyNumberFormat="1" applyFont="1" applyFill="1" applyBorder="1" applyProtection="1">
      <protection hidden="1"/>
    </xf>
    <xf numFmtId="4" fontId="14" fillId="17" borderId="0" xfId="0" applyNumberFormat="1" applyFont="1" applyFill="1" applyBorder="1" applyProtection="1">
      <protection hidden="1"/>
    </xf>
    <xf numFmtId="0" fontId="0" fillId="17" borderId="0" xfId="0" applyFont="1" applyFill="1" applyBorder="1" applyProtection="1">
      <protection hidden="1"/>
    </xf>
    <xf numFmtId="9" fontId="14" fillId="5" borderId="0" xfId="0" applyNumberFormat="1" applyFont="1" applyFill="1" applyBorder="1" applyProtection="1">
      <protection hidden="1"/>
    </xf>
    <xf numFmtId="0" fontId="0" fillId="18" borderId="0" xfId="0" applyFont="1" applyFill="1" applyBorder="1" applyProtection="1">
      <protection hidden="1"/>
    </xf>
    <xf numFmtId="4" fontId="14" fillId="18" borderId="0" xfId="0" applyNumberFormat="1" applyFont="1" applyFill="1" applyBorder="1" applyProtection="1">
      <protection hidden="1"/>
    </xf>
    <xf numFmtId="4" fontId="14" fillId="10" borderId="0" xfId="0" applyNumberFormat="1" applyFont="1" applyFill="1" applyBorder="1" applyProtection="1">
      <protection hidden="1"/>
    </xf>
    <xf numFmtId="0" fontId="14" fillId="19" borderId="0" xfId="0" applyFont="1" applyFill="1" applyBorder="1" applyProtection="1">
      <protection hidden="1"/>
    </xf>
    <xf numFmtId="2" fontId="14" fillId="19" borderId="8" xfId="0" applyNumberFormat="1" applyFont="1" applyFill="1" applyBorder="1" applyProtection="1">
      <protection hidden="1"/>
    </xf>
    <xf numFmtId="4" fontId="0" fillId="5" borderId="0" xfId="0" applyNumberFormat="1" applyFont="1" applyFill="1" applyBorder="1" applyAlignment="1" applyProtection="1">
      <protection hidden="1"/>
    </xf>
    <xf numFmtId="4" fontId="0" fillId="14" borderId="0" xfId="0" applyNumberFormat="1" applyFont="1" applyFill="1" applyBorder="1" applyProtection="1">
      <protection hidden="1"/>
    </xf>
    <xf numFmtId="2" fontId="14" fillId="20" borderId="0" xfId="0" applyNumberFormat="1" applyFont="1" applyFill="1" applyBorder="1" applyProtection="1">
      <protection hidden="1"/>
    </xf>
    <xf numFmtId="0" fontId="14" fillId="20" borderId="0" xfId="0" applyFont="1" applyFill="1" applyBorder="1" applyProtection="1">
      <protection hidden="1"/>
    </xf>
    <xf numFmtId="0" fontId="14" fillId="20" borderId="0" xfId="0" applyFont="1" applyFill="1" applyBorder="1" applyAlignment="1" applyProtection="1">
      <alignment horizontal="center"/>
      <protection hidden="1"/>
    </xf>
    <xf numFmtId="0" fontId="14" fillId="20" borderId="4" xfId="0" applyFont="1" applyFill="1" applyBorder="1" applyProtection="1">
      <protection hidden="1"/>
    </xf>
    <xf numFmtId="0" fontId="14" fillId="20" borderId="4" xfId="0" applyFont="1" applyFill="1" applyBorder="1" applyAlignment="1" applyProtection="1">
      <alignment horizontal="center"/>
      <protection hidden="1"/>
    </xf>
    <xf numFmtId="2" fontId="14" fillId="21" borderId="0" xfId="0" applyNumberFormat="1" applyFont="1" applyFill="1" applyBorder="1" applyProtection="1">
      <protection hidden="1"/>
    </xf>
    <xf numFmtId="0" fontId="14" fillId="21" borderId="0" xfId="0" applyFont="1" applyFill="1" applyBorder="1" applyProtection="1">
      <protection hidden="1"/>
    </xf>
    <xf numFmtId="0" fontId="14" fillId="21" borderId="0" xfId="0" applyFont="1" applyFill="1" applyBorder="1" applyAlignment="1" applyProtection="1">
      <alignment horizontal="center"/>
      <protection hidden="1"/>
    </xf>
    <xf numFmtId="2" fontId="14" fillId="21" borderId="4" xfId="0" applyNumberFormat="1" applyFont="1" applyFill="1" applyBorder="1" applyProtection="1">
      <protection hidden="1"/>
    </xf>
    <xf numFmtId="0" fontId="14" fillId="21" borderId="4" xfId="0" applyFont="1" applyFill="1" applyBorder="1" applyProtection="1">
      <protection hidden="1"/>
    </xf>
    <xf numFmtId="0" fontId="14" fillId="21" borderId="4" xfId="0" applyFont="1" applyFill="1" applyBorder="1" applyAlignment="1" applyProtection="1">
      <alignment horizontal="center"/>
      <protection hidden="1"/>
    </xf>
    <xf numFmtId="2" fontId="14" fillId="22" borderId="0" xfId="0" applyNumberFormat="1" applyFont="1" applyFill="1" applyBorder="1" applyProtection="1">
      <protection hidden="1"/>
    </xf>
    <xf numFmtId="0" fontId="14" fillId="22" borderId="0" xfId="0" applyFont="1" applyFill="1" applyBorder="1" applyProtection="1">
      <protection hidden="1"/>
    </xf>
    <xf numFmtId="0" fontId="14" fillId="22" borderId="0" xfId="0" applyFont="1" applyFill="1" applyBorder="1" applyAlignment="1" applyProtection="1">
      <alignment horizontal="center"/>
      <protection hidden="1"/>
    </xf>
    <xf numFmtId="2" fontId="14" fillId="20" borderId="8" xfId="0" applyNumberFormat="1" applyFont="1" applyFill="1" applyBorder="1" applyProtection="1">
      <protection hidden="1"/>
    </xf>
    <xf numFmtId="0" fontId="2" fillId="10" borderId="0" xfId="0" applyFont="1" applyFill="1" applyBorder="1" applyAlignment="1" applyProtection="1">
      <alignment horizontal="left"/>
      <protection hidden="1"/>
    </xf>
    <xf numFmtId="0" fontId="14" fillId="10" borderId="0" xfId="0" applyNumberFormat="1" applyFont="1" applyFill="1" applyBorder="1" applyAlignment="1" applyProtection="1">
      <protection hidden="1"/>
    </xf>
    <xf numFmtId="166" fontId="14" fillId="10" borderId="0" xfId="0" applyNumberFormat="1" applyFont="1" applyFill="1" applyBorder="1" applyAlignment="1" applyProtection="1">
      <protection hidden="1"/>
    </xf>
    <xf numFmtId="0" fontId="2" fillId="10" borderId="0" xfId="0" applyNumberFormat="1" applyFont="1" applyFill="1" applyBorder="1" applyAlignment="1" applyProtection="1">
      <alignment horizontal="left"/>
      <protection locked="0"/>
    </xf>
    <xf numFmtId="164" fontId="14" fillId="10" borderId="0" xfId="0" applyNumberFormat="1" applyFont="1" applyFill="1" applyBorder="1" applyAlignment="1" applyProtection="1">
      <protection locked="0"/>
    </xf>
    <xf numFmtId="168" fontId="14" fillId="10" borderId="0" xfId="0" applyNumberFormat="1" applyFont="1" applyFill="1" applyBorder="1" applyAlignment="1" applyProtection="1">
      <alignment horizontal="center"/>
      <protection hidden="1"/>
    </xf>
    <xf numFmtId="0" fontId="14" fillId="10" borderId="0" xfId="0" applyFont="1" applyFill="1" applyBorder="1" applyAlignment="1" applyProtection="1">
      <alignment horizontal="left"/>
      <protection hidden="1"/>
    </xf>
    <xf numFmtId="166" fontId="14" fillId="10" borderId="0" xfId="0" applyNumberFormat="1" applyFont="1" applyFill="1" applyBorder="1" applyAlignment="1" applyProtection="1">
      <alignment horizontal="left"/>
      <protection hidden="1"/>
    </xf>
    <xf numFmtId="166" fontId="0" fillId="10" borderId="0" xfId="0" applyNumberFormat="1" applyFont="1" applyFill="1" applyBorder="1" applyAlignment="1" applyProtection="1">
      <alignment horizontal="left"/>
      <protection hidden="1"/>
    </xf>
    <xf numFmtId="164" fontId="14" fillId="10" borderId="0" xfId="0" applyNumberFormat="1" applyFont="1" applyFill="1" applyBorder="1" applyAlignment="1" applyProtection="1">
      <alignment horizontal="center"/>
      <protection locked="0"/>
    </xf>
    <xf numFmtId="10" fontId="14" fillId="10" borderId="0" xfId="0" applyNumberFormat="1" applyFont="1" applyFill="1" applyBorder="1" applyProtection="1">
      <protection hidden="1"/>
    </xf>
    <xf numFmtId="164" fontId="14" fillId="10" borderId="0" xfId="0" applyNumberFormat="1" applyFont="1" applyFill="1" applyBorder="1" applyAlignment="1" applyProtection="1">
      <alignment horizontal="center"/>
      <protection hidden="1"/>
    </xf>
    <xf numFmtId="178" fontId="14" fillId="10" borderId="0" xfId="0" applyNumberFormat="1" applyFont="1" applyFill="1" applyBorder="1" applyProtection="1">
      <protection hidden="1"/>
    </xf>
    <xf numFmtId="0" fontId="14" fillId="10" borderId="0" xfId="0" applyFont="1" applyFill="1" applyBorder="1" applyAlignment="1" applyProtection="1">
      <alignment horizontal="center"/>
      <protection locked="0" hidden="1"/>
    </xf>
    <xf numFmtId="0" fontId="5" fillId="10" borderId="0" xfId="0" applyFont="1" applyFill="1" applyBorder="1" applyAlignment="1" applyProtection="1">
      <alignment horizontal="center"/>
      <protection hidden="1"/>
    </xf>
    <xf numFmtId="166" fontId="12" fillId="10" borderId="0" xfId="0" applyNumberFormat="1" applyFont="1" applyFill="1" applyBorder="1" applyAlignment="1" applyProtection="1">
      <alignment horizontal="center"/>
      <protection hidden="1"/>
    </xf>
    <xf numFmtId="0" fontId="0" fillId="10" borderId="0" xfId="0" applyFont="1" applyFill="1" applyBorder="1" applyAlignment="1" applyProtection="1">
      <alignment horizontal="left"/>
      <protection hidden="1"/>
    </xf>
    <xf numFmtId="1" fontId="2" fillId="10" borderId="0" xfId="0" applyNumberFormat="1" applyFont="1" applyFill="1" applyBorder="1" applyAlignment="1" applyProtection="1">
      <alignment horizontal="right"/>
      <protection locked="0" hidden="1"/>
    </xf>
    <xf numFmtId="0" fontId="2" fillId="10" borderId="0" xfId="0" applyNumberFormat="1" applyFont="1" applyFill="1" applyBorder="1" applyAlignment="1" applyProtection="1">
      <alignment horizontal="center"/>
      <protection hidden="1"/>
    </xf>
    <xf numFmtId="0" fontId="2" fillId="10" borderId="0" xfId="0" applyNumberFormat="1" applyFont="1" applyFill="1" applyBorder="1" applyAlignment="1" applyProtection="1">
      <alignment horizontal="left"/>
      <protection locked="0" hidden="1"/>
    </xf>
    <xf numFmtId="0" fontId="14" fillId="10" borderId="0" xfId="0" applyFont="1" applyFill="1" applyBorder="1" applyAlignment="1" applyProtection="1">
      <alignment horizontal="left"/>
      <protection locked="0" hidden="1"/>
    </xf>
    <xf numFmtId="178" fontId="14" fillId="10" borderId="0" xfId="0" applyNumberFormat="1" applyFont="1" applyFill="1" applyBorder="1" applyAlignment="1" applyProtection="1">
      <protection hidden="1"/>
    </xf>
    <xf numFmtId="10" fontId="14" fillId="10" borderId="0" xfId="0" applyNumberFormat="1" applyFont="1" applyFill="1" applyBorder="1" applyAlignment="1" applyProtection="1">
      <protection hidden="1"/>
    </xf>
    <xf numFmtId="1" fontId="14" fillId="10" borderId="0" xfId="0" applyNumberFormat="1" applyFont="1" applyFill="1" applyBorder="1" applyAlignment="1" applyProtection="1">
      <alignment horizontal="center"/>
      <protection locked="0" hidden="1"/>
    </xf>
    <xf numFmtId="1" fontId="14" fillId="10" borderId="0" xfId="0" applyNumberFormat="1" applyFont="1" applyFill="1" applyBorder="1" applyAlignment="1" applyProtection="1">
      <alignment horizontal="center"/>
      <protection locked="0"/>
    </xf>
    <xf numFmtId="168" fontId="14" fillId="10" borderId="0" xfId="0" applyNumberFormat="1" applyFont="1" applyFill="1" applyBorder="1" applyAlignment="1" applyProtection="1">
      <alignment horizontal="right"/>
      <protection locked="0"/>
    </xf>
    <xf numFmtId="168" fontId="2" fillId="10" borderId="0" xfId="0" applyNumberFormat="1" applyFont="1" applyFill="1" applyBorder="1" applyAlignment="1" applyProtection="1">
      <alignment horizontal="center"/>
      <protection hidden="1"/>
    </xf>
    <xf numFmtId="1" fontId="14" fillId="10" borderId="0" xfId="0" applyNumberFormat="1" applyFont="1" applyFill="1" applyBorder="1" applyAlignment="1" applyProtection="1">
      <alignment horizontal="center"/>
      <protection hidden="1"/>
    </xf>
    <xf numFmtId="10" fontId="14" fillId="10" borderId="0" xfId="0" applyNumberFormat="1" applyFont="1" applyFill="1" applyBorder="1" applyAlignment="1" applyProtection="1">
      <alignment horizontal="center"/>
      <protection hidden="1"/>
    </xf>
    <xf numFmtId="0" fontId="14" fillId="10" borderId="0" xfId="0" applyFont="1" applyFill="1" applyBorder="1" applyAlignment="1" applyProtection="1">
      <alignment horizontal="center"/>
      <protection hidden="1"/>
    </xf>
    <xf numFmtId="0" fontId="14" fillId="10" borderId="0" xfId="0" applyNumberFormat="1" applyFont="1" applyFill="1" applyBorder="1" applyAlignment="1" applyProtection="1">
      <alignment horizontal="right"/>
      <protection hidden="1"/>
    </xf>
    <xf numFmtId="0" fontId="2" fillId="10" borderId="0" xfId="0" quotePrefix="1" applyFont="1" applyFill="1" applyBorder="1" applyAlignment="1" applyProtection="1">
      <alignment horizontal="left"/>
      <protection hidden="1"/>
    </xf>
    <xf numFmtId="167" fontId="14" fillId="10" borderId="0" xfId="0" applyNumberFormat="1" applyFont="1" applyFill="1" applyBorder="1" applyAlignment="1" applyProtection="1">
      <alignment horizontal="right"/>
      <protection hidden="1"/>
    </xf>
    <xf numFmtId="178" fontId="14" fillId="10" borderId="0" xfId="0" applyNumberFormat="1" applyFont="1" applyFill="1" applyBorder="1" applyAlignment="1" applyProtection="1">
      <alignment horizontal="right"/>
      <protection hidden="1"/>
    </xf>
    <xf numFmtId="178" fontId="3" fillId="10" borderId="0" xfId="0" applyNumberFormat="1" applyFont="1" applyFill="1" applyBorder="1" applyAlignment="1" applyProtection="1">
      <alignment horizontal="right"/>
      <protection hidden="1"/>
    </xf>
    <xf numFmtId="178" fontId="14" fillId="10" borderId="0" xfId="0" applyNumberFormat="1" applyFont="1" applyFill="1" applyBorder="1" applyAlignment="1" applyProtection="1">
      <alignment horizontal="right"/>
      <protection locked="0"/>
    </xf>
    <xf numFmtId="0" fontId="14" fillId="10" borderId="0" xfId="0" applyFont="1" applyFill="1" applyBorder="1" applyAlignment="1" applyProtection="1">
      <alignment horizontal="center"/>
      <protection locked="0"/>
    </xf>
    <xf numFmtId="166" fontId="14" fillId="10" borderId="0" xfId="0" applyNumberFormat="1" applyFont="1" applyFill="1" applyBorder="1" applyAlignment="1" applyProtection="1">
      <alignment horizontal="center"/>
      <protection hidden="1"/>
    </xf>
    <xf numFmtId="0" fontId="2" fillId="10" borderId="0" xfId="0" applyFont="1" applyFill="1" applyBorder="1" applyProtection="1">
      <protection hidden="1"/>
    </xf>
    <xf numFmtId="3" fontId="5" fillId="10" borderId="0" xfId="9" applyNumberFormat="1" applyFont="1" applyFill="1" applyBorder="1" applyAlignment="1" applyProtection="1">
      <protection hidden="1"/>
    </xf>
    <xf numFmtId="4" fontId="14" fillId="10" borderId="0" xfId="0" applyNumberFormat="1" applyFont="1" applyFill="1" applyBorder="1" applyAlignment="1" applyProtection="1">
      <alignment horizontal="center"/>
      <protection hidden="1"/>
    </xf>
    <xf numFmtId="0" fontId="5" fillId="10" borderId="0" xfId="9" applyFont="1" applyFill="1" applyBorder="1" applyAlignment="1" applyProtection="1">
      <protection hidden="1"/>
    </xf>
    <xf numFmtId="4" fontId="14" fillId="10" borderId="0" xfId="11" applyNumberFormat="1" applyFont="1" applyFill="1" applyBorder="1" applyProtection="1">
      <protection hidden="1"/>
    </xf>
    <xf numFmtId="179" fontId="14" fillId="10" borderId="0" xfId="11" applyNumberFormat="1" applyFont="1" applyFill="1" applyBorder="1" applyProtection="1">
      <protection hidden="1"/>
    </xf>
    <xf numFmtId="169" fontId="14" fillId="10" borderId="0" xfId="11" applyNumberFormat="1" applyFont="1" applyFill="1" applyBorder="1" applyProtection="1">
      <protection hidden="1"/>
    </xf>
    <xf numFmtId="1" fontId="14" fillId="10" borderId="0" xfId="11" applyNumberFormat="1" applyFont="1" applyFill="1" applyBorder="1" applyProtection="1">
      <protection hidden="1"/>
    </xf>
    <xf numFmtId="4" fontId="6" fillId="10" borderId="0" xfId="11" applyNumberFormat="1" applyFont="1" applyFill="1" applyBorder="1" applyAlignment="1" applyProtection="1">
      <alignment horizontal="center"/>
      <protection hidden="1"/>
    </xf>
    <xf numFmtId="169" fontId="6" fillId="10" borderId="0" xfId="11" applyNumberFormat="1" applyFont="1" applyFill="1" applyBorder="1" applyAlignment="1" applyProtection="1">
      <alignment horizontal="center"/>
      <protection hidden="1"/>
    </xf>
    <xf numFmtId="4" fontId="0" fillId="10" borderId="0" xfId="0" applyNumberFormat="1" applyFont="1" applyFill="1" applyBorder="1" applyProtection="1">
      <protection hidden="1"/>
    </xf>
    <xf numFmtId="13" fontId="14" fillId="10" borderId="0" xfId="0" applyNumberFormat="1" applyFont="1" applyFill="1" applyBorder="1" applyProtection="1">
      <protection hidden="1"/>
    </xf>
    <xf numFmtId="0" fontId="15" fillId="10" borderId="0" xfId="0" applyFont="1" applyFill="1" applyBorder="1" applyAlignment="1" applyProtection="1">
      <alignment horizontal="left"/>
      <protection hidden="1"/>
    </xf>
    <xf numFmtId="0" fontId="13" fillId="10" borderId="0" xfId="0" applyFont="1" applyFill="1" applyBorder="1" applyAlignment="1" applyProtection="1">
      <alignment horizontal="left"/>
      <protection hidden="1"/>
    </xf>
    <xf numFmtId="0" fontId="14" fillId="10" borderId="0" xfId="0" applyNumberFormat="1" applyFont="1" applyFill="1" applyBorder="1" applyAlignment="1" applyProtection="1">
      <alignment horizontal="left"/>
      <protection locked="0" hidden="1"/>
    </xf>
    <xf numFmtId="165" fontId="2" fillId="10" borderId="0" xfId="0" applyNumberFormat="1" applyFont="1" applyFill="1" applyBorder="1" applyAlignment="1" applyProtection="1">
      <alignment horizontal="center"/>
      <protection hidden="1"/>
    </xf>
    <xf numFmtId="165" fontId="14" fillId="10" borderId="0" xfId="0" applyNumberFormat="1" applyFont="1" applyFill="1" applyBorder="1" applyAlignment="1" applyProtection="1">
      <alignment horizontal="left"/>
      <protection hidden="1"/>
    </xf>
    <xf numFmtId="0" fontId="16" fillId="10" borderId="0" xfId="0" applyFont="1" applyFill="1" applyBorder="1"/>
    <xf numFmtId="13" fontId="0" fillId="10" borderId="0" xfId="0" applyNumberFormat="1" applyFont="1" applyFill="1" applyBorder="1" applyProtection="1">
      <protection hidden="1"/>
    </xf>
    <xf numFmtId="4" fontId="2" fillId="10" borderId="0" xfId="0" applyNumberFormat="1" applyFont="1" applyFill="1" applyBorder="1" applyProtection="1">
      <protection hidden="1"/>
    </xf>
    <xf numFmtId="4" fontId="5" fillId="10" borderId="0" xfId="0" applyNumberFormat="1" applyFont="1" applyFill="1" applyBorder="1" applyProtection="1">
      <protection hidden="1"/>
    </xf>
    <xf numFmtId="4" fontId="2" fillId="10" borderId="0" xfId="0" applyNumberFormat="1" applyFont="1" applyFill="1" applyBorder="1" applyAlignment="1" applyProtection="1">
      <alignment horizontal="center"/>
      <protection hidden="1"/>
    </xf>
    <xf numFmtId="167" fontId="14" fillId="10" borderId="0" xfId="0" applyNumberFormat="1" applyFont="1" applyFill="1" applyBorder="1" applyAlignment="1" applyProtection="1">
      <alignment horizontal="left"/>
      <protection hidden="1"/>
    </xf>
    <xf numFmtId="4" fontId="14" fillId="10" borderId="0" xfId="0" quotePrefix="1" applyNumberFormat="1" applyFont="1" applyFill="1" applyBorder="1" applyProtection="1">
      <protection hidden="1"/>
    </xf>
    <xf numFmtId="4" fontId="14" fillId="10" borderId="0" xfId="0" quotePrefix="1" applyNumberFormat="1" applyFont="1" applyFill="1" applyBorder="1" applyAlignment="1" applyProtection="1">
      <alignment horizontal="left"/>
      <protection hidden="1"/>
    </xf>
    <xf numFmtId="0" fontId="0" fillId="10" borderId="0" xfId="0" applyFont="1" applyFill="1" applyBorder="1" applyProtection="1">
      <protection hidden="1"/>
    </xf>
    <xf numFmtId="4" fontId="0" fillId="10" borderId="0" xfId="0" applyNumberFormat="1" applyFont="1" applyFill="1" applyBorder="1" applyAlignment="1" applyProtection="1">
      <protection hidden="1"/>
    </xf>
    <xf numFmtId="9" fontId="14" fillId="10" borderId="0" xfId="0" applyNumberFormat="1" applyFont="1" applyFill="1" applyBorder="1" applyProtection="1">
      <protection hidden="1"/>
    </xf>
    <xf numFmtId="2" fontId="14" fillId="10" borderId="0" xfId="0" applyNumberFormat="1" applyFont="1" applyFill="1" applyBorder="1" applyProtection="1">
      <protection hidden="1"/>
    </xf>
    <xf numFmtId="2" fontId="14" fillId="12" borderId="0" xfId="0" applyNumberFormat="1" applyFont="1" applyFill="1" applyBorder="1" applyProtection="1">
      <protection hidden="1"/>
    </xf>
    <xf numFmtId="0" fontId="14" fillId="12" borderId="0" xfId="0" applyFont="1" applyFill="1" applyBorder="1" applyAlignment="1" applyProtection="1">
      <alignment horizontal="center"/>
      <protection hidden="1"/>
    </xf>
    <xf numFmtId="2" fontId="14" fillId="12" borderId="4" xfId="0" applyNumberFormat="1" applyFont="1" applyFill="1" applyBorder="1" applyProtection="1">
      <protection hidden="1"/>
    </xf>
    <xf numFmtId="0" fontId="14" fillId="12" borderId="4" xfId="0" applyFont="1" applyFill="1" applyBorder="1" applyProtection="1">
      <protection hidden="1"/>
    </xf>
    <xf numFmtId="0" fontId="14" fillId="12" borderId="4" xfId="0" applyFont="1" applyFill="1" applyBorder="1" applyAlignment="1" applyProtection="1">
      <alignment horizontal="center"/>
      <protection hidden="1"/>
    </xf>
    <xf numFmtId="2" fontId="14" fillId="23" borderId="0" xfId="0" applyNumberFormat="1" applyFont="1" applyFill="1" applyBorder="1" applyProtection="1">
      <protection hidden="1"/>
    </xf>
    <xf numFmtId="0" fontId="14" fillId="23" borderId="0" xfId="0" applyFont="1" applyFill="1" applyBorder="1" applyProtection="1">
      <protection hidden="1"/>
    </xf>
    <xf numFmtId="0" fontId="14" fillId="23" borderId="0" xfId="0" applyFont="1" applyFill="1" applyBorder="1" applyAlignment="1" applyProtection="1">
      <alignment horizontal="center"/>
      <protection hidden="1"/>
    </xf>
    <xf numFmtId="2" fontId="14" fillId="22" borderId="8" xfId="0" applyNumberFormat="1" applyFont="1" applyFill="1" applyBorder="1" applyProtection="1">
      <protection hidden="1"/>
    </xf>
    <xf numFmtId="0" fontId="14" fillId="22" borderId="4" xfId="0" applyFont="1" applyFill="1" applyBorder="1" applyProtection="1">
      <protection hidden="1"/>
    </xf>
    <xf numFmtId="0" fontId="14" fillId="22" borderId="4" xfId="0" applyFont="1" applyFill="1" applyBorder="1" applyAlignment="1" applyProtection="1">
      <alignment horizontal="center"/>
      <protection hidden="1"/>
    </xf>
    <xf numFmtId="0" fontId="14" fillId="24" borderId="0" xfId="0" applyFont="1" applyFill="1" applyBorder="1" applyProtection="1">
      <protection hidden="1"/>
    </xf>
    <xf numFmtId="0" fontId="14" fillId="24" borderId="0" xfId="0" applyFont="1" applyFill="1" applyBorder="1" applyAlignment="1" applyProtection="1">
      <alignment horizontal="center"/>
      <protection hidden="1"/>
    </xf>
    <xf numFmtId="178" fontId="14" fillId="5" borderId="0" xfId="0" applyNumberFormat="1" applyFont="1" applyFill="1" applyBorder="1" applyAlignment="1" applyProtection="1">
      <alignment horizontal="center"/>
      <protection hidden="1"/>
    </xf>
    <xf numFmtId="178" fontId="14" fillId="5" borderId="0" xfId="0" applyNumberFormat="1" applyFont="1" applyFill="1" applyBorder="1" applyAlignment="1" applyProtection="1">
      <alignment horizontal="left"/>
      <protection hidden="1"/>
    </xf>
    <xf numFmtId="168" fontId="14" fillId="8" borderId="0" xfId="0" applyNumberFormat="1" applyFont="1" applyFill="1" applyBorder="1" applyAlignment="1" applyProtection="1">
      <alignment horizontal="right"/>
      <protection hidden="1"/>
    </xf>
    <xf numFmtId="4" fontId="1" fillId="5" borderId="0" xfId="0" applyNumberFormat="1" applyFont="1" applyFill="1" applyBorder="1" applyProtection="1">
      <protection hidden="1"/>
    </xf>
    <xf numFmtId="4" fontId="1" fillId="14" borderId="0" xfId="0" applyNumberFormat="1" applyFont="1" applyFill="1" applyBorder="1" applyProtection="1">
      <protection hidden="1"/>
    </xf>
    <xf numFmtId="4" fontId="1" fillId="25" borderId="0" xfId="0" applyNumberFormat="1" applyFont="1" applyFill="1" applyBorder="1" applyProtection="1">
      <protection hidden="1"/>
    </xf>
    <xf numFmtId="4" fontId="1" fillId="26" borderId="0" xfId="0" applyNumberFormat="1" applyFont="1" applyFill="1" applyBorder="1" applyProtection="1">
      <protection hidden="1"/>
    </xf>
    <xf numFmtId="4" fontId="1" fillId="25" borderId="0" xfId="11" applyNumberFormat="1" applyFont="1" applyFill="1" applyBorder="1" applyProtection="1">
      <protection hidden="1"/>
    </xf>
    <xf numFmtId="0" fontId="0" fillId="5" borderId="0" xfId="0" applyFill="1" applyBorder="1" applyProtection="1">
      <protection hidden="1"/>
    </xf>
    <xf numFmtId="4" fontId="0" fillId="27" borderId="0" xfId="0" applyNumberFormat="1" applyFill="1" applyBorder="1" applyProtection="1">
      <protection hidden="1"/>
    </xf>
    <xf numFmtId="0" fontId="0" fillId="28" borderId="0" xfId="0" applyFont="1" applyFill="1" applyBorder="1" applyProtection="1">
      <protection hidden="1"/>
    </xf>
    <xf numFmtId="0" fontId="14" fillId="28" borderId="0" xfId="0" applyFont="1" applyFill="1" applyBorder="1" applyProtection="1">
      <protection hidden="1"/>
    </xf>
    <xf numFmtId="3" fontId="4" fillId="5" borderId="0" xfId="9" applyNumberFormat="1" applyFill="1" applyBorder="1" applyAlignment="1" applyProtection="1">
      <protection hidden="1"/>
    </xf>
    <xf numFmtId="0" fontId="4" fillId="5" borderId="0" xfId="9" applyFill="1" applyAlignment="1" applyProtection="1">
      <protection hidden="1"/>
    </xf>
    <xf numFmtId="0" fontId="14" fillId="12" borderId="0" xfId="0" applyFont="1" applyFill="1" applyBorder="1" applyProtection="1">
      <protection locked="0"/>
    </xf>
    <xf numFmtId="10" fontId="14" fillId="13" borderId="0" xfId="0" applyNumberFormat="1" applyFont="1" applyFill="1" applyBorder="1" applyProtection="1">
      <protection locked="0"/>
    </xf>
    <xf numFmtId="164" fontId="14" fillId="10" borderId="0" xfId="0" applyNumberFormat="1" applyFont="1" applyFill="1" applyBorder="1" applyAlignment="1" applyProtection="1">
      <alignment horizontal="right"/>
      <protection hidden="1"/>
    </xf>
    <xf numFmtId="0" fontId="13" fillId="10" borderId="9" xfId="0" applyFont="1" applyFill="1" applyBorder="1" applyAlignment="1" applyProtection="1">
      <alignment horizontal="left"/>
      <protection hidden="1"/>
    </xf>
    <xf numFmtId="166" fontId="0" fillId="5" borderId="0" xfId="0" applyNumberFormat="1" applyFill="1" applyBorder="1" applyAlignment="1" applyProtection="1">
      <alignment horizontal="left"/>
      <protection hidden="1"/>
    </xf>
    <xf numFmtId="166" fontId="1" fillId="5" borderId="0" xfId="0" applyNumberFormat="1" applyFont="1" applyFill="1" applyBorder="1" applyAlignment="1" applyProtection="1">
      <alignment horizontal="left"/>
      <protection hidden="1"/>
    </xf>
    <xf numFmtId="0" fontId="1" fillId="5" borderId="0" xfId="0" applyFont="1" applyFill="1" applyBorder="1" applyProtection="1">
      <protection hidden="1"/>
    </xf>
    <xf numFmtId="164" fontId="1" fillId="5" borderId="0" xfId="0" applyNumberFormat="1" applyFont="1" applyFill="1" applyBorder="1" applyAlignment="1" applyProtection="1">
      <alignment horizontal="center"/>
      <protection hidden="1"/>
    </xf>
    <xf numFmtId="0" fontId="0" fillId="5" borderId="0" xfId="0" applyFill="1" applyBorder="1" applyAlignment="1" applyProtection="1">
      <alignment horizontal="left"/>
      <protection hidden="1"/>
    </xf>
    <xf numFmtId="0" fontId="0" fillId="16" borderId="2" xfId="0" applyFont="1" applyFill="1" applyBorder="1" applyAlignment="1" applyProtection="1">
      <alignment horizontal="left"/>
      <protection hidden="1"/>
    </xf>
    <xf numFmtId="0" fontId="1" fillId="3" borderId="2" xfId="0" applyNumberFormat="1" applyFont="1" applyFill="1" applyBorder="1" applyAlignment="1" applyProtection="1">
      <alignment horizontal="left"/>
      <protection locked="0" hidden="1"/>
    </xf>
    <xf numFmtId="0" fontId="1" fillId="3" borderId="2" xfId="0" applyFont="1" applyFill="1" applyBorder="1" applyAlignment="1" applyProtection="1">
      <alignment horizontal="center"/>
      <protection hidden="1"/>
    </xf>
    <xf numFmtId="0" fontId="1" fillId="3" borderId="2" xfId="0" applyFont="1" applyFill="1" applyBorder="1" applyAlignment="1" applyProtection="1">
      <alignment horizontal="left"/>
      <protection hidden="1"/>
    </xf>
    <xf numFmtId="0" fontId="1" fillId="7" borderId="0" xfId="0" applyFont="1" applyFill="1" applyBorder="1" applyAlignment="1" applyProtection="1">
      <alignment horizontal="left"/>
      <protection locked="0" hidden="1"/>
    </xf>
    <xf numFmtId="168" fontId="1" fillId="8" borderId="0" xfId="0" applyNumberFormat="1" applyFont="1" applyFill="1" applyBorder="1" applyAlignment="1" applyProtection="1">
      <alignment horizontal="right"/>
      <protection locked="0"/>
    </xf>
    <xf numFmtId="0" fontId="1" fillId="5" borderId="0" xfId="0" applyFont="1" applyFill="1" applyBorder="1" applyAlignment="1" applyProtection="1">
      <alignment horizontal="left"/>
      <protection hidden="1"/>
    </xf>
    <xf numFmtId="168" fontId="1" fillId="8" borderId="0" xfId="0" applyNumberFormat="1" applyFont="1" applyFill="1" applyBorder="1" applyAlignment="1" applyProtection="1">
      <alignment horizontal="right"/>
      <protection hidden="1"/>
    </xf>
    <xf numFmtId="165" fontId="1" fillId="3" borderId="2" xfId="0" applyNumberFormat="1" applyFont="1" applyFill="1" applyBorder="1" applyAlignment="1" applyProtection="1">
      <alignment horizontal="left"/>
      <protection hidden="1"/>
    </xf>
    <xf numFmtId="0" fontId="0" fillId="7" borderId="0" xfId="0" applyFont="1" applyFill="1" applyBorder="1" applyAlignment="1" applyProtection="1">
      <alignment horizontal="left"/>
      <protection locked="0" hidden="1"/>
    </xf>
    <xf numFmtId="0" fontId="0" fillId="5" borderId="0" xfId="0" applyFill="1" applyBorder="1" applyAlignment="1" applyProtection="1">
      <alignment horizontal="center"/>
      <protection hidden="1"/>
    </xf>
    <xf numFmtId="166" fontId="0" fillId="5" borderId="0" xfId="0" applyNumberFormat="1" applyFont="1" applyFill="1" applyBorder="1" applyAlignment="1" applyProtection="1">
      <alignment horizontal="center"/>
      <protection hidden="1"/>
    </xf>
    <xf numFmtId="166" fontId="0" fillId="5" borderId="0" xfId="0" applyNumberFormat="1" applyFont="1" applyFill="1" applyBorder="1" applyAlignment="1" applyProtection="1">
      <protection hidden="1"/>
    </xf>
    <xf numFmtId="166" fontId="0" fillId="5" borderId="0" xfId="0" applyNumberFormat="1" applyFill="1" applyBorder="1" applyAlignment="1" applyProtection="1">
      <protection hidden="1"/>
    </xf>
    <xf numFmtId="0" fontId="4" fillId="5" borderId="0" xfId="9" applyFill="1" applyBorder="1" applyAlignment="1" applyProtection="1">
      <protection hidden="1"/>
    </xf>
    <xf numFmtId="164" fontId="0" fillId="11" borderId="0" xfId="0" applyNumberFormat="1" applyFont="1" applyFill="1" applyBorder="1" applyAlignment="1" applyProtection="1">
      <alignment horizontal="center"/>
      <protection locked="0"/>
    </xf>
    <xf numFmtId="169" fontId="6" fillId="10" borderId="0" xfId="11" applyNumberFormat="1" applyFont="1" applyFill="1" applyBorder="1" applyAlignment="1" applyProtection="1">
      <alignment horizontal="center"/>
      <protection hidden="1"/>
    </xf>
    <xf numFmtId="4" fontId="6" fillId="10" borderId="0" xfId="11" applyNumberFormat="1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Procent" xfId="11" builtinId="5"/>
    <cellStyle name="Standaard" xfId="0" builtinId="0"/>
    <cellStyle name="Standaard 2" xfId="12"/>
    <cellStyle name="Standaard 2 2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DONBIBDEC6.xlsx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DONBIBDEC1.xlsx" TargetMode="External"/><Relationship Id="rId7" Type="http://schemas.openxmlformats.org/officeDocument/2006/relationships/hyperlink" Target="DONBIBDEC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DONBIBDEC.xlsx" TargetMode="External"/><Relationship Id="rId1" Type="http://schemas.openxmlformats.org/officeDocument/2006/relationships/hyperlink" Target="DONBIBDEC9.xlsx" TargetMode="External"/><Relationship Id="rId6" Type="http://schemas.openxmlformats.org/officeDocument/2006/relationships/hyperlink" Target="DONBIBDEC4.xlsx" TargetMode="External"/><Relationship Id="rId11" Type="http://schemas.openxmlformats.org/officeDocument/2006/relationships/hyperlink" Target="Livret.xlsx" TargetMode="External"/><Relationship Id="rId5" Type="http://schemas.openxmlformats.org/officeDocument/2006/relationships/hyperlink" Target="DONBIBDEC3.xlsx" TargetMode="External"/><Relationship Id="rId10" Type="http://schemas.openxmlformats.org/officeDocument/2006/relationships/hyperlink" Target="DONBIBDEC8.xlsx" TargetMode="External"/><Relationship Id="rId4" Type="http://schemas.openxmlformats.org/officeDocument/2006/relationships/hyperlink" Target="DONBIBDEC2.xlsx" TargetMode="External"/><Relationship Id="rId9" Type="http://schemas.openxmlformats.org/officeDocument/2006/relationships/hyperlink" Target="DONBIBDEC7.xlsx" TargetMode="External"/><Relationship Id="rId1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1295"/>
  <sheetViews>
    <sheetView tabSelected="1" zoomScaleNormal="100" workbookViewId="0">
      <selection activeCell="E3" sqref="E3"/>
    </sheetView>
  </sheetViews>
  <sheetFormatPr defaultRowHeight="12.75" x14ac:dyDescent="0.2"/>
  <cols>
    <col min="1" max="1" width="50.5703125" style="9" customWidth="1"/>
    <col min="2" max="2" width="3.5703125" style="9" customWidth="1"/>
    <col min="3" max="3" width="2.140625" style="9" customWidth="1"/>
    <col min="4" max="4" width="4" style="9" customWidth="1"/>
    <col min="5" max="5" width="28.42578125" style="9" customWidth="1"/>
    <col min="6" max="6" width="15.7109375" style="9" customWidth="1"/>
    <col min="7" max="7" width="15.85546875" style="9" customWidth="1"/>
    <col min="8" max="8" width="11.42578125" style="9" customWidth="1"/>
    <col min="9" max="9" width="12.85546875" style="9" customWidth="1"/>
    <col min="10" max="10" width="17" style="9" customWidth="1"/>
    <col min="11" max="11" width="16.140625" style="9" customWidth="1"/>
    <col min="12" max="12" width="13.42578125" style="9" customWidth="1"/>
    <col min="13" max="13" width="16.7109375" style="9" customWidth="1"/>
    <col min="14" max="14" width="18.7109375" style="9" customWidth="1"/>
    <col min="15" max="16384" width="9.140625" style="9"/>
  </cols>
  <sheetData>
    <row r="1" spans="1:10" ht="22.5" customHeight="1" thickTop="1" x14ac:dyDescent="0.3">
      <c r="A1" s="57" t="s">
        <v>57</v>
      </c>
      <c r="B1" s="58"/>
      <c r="C1" s="58"/>
      <c r="D1" s="58"/>
      <c r="E1" s="212"/>
      <c r="F1" s="6"/>
      <c r="G1" s="6"/>
      <c r="H1" s="7"/>
      <c r="I1" s="8"/>
      <c r="J1" s="8"/>
    </row>
    <row r="2" spans="1:10" x14ac:dyDescent="0.2">
      <c r="A2" s="6"/>
      <c r="B2" s="6"/>
      <c r="C2" s="6"/>
      <c r="D2" s="6"/>
      <c r="E2" s="6"/>
      <c r="F2" s="6"/>
      <c r="G2" s="6"/>
      <c r="H2" s="8"/>
      <c r="I2" s="8"/>
      <c r="J2" s="8"/>
    </row>
    <row r="3" spans="1:10" x14ac:dyDescent="0.2">
      <c r="A3" s="6" t="s">
        <v>0</v>
      </c>
      <c r="B3" s="6"/>
      <c r="C3" s="6"/>
      <c r="D3" s="6"/>
      <c r="E3" s="68"/>
      <c r="F3" s="2"/>
      <c r="G3" s="6"/>
      <c r="H3" s="8"/>
      <c r="I3" s="8"/>
      <c r="J3" s="7"/>
    </row>
    <row r="4" spans="1:10" x14ac:dyDescent="0.2">
      <c r="A4" s="6" t="s">
        <v>58</v>
      </c>
      <c r="B4" s="6"/>
      <c r="C4" s="6"/>
      <c r="D4" s="6"/>
      <c r="E4" s="69"/>
      <c r="F4" s="59"/>
      <c r="G4" s="6"/>
      <c r="H4" s="8"/>
      <c r="I4" s="8"/>
      <c r="J4" s="7"/>
    </row>
    <row r="5" spans="1:10" x14ac:dyDescent="0.2">
      <c r="A5" s="213" t="s">
        <v>59</v>
      </c>
      <c r="B5" s="8"/>
      <c r="C5" s="8"/>
      <c r="D5" s="8"/>
      <c r="E5" s="70"/>
      <c r="G5" s="6"/>
      <c r="H5" s="8"/>
      <c r="I5" s="8"/>
      <c r="J5" s="8"/>
    </row>
    <row r="6" spans="1:10" x14ac:dyDescent="0.2">
      <c r="A6" s="8"/>
      <c r="B6" s="8"/>
      <c r="C6" s="8"/>
      <c r="D6" s="8"/>
      <c r="E6" s="62"/>
      <c r="G6" s="10"/>
    </row>
    <row r="7" spans="1:10" x14ac:dyDescent="0.2">
      <c r="A7" s="213" t="s">
        <v>60</v>
      </c>
      <c r="B7" s="11"/>
      <c r="C7" s="11"/>
      <c r="D7" s="11"/>
      <c r="E7" s="75"/>
      <c r="G7" s="6"/>
      <c r="H7" s="8"/>
      <c r="I7" s="8"/>
      <c r="J7" s="8"/>
    </row>
    <row r="8" spans="1:10" x14ac:dyDescent="0.2">
      <c r="A8" s="11"/>
      <c r="B8" s="11"/>
      <c r="C8" s="11"/>
      <c r="D8" s="11"/>
      <c r="E8" s="211"/>
      <c r="G8" s="6"/>
      <c r="H8" s="8"/>
      <c r="I8" s="8"/>
      <c r="J8" s="8"/>
    </row>
    <row r="9" spans="1:10" x14ac:dyDescent="0.2">
      <c r="A9" s="76" t="s">
        <v>61</v>
      </c>
      <c r="B9" s="214"/>
      <c r="C9" s="214"/>
      <c r="D9" s="214"/>
      <c r="E9" s="233" t="s">
        <v>81</v>
      </c>
      <c r="G9" s="6"/>
      <c r="H9" s="8"/>
      <c r="I9" s="8"/>
      <c r="J9" s="8"/>
    </row>
    <row r="10" spans="1:10" x14ac:dyDescent="0.2">
      <c r="A10" s="76"/>
      <c r="B10" s="214"/>
      <c r="C10" s="214"/>
      <c r="D10" s="214"/>
      <c r="E10" s="215"/>
      <c r="G10" s="6"/>
      <c r="H10" s="8"/>
      <c r="I10" s="8"/>
      <c r="J10" s="8"/>
    </row>
    <row r="11" spans="1:10" x14ac:dyDescent="0.2">
      <c r="A11" s="76"/>
      <c r="B11" s="76" t="s">
        <v>63</v>
      </c>
      <c r="C11" s="214"/>
      <c r="D11" s="214"/>
      <c r="E11" s="215"/>
      <c r="F11" s="209"/>
      <c r="G11" s="6"/>
      <c r="H11" s="8"/>
      <c r="I11" s="8"/>
      <c r="J11" s="8"/>
    </row>
    <row r="12" spans="1:10" x14ac:dyDescent="0.2">
      <c r="A12" s="76"/>
      <c r="B12" s="76"/>
      <c r="C12" s="214"/>
      <c r="D12" s="214"/>
      <c r="E12" s="215"/>
      <c r="F12" s="79"/>
      <c r="G12" s="6"/>
      <c r="H12" s="8"/>
      <c r="I12" s="8"/>
      <c r="J12" s="8"/>
    </row>
    <row r="13" spans="1:10" x14ac:dyDescent="0.2">
      <c r="A13" s="76"/>
      <c r="B13" s="76" t="s">
        <v>64</v>
      </c>
      <c r="C13" s="214"/>
      <c r="D13" s="214"/>
      <c r="E13" s="215"/>
      <c r="F13" s="210"/>
      <c r="G13" s="6"/>
      <c r="H13" s="8"/>
      <c r="I13" s="8"/>
      <c r="J13" s="8"/>
    </row>
    <row r="14" spans="1:10" x14ac:dyDescent="0.2">
      <c r="A14" s="214"/>
      <c r="B14" s="214"/>
      <c r="C14" s="214"/>
      <c r="D14" s="214"/>
      <c r="E14" s="216"/>
      <c r="G14" s="6"/>
      <c r="H14" s="8"/>
      <c r="I14" s="8"/>
      <c r="J14" s="8"/>
    </row>
    <row r="15" spans="1:10" x14ac:dyDescent="0.2">
      <c r="A15" s="214"/>
      <c r="B15" s="76" t="s">
        <v>65</v>
      </c>
      <c r="C15" s="214"/>
      <c r="D15" s="214"/>
      <c r="E15" s="216"/>
      <c r="F15" s="84"/>
      <c r="G15" s="6"/>
      <c r="H15" s="8"/>
      <c r="I15" s="8"/>
      <c r="J15" s="8"/>
    </row>
    <row r="16" spans="1:10" x14ac:dyDescent="0.2">
      <c r="A16" s="11"/>
      <c r="B16" s="11"/>
      <c r="C16" s="11"/>
      <c r="D16" s="11"/>
      <c r="E16" s="63"/>
      <c r="G16" s="6"/>
      <c r="H16" s="8"/>
      <c r="I16" s="8"/>
      <c r="J16" s="8"/>
    </row>
    <row r="17" spans="1:11" x14ac:dyDescent="0.2">
      <c r="A17" s="217" t="s">
        <v>66</v>
      </c>
      <c r="B17" s="10"/>
      <c r="C17" s="10"/>
      <c r="D17" s="10"/>
      <c r="E17" s="60" t="s">
        <v>89</v>
      </c>
      <c r="G17" s="6"/>
      <c r="H17" s="8"/>
      <c r="I17" s="8"/>
      <c r="J17" s="8"/>
    </row>
    <row r="18" spans="1:11" x14ac:dyDescent="0.2">
      <c r="I18" s="12"/>
      <c r="J18" s="228" t="s">
        <v>95</v>
      </c>
    </row>
    <row r="19" spans="1:11" ht="15" x14ac:dyDescent="0.35">
      <c r="A19" s="218" t="s">
        <v>67</v>
      </c>
      <c r="B19" s="219"/>
      <c r="C19" s="220"/>
      <c r="D19" s="221"/>
      <c r="E19" s="221"/>
      <c r="F19" s="12" t="s">
        <v>92</v>
      </c>
      <c r="G19" s="13" t="s">
        <v>93</v>
      </c>
      <c r="H19" s="13" t="s">
        <v>94</v>
      </c>
      <c r="I19" s="12" t="s">
        <v>98</v>
      </c>
      <c r="J19" s="13" t="s">
        <v>96</v>
      </c>
      <c r="K19" s="12" t="s">
        <v>97</v>
      </c>
    </row>
    <row r="20" spans="1:11" x14ac:dyDescent="0.2">
      <c r="A20" s="85" t="s">
        <v>68</v>
      </c>
      <c r="B20" s="3"/>
      <c r="C20" s="64" t="s">
        <v>28</v>
      </c>
      <c r="D20" s="1"/>
      <c r="E20" s="222"/>
      <c r="F20" s="4"/>
      <c r="G20" s="14">
        <f>A165</f>
        <v>0</v>
      </c>
      <c r="H20" s="15" t="e">
        <f>G20/(E5-F15)</f>
        <v>#DIV/0!</v>
      </c>
      <c r="I20" s="61"/>
      <c r="J20" s="71"/>
      <c r="K20" s="14">
        <f>IF(F20="épou(x)(se)",F225,I225)</f>
        <v>0</v>
      </c>
    </row>
    <row r="21" spans="1:11" x14ac:dyDescent="0.2">
      <c r="A21" s="217" t="s">
        <v>69</v>
      </c>
      <c r="B21" s="223"/>
      <c r="C21" s="65"/>
      <c r="D21" s="215"/>
      <c r="E21" s="224"/>
      <c r="F21" s="6"/>
      <c r="G21" s="23"/>
      <c r="H21" s="17"/>
      <c r="I21" s="17"/>
      <c r="J21" s="16"/>
      <c r="K21" s="14"/>
    </row>
    <row r="22" spans="1:11" x14ac:dyDescent="0.2">
      <c r="A22" s="85" t="s">
        <v>70</v>
      </c>
      <c r="B22" s="3"/>
      <c r="C22" s="64" t="s">
        <v>28</v>
      </c>
      <c r="D22" s="1"/>
      <c r="E22" s="222"/>
      <c r="F22" s="6"/>
      <c r="G22" s="127">
        <f>AA165</f>
        <v>0</v>
      </c>
      <c r="H22" s="15" t="e">
        <f>G22/(E5-F15)</f>
        <v>#DIV/0!</v>
      </c>
      <c r="I22" s="17"/>
      <c r="J22" s="16"/>
      <c r="K22" s="14">
        <f>IF(F20="épou(x)(se)",Blad1!F225,Blad1!I225)</f>
        <v>0</v>
      </c>
    </row>
    <row r="23" spans="1:11" x14ac:dyDescent="0.2">
      <c r="A23" s="217" t="s">
        <v>69</v>
      </c>
      <c r="B23" s="225"/>
      <c r="C23" s="65"/>
      <c r="D23" s="215"/>
      <c r="E23" s="224"/>
      <c r="F23" s="6"/>
      <c r="G23" s="23"/>
      <c r="H23" s="17"/>
      <c r="I23" s="17"/>
      <c r="J23" s="16"/>
      <c r="K23" s="14"/>
    </row>
    <row r="24" spans="1:11" x14ac:dyDescent="0.2">
      <c r="A24" s="218" t="s">
        <v>72</v>
      </c>
      <c r="B24" s="219"/>
      <c r="C24" s="66"/>
      <c r="D24" s="226"/>
      <c r="E24" s="221"/>
      <c r="F24" s="18"/>
      <c r="G24" s="14"/>
      <c r="H24" s="15"/>
      <c r="I24" s="15"/>
      <c r="J24" s="16"/>
      <c r="K24" s="14"/>
    </row>
    <row r="25" spans="1:11" x14ac:dyDescent="0.2">
      <c r="A25" s="85" t="s">
        <v>68</v>
      </c>
      <c r="B25" s="3"/>
      <c r="C25" s="64" t="s">
        <v>28</v>
      </c>
      <c r="D25" s="1"/>
      <c r="E25" s="222"/>
      <c r="F25" s="4"/>
      <c r="G25" s="14">
        <f>E165</f>
        <v>0</v>
      </c>
      <c r="H25" s="15" t="e">
        <f>G25/(E5-F15)</f>
        <v>#DIV/0!</v>
      </c>
      <c r="I25" s="61"/>
      <c r="J25" s="71"/>
      <c r="K25" s="14">
        <f>IF(F25="épou(x)(se)",F328,I328)</f>
        <v>0</v>
      </c>
    </row>
    <row r="26" spans="1:11" x14ac:dyDescent="0.2">
      <c r="A26" s="217" t="s">
        <v>69</v>
      </c>
      <c r="B26" s="223"/>
      <c r="C26" s="65"/>
      <c r="D26" s="215"/>
      <c r="E26" s="224"/>
      <c r="F26" s="6"/>
      <c r="G26" s="23"/>
      <c r="H26" s="17"/>
      <c r="I26" s="17"/>
      <c r="J26" s="16"/>
      <c r="K26" s="14"/>
    </row>
    <row r="27" spans="1:11" x14ac:dyDescent="0.2">
      <c r="A27" s="85" t="s">
        <v>70</v>
      </c>
      <c r="B27" s="3"/>
      <c r="C27" s="64" t="s">
        <v>28</v>
      </c>
      <c r="D27" s="1"/>
      <c r="E27" s="222"/>
      <c r="F27" s="6"/>
      <c r="G27" s="23">
        <f>AE165</f>
        <v>0</v>
      </c>
      <c r="H27" s="15" t="e">
        <f>G27/(E5-F15)</f>
        <v>#DIV/0!</v>
      </c>
      <c r="I27" s="17"/>
      <c r="J27" s="16"/>
      <c r="K27" s="14">
        <f>IF(F25="épou(x)(se)",Blad1!F328,Blad1!I328)</f>
        <v>0</v>
      </c>
    </row>
    <row r="28" spans="1:11" hidden="1" x14ac:dyDescent="0.2">
      <c r="A28" s="217" t="s">
        <v>69</v>
      </c>
      <c r="B28" s="225">
        <f>B26</f>
        <v>0</v>
      </c>
      <c r="C28" s="65"/>
      <c r="D28" s="215"/>
      <c r="E28" s="224"/>
      <c r="F28" s="6"/>
      <c r="G28" s="23"/>
      <c r="H28" s="17"/>
      <c r="I28" s="17"/>
      <c r="J28" s="16"/>
      <c r="K28" s="14"/>
    </row>
    <row r="29" spans="1:11" x14ac:dyDescent="0.2">
      <c r="A29" s="218" t="s">
        <v>73</v>
      </c>
      <c r="B29" s="219"/>
      <c r="C29" s="66"/>
      <c r="D29" s="226"/>
      <c r="E29" s="221"/>
      <c r="F29" s="18"/>
      <c r="G29" s="14"/>
      <c r="H29" s="15"/>
      <c r="I29" s="15"/>
      <c r="J29" s="16"/>
      <c r="K29" s="14"/>
    </row>
    <row r="30" spans="1:11" x14ac:dyDescent="0.2">
      <c r="A30" s="85" t="s">
        <v>68</v>
      </c>
      <c r="B30" s="3"/>
      <c r="C30" s="64" t="s">
        <v>28</v>
      </c>
      <c r="D30" s="1"/>
      <c r="E30" s="222"/>
      <c r="F30" s="4"/>
      <c r="G30" s="14">
        <f>F165</f>
        <v>0</v>
      </c>
      <c r="H30" s="15" t="e">
        <f>G30/(E5-F15)</f>
        <v>#DIV/0!</v>
      </c>
      <c r="I30" s="61"/>
      <c r="J30" s="71"/>
      <c r="K30" s="14">
        <f>IF(F30="épou(x)(se)",F431,I431)</f>
        <v>0</v>
      </c>
    </row>
    <row r="31" spans="1:11" x14ac:dyDescent="0.2">
      <c r="A31" s="217" t="s">
        <v>69</v>
      </c>
      <c r="B31" s="223"/>
      <c r="C31" s="65"/>
      <c r="D31" s="215"/>
      <c r="E31" s="224"/>
      <c r="F31" s="6"/>
      <c r="G31" s="23"/>
      <c r="H31" s="17"/>
      <c r="I31" s="17"/>
      <c r="J31" s="16"/>
      <c r="K31" s="14"/>
    </row>
    <row r="32" spans="1:11" x14ac:dyDescent="0.2">
      <c r="A32" s="85" t="s">
        <v>70</v>
      </c>
      <c r="B32" s="3"/>
      <c r="C32" s="64" t="s">
        <v>28</v>
      </c>
      <c r="D32" s="1"/>
      <c r="E32" s="222"/>
      <c r="F32" s="6"/>
      <c r="G32" s="23">
        <f>AF165</f>
        <v>0</v>
      </c>
      <c r="H32" s="15" t="e">
        <f>G32/(E5-F15)</f>
        <v>#DIV/0!</v>
      </c>
      <c r="I32" s="17"/>
      <c r="J32" s="16"/>
      <c r="K32" s="14">
        <f>IF(F30="épou(x)(se)",Blad1!F431,Blad1!I431)</f>
        <v>0</v>
      </c>
    </row>
    <row r="33" spans="1:11" hidden="1" x14ac:dyDescent="0.2">
      <c r="A33" s="217" t="s">
        <v>69</v>
      </c>
      <c r="B33" s="225">
        <f>B31</f>
        <v>0</v>
      </c>
      <c r="C33" s="65"/>
      <c r="D33" s="215"/>
      <c r="E33" s="224"/>
      <c r="F33" s="6"/>
      <c r="G33" s="23"/>
      <c r="H33" s="17"/>
      <c r="I33" s="17"/>
      <c r="J33" s="16"/>
      <c r="K33" s="14"/>
    </row>
    <row r="34" spans="1:11" x14ac:dyDescent="0.2">
      <c r="A34" s="218" t="s">
        <v>75</v>
      </c>
      <c r="B34" s="219"/>
      <c r="C34" s="66"/>
      <c r="D34" s="226"/>
      <c r="E34" s="221"/>
      <c r="F34" s="18"/>
      <c r="G34" s="14"/>
      <c r="H34" s="15"/>
      <c r="I34" s="15"/>
      <c r="J34" s="16"/>
      <c r="K34" s="14"/>
    </row>
    <row r="35" spans="1:11" x14ac:dyDescent="0.2">
      <c r="A35" s="85" t="s">
        <v>68</v>
      </c>
      <c r="B35" s="3"/>
      <c r="C35" s="64" t="s">
        <v>28</v>
      </c>
      <c r="D35" s="1"/>
      <c r="E35" s="227"/>
      <c r="F35" s="4"/>
      <c r="G35" s="14">
        <f>G165</f>
        <v>0</v>
      </c>
      <c r="H35" s="15" t="e">
        <f>G35/(E5-F15)</f>
        <v>#DIV/0!</v>
      </c>
      <c r="I35" s="61"/>
      <c r="J35" s="71"/>
      <c r="K35" s="14">
        <f>IF(F35="épou(x)(se)",F534,I534)</f>
        <v>0</v>
      </c>
    </row>
    <row r="36" spans="1:11" x14ac:dyDescent="0.2">
      <c r="A36" s="217" t="s">
        <v>69</v>
      </c>
      <c r="B36" s="223"/>
      <c r="C36" s="65"/>
      <c r="D36" s="215"/>
      <c r="E36" s="224"/>
      <c r="F36" s="6"/>
      <c r="G36" s="23"/>
      <c r="H36" s="17"/>
      <c r="I36" s="17"/>
      <c r="J36" s="16"/>
      <c r="K36" s="14"/>
    </row>
    <row r="37" spans="1:11" x14ac:dyDescent="0.2">
      <c r="A37" s="85" t="s">
        <v>70</v>
      </c>
      <c r="B37" s="3"/>
      <c r="C37" s="64" t="s">
        <v>28</v>
      </c>
      <c r="D37" s="1"/>
      <c r="E37" s="222"/>
      <c r="F37" s="6"/>
      <c r="G37" s="23">
        <f>AG165</f>
        <v>0</v>
      </c>
      <c r="H37" s="15" t="e">
        <f>G37/(E5-F15)</f>
        <v>#DIV/0!</v>
      </c>
      <c r="I37" s="17"/>
      <c r="J37" s="16"/>
      <c r="K37" s="14">
        <f>IF(F35="épou(x)(se)",Blad1!F534,Blad1!I534)</f>
        <v>0</v>
      </c>
    </row>
    <row r="38" spans="1:11" hidden="1" x14ac:dyDescent="0.2">
      <c r="A38" s="217" t="s">
        <v>69</v>
      </c>
      <c r="B38" s="225">
        <f>B36</f>
        <v>0</v>
      </c>
      <c r="C38" s="65"/>
      <c r="D38" s="215"/>
      <c r="E38" s="224"/>
      <c r="F38" s="6"/>
      <c r="G38" s="23"/>
      <c r="H38" s="17"/>
      <c r="I38" s="17"/>
      <c r="J38" s="16"/>
      <c r="K38" s="14"/>
    </row>
    <row r="39" spans="1:11" x14ac:dyDescent="0.2">
      <c r="A39" s="218" t="s">
        <v>76</v>
      </c>
      <c r="B39" s="219"/>
      <c r="C39" s="66"/>
      <c r="D39" s="226"/>
      <c r="E39" s="221"/>
      <c r="F39" s="18"/>
      <c r="G39" s="14"/>
      <c r="H39" s="15"/>
      <c r="I39" s="15"/>
      <c r="J39" s="19"/>
      <c r="K39" s="20"/>
    </row>
    <row r="40" spans="1:11" x14ac:dyDescent="0.2">
      <c r="A40" s="85" t="s">
        <v>68</v>
      </c>
      <c r="B40" s="3"/>
      <c r="C40" s="64" t="s">
        <v>28</v>
      </c>
      <c r="D40" s="1"/>
      <c r="E40" s="222"/>
      <c r="F40" s="4"/>
      <c r="G40" s="14">
        <f>H165</f>
        <v>0</v>
      </c>
      <c r="H40" s="15" t="e">
        <f>G40/(E5-F15)</f>
        <v>#DIV/0!</v>
      </c>
      <c r="I40" s="61"/>
      <c r="J40" s="72"/>
      <c r="K40" s="14">
        <f>IF(F40="épou(x)(se)",F637,I637)</f>
        <v>0</v>
      </c>
    </row>
    <row r="41" spans="1:11" x14ac:dyDescent="0.2">
      <c r="A41" s="217" t="s">
        <v>69</v>
      </c>
      <c r="B41" s="223"/>
      <c r="C41" s="65"/>
      <c r="D41" s="215"/>
      <c r="E41" s="224"/>
      <c r="F41" s="6"/>
      <c r="G41" s="23"/>
      <c r="H41" s="17"/>
      <c r="I41" s="17"/>
      <c r="J41" s="19"/>
      <c r="K41" s="20"/>
    </row>
    <row r="42" spans="1:11" x14ac:dyDescent="0.2">
      <c r="A42" s="85" t="s">
        <v>70</v>
      </c>
      <c r="B42" s="3"/>
      <c r="C42" s="64" t="s">
        <v>28</v>
      </c>
      <c r="D42" s="1"/>
      <c r="E42" s="222"/>
      <c r="F42" s="6"/>
      <c r="G42" s="23">
        <f>AH165</f>
        <v>0</v>
      </c>
      <c r="H42" s="15" t="e">
        <f>G42/(E5-F15)</f>
        <v>#DIV/0!</v>
      </c>
      <c r="I42" s="17"/>
      <c r="J42" s="19"/>
      <c r="K42" s="20">
        <f>IF(F40="épou(x)(se)",Blad1!F637,Blad1!I637)</f>
        <v>0</v>
      </c>
    </row>
    <row r="43" spans="1:11" hidden="1" x14ac:dyDescent="0.2">
      <c r="A43" s="217" t="s">
        <v>69</v>
      </c>
      <c r="B43" s="225">
        <f>B41</f>
        <v>0</v>
      </c>
      <c r="C43" s="65"/>
      <c r="D43" s="215"/>
      <c r="E43" s="224"/>
      <c r="F43" s="6"/>
      <c r="G43" s="23"/>
      <c r="H43" s="17"/>
      <c r="I43" s="17"/>
      <c r="J43" s="19"/>
      <c r="K43" s="20"/>
    </row>
    <row r="44" spans="1:11" x14ac:dyDescent="0.2">
      <c r="A44" s="218" t="s">
        <v>77</v>
      </c>
      <c r="B44" s="219"/>
      <c r="C44" s="66"/>
      <c r="D44" s="226"/>
      <c r="E44" s="221"/>
      <c r="F44" s="18"/>
      <c r="G44" s="14"/>
      <c r="H44" s="15"/>
      <c r="I44" s="15"/>
      <c r="J44" s="16"/>
      <c r="K44" s="14"/>
    </row>
    <row r="45" spans="1:11" x14ac:dyDescent="0.2">
      <c r="A45" s="85" t="s">
        <v>68</v>
      </c>
      <c r="B45" s="3"/>
      <c r="C45" s="64" t="s">
        <v>28</v>
      </c>
      <c r="D45" s="1"/>
      <c r="E45" s="222"/>
      <c r="F45" s="4"/>
      <c r="G45" s="14">
        <f>I165</f>
        <v>0</v>
      </c>
      <c r="H45" s="15" t="e">
        <f>G45/(E5-F15)</f>
        <v>#DIV/0!</v>
      </c>
      <c r="I45" s="61"/>
      <c r="J45" s="71"/>
      <c r="K45" s="14">
        <f>IF(F45="épou(x)(se)",F740,I740)</f>
        <v>0</v>
      </c>
    </row>
    <row r="46" spans="1:11" x14ac:dyDescent="0.2">
      <c r="A46" s="217" t="s">
        <v>69</v>
      </c>
      <c r="B46" s="223"/>
      <c r="C46" s="65"/>
      <c r="D46" s="215"/>
      <c r="E46" s="224"/>
      <c r="F46" s="6"/>
      <c r="G46" s="23"/>
      <c r="H46" s="17"/>
      <c r="I46" s="17"/>
      <c r="J46" s="16"/>
      <c r="K46" s="14"/>
    </row>
    <row r="47" spans="1:11" x14ac:dyDescent="0.2">
      <c r="A47" s="85" t="s">
        <v>70</v>
      </c>
      <c r="B47" s="3"/>
      <c r="C47" s="64" t="s">
        <v>28</v>
      </c>
      <c r="D47" s="1"/>
      <c r="E47" s="222"/>
      <c r="F47" s="6"/>
      <c r="G47" s="23">
        <f>AI165</f>
        <v>0</v>
      </c>
      <c r="H47" s="15" t="e">
        <f>G47/(E5-F15)</f>
        <v>#DIV/0!</v>
      </c>
      <c r="I47" s="17"/>
      <c r="J47" s="16"/>
      <c r="K47" s="14">
        <f>IF(F45="épou(x)(se)",Blad1!F740,Blad1!I740)</f>
        <v>0</v>
      </c>
    </row>
    <row r="48" spans="1:11" x14ac:dyDescent="0.2">
      <c r="A48" s="217" t="s">
        <v>69</v>
      </c>
      <c r="B48" s="225"/>
      <c r="C48" s="65"/>
      <c r="D48" s="215"/>
      <c r="E48" s="224"/>
      <c r="F48" s="6"/>
      <c r="G48" s="23"/>
      <c r="H48" s="17"/>
      <c r="I48" s="17"/>
      <c r="J48" s="16"/>
      <c r="K48" s="14"/>
    </row>
    <row r="49" spans="1:15" x14ac:dyDescent="0.2">
      <c r="A49" s="218" t="s">
        <v>78</v>
      </c>
      <c r="B49" s="219"/>
      <c r="C49" s="66"/>
      <c r="D49" s="226"/>
      <c r="E49" s="221"/>
      <c r="F49" s="6"/>
      <c r="G49" s="14"/>
      <c r="H49" s="15"/>
      <c r="I49" s="15"/>
      <c r="J49" s="16"/>
      <c r="K49" s="14"/>
    </row>
    <row r="50" spans="1:15" x14ac:dyDescent="0.2">
      <c r="A50" s="85" t="s">
        <v>68</v>
      </c>
      <c r="B50" s="3"/>
      <c r="C50" s="64" t="s">
        <v>28</v>
      </c>
      <c r="D50" s="1"/>
      <c r="E50" s="222"/>
      <c r="F50" s="4"/>
      <c r="G50" s="14">
        <f>J165</f>
        <v>0</v>
      </c>
      <c r="H50" s="15" t="e">
        <f>G50/(E5-F15)</f>
        <v>#DIV/0!</v>
      </c>
      <c r="I50" s="61"/>
      <c r="J50" s="71"/>
      <c r="K50" s="14">
        <f>IF(F50="épou(x)(se)",F843,I843)</f>
        <v>0</v>
      </c>
    </row>
    <row r="51" spans="1:15" x14ac:dyDescent="0.2">
      <c r="A51" s="217" t="s">
        <v>69</v>
      </c>
      <c r="B51" s="223"/>
      <c r="C51" s="65"/>
      <c r="D51" s="215"/>
      <c r="E51" s="224"/>
      <c r="F51" s="6"/>
      <c r="G51" s="23"/>
      <c r="H51" s="17"/>
      <c r="I51" s="17"/>
      <c r="J51" s="16"/>
      <c r="K51" s="14"/>
    </row>
    <row r="52" spans="1:15" x14ac:dyDescent="0.2">
      <c r="A52" s="85" t="s">
        <v>70</v>
      </c>
      <c r="B52" s="3"/>
      <c r="C52" s="64" t="s">
        <v>28</v>
      </c>
      <c r="D52" s="1"/>
      <c r="E52" s="222"/>
      <c r="F52" s="6"/>
      <c r="G52" s="23">
        <f>AJ165</f>
        <v>0</v>
      </c>
      <c r="H52" s="15" t="e">
        <f>G52/(E5-F15)</f>
        <v>#DIV/0!</v>
      </c>
      <c r="I52" s="17"/>
      <c r="J52" s="16"/>
      <c r="K52" s="14">
        <f>IF(F50="épou(x)(se)",Blad1!F843,Blad1!I843)</f>
        <v>0</v>
      </c>
    </row>
    <row r="53" spans="1:15" hidden="1" x14ac:dyDescent="0.2">
      <c r="A53" s="217" t="s">
        <v>69</v>
      </c>
      <c r="B53" s="225">
        <f>B51</f>
        <v>0</v>
      </c>
      <c r="C53" s="65"/>
      <c r="D53" s="215"/>
      <c r="E53" s="224"/>
      <c r="F53" s="6"/>
      <c r="G53" s="23"/>
      <c r="H53" s="17"/>
      <c r="I53" s="17"/>
      <c r="J53" s="16"/>
      <c r="K53" s="14"/>
    </row>
    <row r="54" spans="1:15" x14ac:dyDescent="0.2">
      <c r="A54" s="218" t="s">
        <v>79</v>
      </c>
      <c r="B54" s="219"/>
      <c r="C54" s="66"/>
      <c r="D54" s="226"/>
      <c r="E54" s="221"/>
      <c r="F54" s="18"/>
      <c r="G54" s="14"/>
      <c r="H54" s="15"/>
      <c r="I54" s="15"/>
      <c r="J54" s="16"/>
      <c r="K54" s="14"/>
    </row>
    <row r="55" spans="1:15" x14ac:dyDescent="0.2">
      <c r="A55" s="85" t="s">
        <v>68</v>
      </c>
      <c r="B55" s="3"/>
      <c r="C55" s="64" t="s">
        <v>28</v>
      </c>
      <c r="D55" s="1"/>
      <c r="E55" s="222"/>
      <c r="F55" s="4"/>
      <c r="G55" s="14">
        <f>K165</f>
        <v>0</v>
      </c>
      <c r="H55" s="15" t="e">
        <f>G55/(E5-F15)</f>
        <v>#DIV/0!</v>
      </c>
      <c r="I55" s="61"/>
      <c r="J55" s="71"/>
      <c r="K55" s="14">
        <f>IF(F55="épou(x)(se)",F946,I946)</f>
        <v>0</v>
      </c>
    </row>
    <row r="56" spans="1:15" x14ac:dyDescent="0.2">
      <c r="A56" s="217" t="s">
        <v>69</v>
      </c>
      <c r="B56" s="223"/>
      <c r="C56" s="65"/>
      <c r="D56" s="215"/>
      <c r="E56" s="224"/>
      <c r="F56" s="6"/>
      <c r="G56" s="23"/>
      <c r="H56" s="17"/>
      <c r="I56" s="17"/>
      <c r="J56" s="16"/>
      <c r="K56" s="14"/>
    </row>
    <row r="57" spans="1:15" x14ac:dyDescent="0.2">
      <c r="A57" s="85" t="s">
        <v>70</v>
      </c>
      <c r="B57" s="3"/>
      <c r="C57" s="64" t="s">
        <v>28</v>
      </c>
      <c r="D57" s="1"/>
      <c r="E57" s="222"/>
      <c r="F57" s="6"/>
      <c r="G57" s="23">
        <f>AK165</f>
        <v>0</v>
      </c>
      <c r="H57" s="15" t="e">
        <f>G57/(E5-F15)</f>
        <v>#DIV/0!</v>
      </c>
      <c r="I57" s="17"/>
      <c r="J57" s="16"/>
      <c r="K57" s="14">
        <f>IF(F55="épou(x)(se)",Blad1!F946,Blad1!I946)</f>
        <v>0</v>
      </c>
    </row>
    <row r="58" spans="1:15" hidden="1" x14ac:dyDescent="0.2">
      <c r="A58" s="217" t="s">
        <v>69</v>
      </c>
      <c r="B58" s="225">
        <f>B56</f>
        <v>0</v>
      </c>
      <c r="C58" s="65"/>
      <c r="D58" s="215"/>
      <c r="E58" s="224"/>
      <c r="F58" s="6"/>
      <c r="G58" s="23"/>
      <c r="H58" s="17"/>
      <c r="I58" s="17"/>
      <c r="J58" s="16"/>
      <c r="K58" s="14"/>
    </row>
    <row r="59" spans="1:15" x14ac:dyDescent="0.2">
      <c r="A59" s="218" t="s">
        <v>80</v>
      </c>
      <c r="B59" s="219"/>
      <c r="C59" s="66"/>
      <c r="D59" s="226"/>
      <c r="E59" s="221"/>
      <c r="F59" s="18"/>
      <c r="G59" s="14"/>
      <c r="H59" s="15"/>
      <c r="I59" s="15"/>
      <c r="J59" s="19"/>
      <c r="K59" s="20"/>
    </row>
    <row r="60" spans="1:15" x14ac:dyDescent="0.2">
      <c r="A60" s="85" t="s">
        <v>68</v>
      </c>
      <c r="B60" s="3"/>
      <c r="C60" s="64" t="s">
        <v>28</v>
      </c>
      <c r="D60" s="1"/>
      <c r="E60" s="222"/>
      <c r="F60" s="4"/>
      <c r="G60" s="14">
        <f>N165</f>
        <v>0</v>
      </c>
      <c r="H60" s="15" t="e">
        <f>G60/(E5-F15)</f>
        <v>#DIV/0!</v>
      </c>
      <c r="I60" s="61"/>
      <c r="J60" s="72"/>
      <c r="K60" s="14">
        <f>IF(F60="épou(x)(se)",F1049,I1049)</f>
        <v>0</v>
      </c>
    </row>
    <row r="61" spans="1:15" x14ac:dyDescent="0.2">
      <c r="A61" s="217" t="s">
        <v>69</v>
      </c>
      <c r="B61" s="223"/>
      <c r="C61" s="65"/>
      <c r="D61" s="215"/>
      <c r="E61" s="224"/>
      <c r="F61" s="6"/>
      <c r="G61" s="195"/>
      <c r="K61" s="20"/>
      <c r="L61" s="67"/>
    </row>
    <row r="62" spans="1:15" x14ac:dyDescent="0.2">
      <c r="A62" s="85" t="s">
        <v>70</v>
      </c>
      <c r="B62" s="3"/>
      <c r="C62" s="64" t="s">
        <v>28</v>
      </c>
      <c r="D62" s="1"/>
      <c r="E62" s="222"/>
      <c r="F62" s="6"/>
      <c r="G62" s="14">
        <f>AL165</f>
        <v>0</v>
      </c>
      <c r="H62" s="15" t="e">
        <f>G62/(E5-F15)</f>
        <v>#DIV/0!</v>
      </c>
      <c r="K62" s="20">
        <f>IF(F60="épou(x)(se)",Blad1!F1049,Blad1!I1049)</f>
        <v>0</v>
      </c>
      <c r="L62" s="67"/>
    </row>
    <row r="63" spans="1:15" hidden="1" x14ac:dyDescent="0.2">
      <c r="A63" s="85" t="s">
        <v>34</v>
      </c>
      <c r="B63" s="197">
        <f>B61</f>
        <v>0</v>
      </c>
      <c r="C63" s="65"/>
      <c r="E63" s="10"/>
      <c r="F63" s="6"/>
      <c r="G63" s="195"/>
      <c r="K63" s="21"/>
      <c r="L63" s="67"/>
    </row>
    <row r="64" spans="1:15" x14ac:dyDescent="0.2">
      <c r="A64" s="10"/>
      <c r="B64" s="10"/>
      <c r="C64" s="10"/>
      <c r="D64" s="10"/>
      <c r="E64" s="10"/>
      <c r="F64" s="22"/>
      <c r="G64" s="196"/>
      <c r="H64" s="10"/>
      <c r="I64" s="10"/>
      <c r="J64" s="10"/>
      <c r="K64" s="14"/>
      <c r="L64" s="14"/>
      <c r="M64" s="14"/>
      <c r="N64" s="8"/>
      <c r="O64" s="17"/>
    </row>
    <row r="65" spans="1:11" x14ac:dyDescent="0.2">
      <c r="A65" s="10"/>
      <c r="B65" s="10"/>
      <c r="C65" s="10"/>
      <c r="D65" s="10"/>
      <c r="E65" s="10"/>
      <c r="F65" s="8" t="s">
        <v>3</v>
      </c>
      <c r="G65" s="14">
        <f>SUM(G20:G60)</f>
        <v>0</v>
      </c>
      <c r="H65" s="15" t="e">
        <f>SUM(H20:H60)</f>
        <v>#DIV/0!</v>
      </c>
      <c r="I65" s="14"/>
      <c r="J65" s="12" t="s">
        <v>2</v>
      </c>
      <c r="K65" s="23">
        <f>SUM(K20:K63)</f>
        <v>0</v>
      </c>
    </row>
    <row r="66" spans="1:11" x14ac:dyDescent="0.2">
      <c r="A66" s="11"/>
      <c r="B66" s="11"/>
      <c r="C66" s="11"/>
      <c r="D66" s="11"/>
      <c r="E66" s="63"/>
      <c r="G66" s="6"/>
      <c r="H66" s="8"/>
      <c r="I66" s="8"/>
      <c r="J66" s="8"/>
    </row>
    <row r="67" spans="1:11" x14ac:dyDescent="0.2">
      <c r="A67" s="10"/>
      <c r="B67" s="10"/>
      <c r="C67" s="10"/>
      <c r="D67" s="10"/>
      <c r="E67" s="10"/>
      <c r="F67" s="24"/>
      <c r="G67" s="6"/>
      <c r="H67" s="8"/>
      <c r="I67" s="8"/>
      <c r="J67" s="8"/>
    </row>
    <row r="68" spans="1:11" x14ac:dyDescent="0.2">
      <c r="A68" s="25" t="s">
        <v>1</v>
      </c>
      <c r="B68" s="25"/>
      <c r="C68" s="25"/>
      <c r="D68" s="25"/>
      <c r="E68" s="6"/>
      <c r="F68" s="6"/>
      <c r="G68" s="6"/>
      <c r="H68" s="8"/>
      <c r="I68" s="8"/>
      <c r="J68" s="8"/>
    </row>
    <row r="69" spans="1:11" x14ac:dyDescent="0.2">
      <c r="A69" s="10"/>
      <c r="B69" s="10"/>
      <c r="C69" s="10"/>
      <c r="D69" s="10"/>
      <c r="E69" s="10"/>
      <c r="F69" s="10"/>
      <c r="G69" s="26"/>
      <c r="H69" s="8"/>
      <c r="I69" s="230" t="s">
        <v>106</v>
      </c>
      <c r="J69" s="27">
        <f>IF(E17="avancement d'hoirie",W112,AA112)</f>
        <v>0</v>
      </c>
    </row>
    <row r="70" spans="1:11" x14ac:dyDescent="0.2">
      <c r="A70" s="85" t="s">
        <v>99</v>
      </c>
      <c r="B70" s="10"/>
      <c r="C70" s="10"/>
      <c r="D70" s="10"/>
      <c r="E70" s="10"/>
      <c r="F70" s="10"/>
      <c r="G70" s="27">
        <f>K65</f>
        <v>0</v>
      </c>
      <c r="H70" s="8"/>
      <c r="I70" s="76" t="s">
        <v>105</v>
      </c>
      <c r="J70" s="28">
        <f>J69*21%</f>
        <v>0</v>
      </c>
    </row>
    <row r="71" spans="1:11" x14ac:dyDescent="0.2">
      <c r="A71" s="85" t="s">
        <v>100</v>
      </c>
      <c r="B71" s="10"/>
      <c r="C71" s="10"/>
      <c r="D71" s="10"/>
      <c r="E71" s="10"/>
      <c r="F71" s="10"/>
      <c r="G71" s="73">
        <v>0</v>
      </c>
      <c r="H71" s="8"/>
      <c r="I71" s="8"/>
      <c r="J71" s="8"/>
    </row>
    <row r="72" spans="1:11" x14ac:dyDescent="0.2">
      <c r="A72" s="224" t="s">
        <v>101</v>
      </c>
      <c r="B72" s="10"/>
      <c r="C72" s="10"/>
      <c r="D72" s="10"/>
      <c r="E72" s="74">
        <v>0</v>
      </c>
      <c r="G72" s="27">
        <f>E72*30</f>
        <v>0</v>
      </c>
      <c r="H72" s="8"/>
      <c r="I72" s="8"/>
      <c r="J72" s="8"/>
    </row>
    <row r="73" spans="1:11" x14ac:dyDescent="0.2">
      <c r="A73" s="217"/>
      <c r="B73" s="10"/>
      <c r="C73" s="10"/>
      <c r="D73" s="10"/>
      <c r="E73" s="10"/>
      <c r="F73" s="10"/>
      <c r="G73" s="27"/>
      <c r="H73" s="8"/>
      <c r="I73" s="8"/>
      <c r="J73" s="8"/>
    </row>
    <row r="74" spans="1:11" x14ac:dyDescent="0.2">
      <c r="A74" s="224" t="s">
        <v>102</v>
      </c>
      <c r="B74" s="10"/>
      <c r="C74" s="10"/>
      <c r="D74" s="10"/>
      <c r="E74" s="10"/>
      <c r="F74" s="10"/>
      <c r="G74" s="73">
        <v>0</v>
      </c>
      <c r="H74" s="8"/>
      <c r="I74" s="8"/>
      <c r="J74" s="8"/>
    </row>
    <row r="75" spans="1:11" x14ac:dyDescent="0.2">
      <c r="A75" s="224"/>
      <c r="B75" s="10"/>
      <c r="C75" s="10"/>
      <c r="D75" s="10"/>
      <c r="E75" s="10"/>
      <c r="F75" s="229" t="s">
        <v>105</v>
      </c>
      <c r="G75" s="28">
        <f>G74*21%</f>
        <v>0</v>
      </c>
      <c r="H75" s="8"/>
      <c r="I75" s="8"/>
      <c r="J75" s="8"/>
    </row>
    <row r="76" spans="1:11" x14ac:dyDescent="0.2">
      <c r="A76" s="224" t="s">
        <v>103</v>
      </c>
      <c r="B76" s="10"/>
      <c r="C76" s="10"/>
      <c r="D76" s="10"/>
      <c r="E76" s="10"/>
      <c r="F76" s="22"/>
      <c r="G76" s="27">
        <v>7.5</v>
      </c>
      <c r="H76" s="8"/>
      <c r="I76" s="8"/>
      <c r="J76" s="8"/>
    </row>
    <row r="77" spans="1:11" x14ac:dyDescent="0.2">
      <c r="A77" s="224"/>
      <c r="B77" s="10"/>
      <c r="C77" s="10"/>
      <c r="D77" s="10"/>
      <c r="E77" s="10"/>
      <c r="F77" s="229" t="s">
        <v>105</v>
      </c>
      <c r="G77" s="28">
        <f>G76*21%</f>
        <v>1.575</v>
      </c>
      <c r="H77" s="8"/>
      <c r="I77" s="8"/>
      <c r="J77" s="8"/>
    </row>
    <row r="78" spans="1:11" x14ac:dyDescent="0.2">
      <c r="A78" s="85" t="s">
        <v>104</v>
      </c>
      <c r="B78" s="10"/>
      <c r="C78" s="10"/>
      <c r="D78" s="10"/>
      <c r="E78" s="10"/>
      <c r="F78" s="22"/>
      <c r="G78" s="73">
        <v>762.5</v>
      </c>
      <c r="H78" s="8"/>
      <c r="I78" s="8"/>
      <c r="J78" s="8"/>
    </row>
    <row r="79" spans="1:11" x14ac:dyDescent="0.2">
      <c r="A79" s="10"/>
      <c r="B79" s="10"/>
      <c r="C79" s="10"/>
      <c r="D79" s="10"/>
      <c r="E79" s="10"/>
      <c r="F79" s="229" t="s">
        <v>105</v>
      </c>
      <c r="G79" s="28">
        <f>G78*21%</f>
        <v>160.125</v>
      </c>
      <c r="H79" s="8"/>
      <c r="I79" s="8"/>
      <c r="J79" s="8"/>
    </row>
    <row r="80" spans="1:11" x14ac:dyDescent="0.2">
      <c r="A80" s="10"/>
      <c r="B80" s="10"/>
      <c r="C80" s="10"/>
      <c r="D80" s="10"/>
      <c r="E80" s="10"/>
      <c r="F80" s="10"/>
      <c r="G80" s="27"/>
      <c r="H80" s="8"/>
      <c r="I80" s="8"/>
      <c r="J80" s="8"/>
    </row>
    <row r="81" spans="1:10" x14ac:dyDescent="0.2">
      <c r="A81" s="10"/>
      <c r="B81" s="10"/>
      <c r="C81" s="10"/>
      <c r="D81" s="10"/>
      <c r="E81" s="10"/>
      <c r="F81" s="217" t="s">
        <v>107</v>
      </c>
      <c r="G81" s="27">
        <f>SUM(G70,G71,G72,G74,G76,G78)</f>
        <v>770</v>
      </c>
      <c r="H81" s="8"/>
      <c r="I81" s="231" t="s">
        <v>108</v>
      </c>
      <c r="J81" s="27">
        <f>J69</f>
        <v>0</v>
      </c>
    </row>
    <row r="82" spans="1:10" x14ac:dyDescent="0.2">
      <c r="A82" s="10"/>
      <c r="B82" s="10"/>
      <c r="C82" s="10"/>
      <c r="D82" s="10"/>
      <c r="E82" s="10"/>
      <c r="F82" s="10"/>
      <c r="G82" s="10"/>
      <c r="H82" s="8"/>
      <c r="I82" s="217" t="s">
        <v>107</v>
      </c>
      <c r="J82" s="27">
        <f>G81</f>
        <v>770</v>
      </c>
    </row>
    <row r="83" spans="1:10" x14ac:dyDescent="0.2">
      <c r="A83" s="10"/>
      <c r="B83" s="10"/>
      <c r="C83" s="10"/>
      <c r="D83" s="10"/>
      <c r="E83" s="10"/>
      <c r="F83" s="10"/>
      <c r="G83" s="10"/>
      <c r="H83" s="8"/>
      <c r="I83" s="231" t="s">
        <v>109</v>
      </c>
      <c r="J83" s="27">
        <f>SUM(J81+G81)</f>
        <v>770</v>
      </c>
    </row>
    <row r="84" spans="1:10" x14ac:dyDescent="0.2">
      <c r="I84" s="203"/>
      <c r="J84" s="27"/>
    </row>
    <row r="85" spans="1:10" x14ac:dyDescent="0.2">
      <c r="I85" s="231" t="s">
        <v>110</v>
      </c>
      <c r="J85" s="27">
        <f>SUM(G75,G77,G79,J70)</f>
        <v>161.69999999999999</v>
      </c>
    </row>
    <row r="86" spans="1:10" ht="13.5" thickBot="1" x14ac:dyDescent="0.25">
      <c r="I86" s="203"/>
      <c r="J86" s="27"/>
    </row>
    <row r="87" spans="1:10" ht="14.25" thickTop="1" thickBot="1" x14ac:dyDescent="0.25">
      <c r="E87" s="29"/>
      <c r="I87" s="30" t="s">
        <v>111</v>
      </c>
      <c r="J87" s="5">
        <f>SUM(J83:J85)</f>
        <v>931.7</v>
      </c>
    </row>
    <row r="88" spans="1:10" ht="13.5" thickTop="1" x14ac:dyDescent="0.2">
      <c r="E88" s="29"/>
    </row>
    <row r="89" spans="1:10" x14ac:dyDescent="0.2">
      <c r="E89" s="207" t="s">
        <v>112</v>
      </c>
      <c r="F89" s="31"/>
      <c r="G89" s="207" t="s">
        <v>117</v>
      </c>
    </row>
    <row r="90" spans="1:10" x14ac:dyDescent="0.2">
      <c r="E90" s="207" t="s">
        <v>113</v>
      </c>
      <c r="F90" s="31"/>
      <c r="G90" s="207" t="s">
        <v>118</v>
      </c>
    </row>
    <row r="91" spans="1:10" x14ac:dyDescent="0.2">
      <c r="E91" s="207" t="s">
        <v>114</v>
      </c>
      <c r="F91" s="31"/>
      <c r="G91" s="207" t="s">
        <v>119</v>
      </c>
    </row>
    <row r="92" spans="1:10" x14ac:dyDescent="0.2">
      <c r="E92" s="207" t="s">
        <v>115</v>
      </c>
      <c r="F92" s="31"/>
      <c r="G92" s="207" t="s">
        <v>120</v>
      </c>
    </row>
    <row r="93" spans="1:10" x14ac:dyDescent="0.2">
      <c r="E93" s="207" t="s">
        <v>116</v>
      </c>
      <c r="F93" s="31"/>
      <c r="G93" s="208" t="s">
        <v>121</v>
      </c>
    </row>
    <row r="94" spans="1:10" x14ac:dyDescent="0.2">
      <c r="E94" s="29"/>
      <c r="G94" s="29"/>
    </row>
    <row r="95" spans="1:10" x14ac:dyDescent="0.2">
      <c r="E95" s="29"/>
      <c r="F95" s="232" t="s">
        <v>122</v>
      </c>
      <c r="G95" s="29"/>
    </row>
    <row r="96" spans="1:10" hidden="1" x14ac:dyDescent="0.2">
      <c r="E96" s="29"/>
      <c r="G96" s="29"/>
    </row>
    <row r="97" spans="5:33" hidden="1" x14ac:dyDescent="0.2">
      <c r="E97" s="29"/>
      <c r="G97" s="29"/>
    </row>
    <row r="98" spans="5:33" hidden="1" x14ac:dyDescent="0.2">
      <c r="E98" s="29"/>
      <c r="G98" s="29"/>
    </row>
    <row r="99" spans="5:33" ht="15" hidden="1" x14ac:dyDescent="0.25">
      <c r="E99" s="29">
        <f>E5-F15</f>
        <v>0</v>
      </c>
      <c r="F99" s="31"/>
      <c r="G99" s="29"/>
      <c r="H99" s="29"/>
      <c r="I99" s="29"/>
      <c r="J99" s="32">
        <f>IF(AND(E9="oui",F11&lt;20),E7*18*F13,0)</f>
        <v>0</v>
      </c>
      <c r="K99" s="80">
        <f>IF(AND(E9="oui",F11&gt;=20,F11&lt;=29),E7*17*F13,0)</f>
        <v>0</v>
      </c>
      <c r="L99" s="80">
        <f>IF(AND(E9="oui",F11&gt;=30,F11&lt;=39),E7*16*F13,0)</f>
        <v>0</v>
      </c>
      <c r="M99" s="29">
        <f>IF(AND(E9="oui",F11&gt;=40,F11&lt;=49),E7*14*F13,0)</f>
        <v>0</v>
      </c>
      <c r="N99" s="81">
        <f>IF(AND(E9="oui",F11&gt;=50,F11&lt;=54),E7*13*F13,0)</f>
        <v>0</v>
      </c>
      <c r="O99" s="9">
        <f>IF(AND(E9="oui",F11&gt;=55,F11&lt;=59),E7*11*F13,0)</f>
        <v>0</v>
      </c>
      <c r="P99" s="33"/>
      <c r="R99" s="34"/>
      <c r="T99" s="33"/>
      <c r="V99" s="33"/>
      <c r="X99" s="33"/>
      <c r="Z99" s="33"/>
      <c r="AB99" s="33"/>
      <c r="AD99" s="33"/>
      <c r="AF99" s="33"/>
    </row>
    <row r="100" spans="5:33" hidden="1" x14ac:dyDescent="0.2">
      <c r="E100" s="29"/>
      <c r="F100" s="31"/>
      <c r="G100" s="29"/>
      <c r="H100" s="29"/>
      <c r="I100" s="29"/>
      <c r="J100" s="32">
        <f>IF(AND(E9="oui",F11&gt;=60,F11&lt;=64),E7*9.5*F13,0)</f>
        <v>0</v>
      </c>
      <c r="K100" s="9">
        <f>IF(AND(E9="oui",F11&gt;=65,F11&lt;=69),E7*8*F13,0)</f>
        <v>0</v>
      </c>
      <c r="L100" s="9">
        <f>IF(AND(E9="oui",F11&gt;=70,F11&lt;=74),E7*6*F13,0)</f>
        <v>0</v>
      </c>
      <c r="M100" s="9">
        <f>IF(AND(E9="oui",F11&gt;=75,F11&lt;=79),E7*4*F13,0)</f>
        <v>0</v>
      </c>
      <c r="N100" s="29">
        <f>IF(AND(E9="oui",F11&gt;=80),E7*2*F13,0)</f>
        <v>0</v>
      </c>
      <c r="O100" s="29"/>
      <c r="P100" s="29"/>
      <c r="R100" s="33"/>
      <c r="T100" s="33"/>
      <c r="V100" s="33"/>
      <c r="X100" s="33"/>
      <c r="Z100" s="33"/>
      <c r="AB100" s="33"/>
      <c r="AD100" s="33"/>
      <c r="AF100" s="33"/>
    </row>
    <row r="101" spans="5:33" hidden="1" x14ac:dyDescent="0.2">
      <c r="E101" s="29"/>
      <c r="F101" s="31"/>
      <c r="G101" s="29"/>
      <c r="H101" s="29"/>
      <c r="I101" s="29"/>
      <c r="J101" s="32"/>
      <c r="K101" s="29"/>
      <c r="L101" s="29"/>
      <c r="M101" s="29"/>
      <c r="N101" s="33"/>
      <c r="P101" s="33"/>
      <c r="R101" s="33"/>
      <c r="T101" s="33"/>
      <c r="V101" s="33"/>
      <c r="X101" s="33"/>
      <c r="Z101" s="33"/>
      <c r="AB101" s="33"/>
      <c r="AD101" s="33"/>
      <c r="AF101" s="33"/>
    </row>
    <row r="102" spans="5:33" ht="18" hidden="1" x14ac:dyDescent="0.25">
      <c r="E102" s="29"/>
      <c r="F102" s="31"/>
      <c r="G102" s="29"/>
      <c r="H102" s="29"/>
      <c r="I102" s="29"/>
      <c r="J102" s="235" t="s">
        <v>12</v>
      </c>
      <c r="K102" s="235"/>
      <c r="L102" s="35"/>
      <c r="M102" s="83" t="s">
        <v>62</v>
      </c>
      <c r="N102" s="234" t="s">
        <v>13</v>
      </c>
      <c r="O102" s="234"/>
      <c r="P102" s="234" t="s">
        <v>14</v>
      </c>
      <c r="Q102" s="234"/>
      <c r="R102" s="234" t="s">
        <v>15</v>
      </c>
      <c r="S102" s="234"/>
      <c r="T102" s="234" t="s">
        <v>16</v>
      </c>
      <c r="U102" s="234"/>
      <c r="V102" s="234" t="s">
        <v>17</v>
      </c>
      <c r="W102" s="234"/>
      <c r="X102" s="234" t="s">
        <v>18</v>
      </c>
      <c r="Y102" s="234"/>
      <c r="Z102" s="234" t="s">
        <v>19</v>
      </c>
      <c r="AA102" s="234"/>
      <c r="AB102" s="234" t="s">
        <v>20</v>
      </c>
      <c r="AC102" s="234"/>
      <c r="AD102" s="234" t="s">
        <v>21</v>
      </c>
      <c r="AE102" s="234"/>
      <c r="AF102" s="234" t="s">
        <v>22</v>
      </c>
      <c r="AG102" s="234"/>
    </row>
    <row r="103" spans="5:33" hidden="1" x14ac:dyDescent="0.2">
      <c r="E103" s="29">
        <v>0</v>
      </c>
      <c r="F103" s="31"/>
      <c r="G103" s="29"/>
      <c r="H103" s="29">
        <v>7500</v>
      </c>
      <c r="I103" s="29"/>
      <c r="J103" s="33">
        <v>2.8500000000000001E-3</v>
      </c>
      <c r="K103" s="29">
        <f t="shared" ref="K103:K109" si="0">IF((IF($H103-($E$99-$E103)&gt;$E103,($E$99-$E103)*J103,($H103-$E103)*J103))&lt;0,0,(IF($H103-($E$99-$E103)&gt;$E103,($E$99-$E103)*J103,($H103-$E103)*J103)))</f>
        <v>0</v>
      </c>
      <c r="L103" s="29"/>
      <c r="M103" s="83" t="s">
        <v>81</v>
      </c>
      <c r="N103" s="33">
        <v>3.9899999999999996E-3</v>
      </c>
      <c r="O103" s="29">
        <f t="shared" ref="O103:O109" si="1">IF((IF($H103-($E$99-$E103)&gt;$E103,($E$99-$E103)*N103,($H103-$E103)*N103))&lt;0,0,(IF($H103-($E$99-$E103)&gt;$E103,($E$99-$E103)*N103,($H103-$E103)*N103)))</f>
        <v>0</v>
      </c>
      <c r="P103" s="33">
        <v>5.7000000000000002E-3</v>
      </c>
      <c r="Q103" s="29">
        <f t="shared" ref="Q103:Q109" si="2">IF((IF($H103-($E$99-$E103)&gt;$E103,($E$99-$E103)*P103,($H103-$E103)*P103))&lt;0,0,(IF($H103-($E$99-$E103)&gt;$E103,($E$99-$E103)*P103,($H103-$E103)*P103)))</f>
        <v>0</v>
      </c>
      <c r="R103" s="33">
        <v>8.5500000000000003E-3</v>
      </c>
      <c r="S103" s="29">
        <f t="shared" ref="S103:S109" si="3">IF((IF($H103-($E$99-$E103)&gt;$E103,($E$99-$E103)*R103,($H103-$E103)*R103))&lt;0,0,(IF($H103-($E$99-$E103)&gt;$E103,($E$99-$E103)*R103,($H103-$E103)*R103)))</f>
        <v>0</v>
      </c>
      <c r="T103" s="33">
        <v>1.14E-2</v>
      </c>
      <c r="U103" s="29">
        <f t="shared" ref="U103:U109" si="4">IF((IF($H103-($E$99-$E103)&gt;$E103,($E$99-$E103)*T103,($H103-$E103)*T103))&lt;0,0,(IF($H103-($E$99-$E103)&gt;$E103,($E$99-$E103)*T103,($H103-$E103)*T103)))</f>
        <v>0</v>
      </c>
      <c r="V103" s="33">
        <v>1.4250000000000001E-2</v>
      </c>
      <c r="W103" s="29">
        <f t="shared" ref="W103:W109" si="5">IF((IF($H103-($E$99-$E103)&gt;$E103,($E$99-$E103)*V103,($H103-$E103)*V103))&lt;0,0,(IF($H103-($E$99-$E103)&gt;$E103,($E$99-$E103)*V103,($H103-$E103)*V103)))</f>
        <v>0</v>
      </c>
      <c r="X103" s="33">
        <v>1.7100000000000001E-2</v>
      </c>
      <c r="Y103" s="29">
        <f t="shared" ref="Y103:Y109" si="6">IF((IF($H103-($E$99-$E103)&gt;$E103,($E$99-$E103)*X103,($H103-$E103)*X103))&lt;0,0,(IF($H103-($E$99-$E103)&gt;$E103,($E$99-$E103)*X103,($H103-$E103)*X103)))</f>
        <v>0</v>
      </c>
      <c r="Z103" s="33">
        <v>2.8500000000000001E-2</v>
      </c>
      <c r="AA103" s="29">
        <f t="shared" ref="AA103:AA109" si="7">IF((IF($H103-($E$99-$E103)&gt;$E103,($E$99-$E103)*Z103,($H103-$E103)*Z103))&lt;0,0,(IF($H103-($E$99-$E103)&gt;$E103,($E$99-$E103)*Z103,($H103-$E103)*Z103)))</f>
        <v>0</v>
      </c>
      <c r="AB103" s="33">
        <v>3.4200000000000001E-2</v>
      </c>
      <c r="AC103" s="29">
        <f t="shared" ref="AC103:AC109" si="8">IF((IF($H103-($E$99-$E103)&gt;$E103,($E$99-$E103)*AB103,($H103-$E103)*AB103))&lt;0,0,(IF($H103-($E$99-$E103)&gt;$E103,($E$99-$E103)*AB103,($H103-$E103)*AB103)))</f>
        <v>0</v>
      </c>
      <c r="AD103" s="33">
        <v>4.5600000000000002E-2</v>
      </c>
      <c r="AE103" s="29">
        <f t="shared" ref="AE103:AE109" si="9">IF((IF($H103-($E$99-$E103)&gt;$E103,($E$99-$E103)*AD103,($H103-$E103)*AD103))&lt;0,0,(IF($H103-($E$99-$E103)&gt;$E103,($E$99-$E103)*AD103,($H103-$E103)*AD103)))</f>
        <v>0</v>
      </c>
      <c r="AF103" s="33">
        <v>5.7000000000000002E-2</v>
      </c>
      <c r="AG103" s="29">
        <f t="shared" ref="AG103:AG109" si="10">IF((IF($H103-($E$99-$E103)&gt;$E103,($E$99-$E103)*AF103,($H103-$E103)*AF103))&lt;0,0,(IF($H103-($E$99-$E103)&gt;$E103,($E$99-$E103)*AF103,($H103-$E103)*AF103)))</f>
        <v>0</v>
      </c>
    </row>
    <row r="104" spans="5:33" hidden="1" x14ac:dyDescent="0.2">
      <c r="E104" s="29">
        <v>7500</v>
      </c>
      <c r="F104" s="31"/>
      <c r="G104" s="29"/>
      <c r="H104" s="29">
        <v>17500</v>
      </c>
      <c r="I104" s="29"/>
      <c r="J104" s="33">
        <v>2.2799999999999999E-3</v>
      </c>
      <c r="K104" s="29">
        <f t="shared" si="0"/>
        <v>0</v>
      </c>
      <c r="L104" s="29"/>
      <c r="M104" s="29"/>
      <c r="N104" s="33">
        <v>3.4199999999999999E-3</v>
      </c>
      <c r="O104" s="29">
        <f t="shared" si="1"/>
        <v>0</v>
      </c>
      <c r="P104" s="33">
        <v>4.5599999999999998E-3</v>
      </c>
      <c r="Q104" s="29">
        <f t="shared" si="2"/>
        <v>0</v>
      </c>
      <c r="R104" s="33">
        <v>6.8399999999999997E-3</v>
      </c>
      <c r="S104" s="29">
        <f t="shared" si="3"/>
        <v>0</v>
      </c>
      <c r="T104" s="33">
        <v>8.5500000000000003E-3</v>
      </c>
      <c r="U104" s="29">
        <f t="shared" si="4"/>
        <v>0</v>
      </c>
      <c r="V104" s="33">
        <v>1.14E-2</v>
      </c>
      <c r="W104" s="29">
        <f t="shared" si="5"/>
        <v>0</v>
      </c>
      <c r="X104" s="33">
        <v>1.3679999999999999E-2</v>
      </c>
      <c r="Y104" s="29">
        <f t="shared" si="6"/>
        <v>0</v>
      </c>
      <c r="Z104" s="33">
        <v>1.7100000000000001E-2</v>
      </c>
      <c r="AA104" s="29">
        <f t="shared" si="7"/>
        <v>0</v>
      </c>
      <c r="AB104" s="33">
        <v>2.5649999999999999E-2</v>
      </c>
      <c r="AC104" s="29">
        <f t="shared" si="8"/>
        <v>0</v>
      </c>
      <c r="AD104" s="33">
        <v>2.8500000000000001E-2</v>
      </c>
      <c r="AE104" s="29">
        <f t="shared" si="9"/>
        <v>0</v>
      </c>
      <c r="AF104" s="33">
        <v>5.1299999999999998E-2</v>
      </c>
      <c r="AG104" s="29">
        <f t="shared" si="10"/>
        <v>0</v>
      </c>
    </row>
    <row r="105" spans="5:33" hidden="1" x14ac:dyDescent="0.2">
      <c r="E105" s="29">
        <v>17500</v>
      </c>
      <c r="F105" s="31"/>
      <c r="G105" s="29"/>
      <c r="H105" s="29">
        <v>30000</v>
      </c>
      <c r="I105" s="29"/>
      <c r="J105" s="33">
        <v>1.7099999999999999E-3</v>
      </c>
      <c r="K105" s="29">
        <f t="shared" si="0"/>
        <v>0</v>
      </c>
      <c r="L105" s="29"/>
      <c r="M105" s="29"/>
      <c r="N105" s="33">
        <v>2.2799999999999999E-3</v>
      </c>
      <c r="O105" s="29">
        <f t="shared" si="1"/>
        <v>0</v>
      </c>
      <c r="P105" s="33">
        <v>3.4199999999999999E-3</v>
      </c>
      <c r="Q105" s="29">
        <f t="shared" si="2"/>
        <v>0</v>
      </c>
      <c r="R105" s="33">
        <v>4.5599999999999998E-3</v>
      </c>
      <c r="S105" s="29">
        <f t="shared" si="3"/>
        <v>0</v>
      </c>
      <c r="T105" s="33">
        <v>5.7000000000000002E-3</v>
      </c>
      <c r="U105" s="29">
        <f t="shared" si="4"/>
        <v>0</v>
      </c>
      <c r="V105" s="33">
        <v>6.8399999999999997E-3</v>
      </c>
      <c r="W105" s="29">
        <f t="shared" si="5"/>
        <v>0</v>
      </c>
      <c r="X105" s="33">
        <v>9.1199999999999996E-3</v>
      </c>
      <c r="Y105" s="29">
        <f t="shared" si="6"/>
        <v>0</v>
      </c>
      <c r="Z105" s="33">
        <v>1.4250000000000001E-2</v>
      </c>
      <c r="AA105" s="29">
        <f t="shared" si="7"/>
        <v>0</v>
      </c>
      <c r="AB105" s="33">
        <v>1.7100000000000001E-2</v>
      </c>
      <c r="AC105" s="29">
        <f t="shared" si="8"/>
        <v>0</v>
      </c>
      <c r="AD105" s="33">
        <v>2.2800000000000001E-2</v>
      </c>
      <c r="AE105" s="29">
        <f t="shared" si="9"/>
        <v>0</v>
      </c>
      <c r="AF105" s="33">
        <v>4.5600000000000002E-2</v>
      </c>
      <c r="AG105" s="29">
        <f t="shared" si="10"/>
        <v>0</v>
      </c>
    </row>
    <row r="106" spans="5:33" hidden="1" x14ac:dyDescent="0.2">
      <c r="E106" s="29">
        <v>30000</v>
      </c>
      <c r="F106" s="31"/>
      <c r="G106" s="29"/>
      <c r="H106" s="29">
        <v>45495</v>
      </c>
      <c r="I106" s="29"/>
      <c r="J106" s="33">
        <v>1.14E-3</v>
      </c>
      <c r="K106" s="29">
        <f t="shared" si="0"/>
        <v>0</v>
      </c>
      <c r="L106" s="29"/>
      <c r="M106" s="203" t="s">
        <v>84</v>
      </c>
      <c r="N106" s="33">
        <v>1.7099999999999999E-3</v>
      </c>
      <c r="O106" s="29">
        <f t="shared" si="1"/>
        <v>0</v>
      </c>
      <c r="P106" s="33">
        <v>2.2799999999999999E-3</v>
      </c>
      <c r="Q106" s="29">
        <f t="shared" si="2"/>
        <v>0</v>
      </c>
      <c r="R106" s="33">
        <v>3.4199999999999999E-3</v>
      </c>
      <c r="S106" s="29">
        <f t="shared" si="3"/>
        <v>0</v>
      </c>
      <c r="T106" s="33">
        <v>4.5599999999999998E-3</v>
      </c>
      <c r="U106" s="29">
        <f t="shared" si="4"/>
        <v>0</v>
      </c>
      <c r="V106" s="33">
        <v>5.7000000000000002E-3</v>
      </c>
      <c r="W106" s="29">
        <f t="shared" si="5"/>
        <v>0</v>
      </c>
      <c r="X106" s="33">
        <v>6.8399999999999997E-3</v>
      </c>
      <c r="Y106" s="29">
        <f t="shared" si="6"/>
        <v>0</v>
      </c>
      <c r="Z106" s="33">
        <v>1.14E-2</v>
      </c>
      <c r="AA106" s="29">
        <f t="shared" si="7"/>
        <v>0</v>
      </c>
      <c r="AB106" s="33">
        <v>1.14E-2</v>
      </c>
      <c r="AC106" s="29">
        <f t="shared" si="8"/>
        <v>0</v>
      </c>
      <c r="AD106" s="33">
        <v>1.7100000000000001E-2</v>
      </c>
      <c r="AE106" s="29">
        <f t="shared" si="9"/>
        <v>0</v>
      </c>
      <c r="AF106" s="33">
        <v>3.9899999999999998E-2</v>
      </c>
      <c r="AG106" s="29">
        <f t="shared" si="10"/>
        <v>0</v>
      </c>
    </row>
    <row r="107" spans="5:33" hidden="1" x14ac:dyDescent="0.2">
      <c r="E107" s="29">
        <v>45495</v>
      </c>
      <c r="F107" s="31"/>
      <c r="G107" s="29"/>
      <c r="H107" s="29">
        <v>64095</v>
      </c>
      <c r="I107" s="29"/>
      <c r="J107" s="33">
        <v>5.6999999999999998E-4</v>
      </c>
      <c r="K107" s="29">
        <f t="shared" si="0"/>
        <v>0</v>
      </c>
      <c r="L107" s="29"/>
      <c r="M107" s="198" t="s">
        <v>85</v>
      </c>
      <c r="N107" s="33">
        <v>1.14E-3</v>
      </c>
      <c r="O107" s="29">
        <f t="shared" si="1"/>
        <v>0</v>
      </c>
      <c r="P107" s="33">
        <v>1.14E-3</v>
      </c>
      <c r="Q107" s="29">
        <f t="shared" si="2"/>
        <v>0</v>
      </c>
      <c r="R107" s="33">
        <v>2.2799999999999999E-3</v>
      </c>
      <c r="S107" s="29">
        <f t="shared" si="3"/>
        <v>0</v>
      </c>
      <c r="T107" s="33">
        <v>2.8500000000000001E-3</v>
      </c>
      <c r="U107" s="29">
        <f t="shared" si="4"/>
        <v>0</v>
      </c>
      <c r="V107" s="33">
        <v>4.5599999999999998E-3</v>
      </c>
      <c r="W107" s="29">
        <f t="shared" si="5"/>
        <v>0</v>
      </c>
      <c r="X107" s="33">
        <v>4.5599999999999998E-3</v>
      </c>
      <c r="Y107" s="29">
        <f t="shared" si="6"/>
        <v>0</v>
      </c>
      <c r="Z107" s="33">
        <v>8.5500000000000003E-3</v>
      </c>
      <c r="AA107" s="29">
        <f t="shared" si="7"/>
        <v>0</v>
      </c>
      <c r="AB107" s="33">
        <v>8.5500000000000003E-3</v>
      </c>
      <c r="AC107" s="29">
        <f t="shared" si="8"/>
        <v>0</v>
      </c>
      <c r="AD107" s="33">
        <v>1.14E-2</v>
      </c>
      <c r="AE107" s="29">
        <f t="shared" si="9"/>
        <v>0</v>
      </c>
      <c r="AF107" s="33">
        <v>2.8500000000000001E-2</v>
      </c>
      <c r="AG107" s="29">
        <f t="shared" si="10"/>
        <v>0</v>
      </c>
    </row>
    <row r="108" spans="5:33" hidden="1" x14ac:dyDescent="0.2">
      <c r="E108" s="29">
        <v>64095</v>
      </c>
      <c r="F108" s="31"/>
      <c r="G108" s="29"/>
      <c r="H108" s="29">
        <v>250095</v>
      </c>
      <c r="I108" s="29"/>
      <c r="J108" s="33">
        <v>2.2800000000000001E-4</v>
      </c>
      <c r="K108" s="29">
        <f t="shared" si="0"/>
        <v>0</v>
      </c>
      <c r="L108" s="29"/>
      <c r="M108" s="198" t="s">
        <v>86</v>
      </c>
      <c r="N108" s="33">
        <v>5.6999999999999998E-4</v>
      </c>
      <c r="O108" s="29">
        <f t="shared" si="1"/>
        <v>0</v>
      </c>
      <c r="P108" s="33">
        <v>5.6999999999999998E-4</v>
      </c>
      <c r="Q108" s="29">
        <f t="shared" si="2"/>
        <v>0</v>
      </c>
      <c r="R108" s="33">
        <v>1.14E-3</v>
      </c>
      <c r="S108" s="29">
        <f t="shared" si="3"/>
        <v>0</v>
      </c>
      <c r="T108" s="33">
        <v>1.14E-3</v>
      </c>
      <c r="U108" s="29">
        <f t="shared" si="4"/>
        <v>0</v>
      </c>
      <c r="V108" s="33">
        <v>2.2799999999999999E-3</v>
      </c>
      <c r="W108" s="29">
        <f t="shared" si="5"/>
        <v>0</v>
      </c>
      <c r="X108" s="33">
        <v>2.2799999999999999E-3</v>
      </c>
      <c r="Y108" s="29">
        <f t="shared" si="6"/>
        <v>0</v>
      </c>
      <c r="Z108" s="33">
        <v>5.7000000000000002E-3</v>
      </c>
      <c r="AA108" s="29">
        <f t="shared" si="7"/>
        <v>0</v>
      </c>
      <c r="AB108" s="33">
        <v>5.7000000000000002E-3</v>
      </c>
      <c r="AC108" s="29">
        <f t="shared" si="8"/>
        <v>0</v>
      </c>
      <c r="AD108" s="33">
        <v>5.7000000000000002E-3</v>
      </c>
      <c r="AE108" s="29">
        <f t="shared" si="9"/>
        <v>0</v>
      </c>
      <c r="AF108" s="33">
        <v>1.3679999999999999E-2</v>
      </c>
      <c r="AG108" s="29">
        <f t="shared" si="10"/>
        <v>0</v>
      </c>
    </row>
    <row r="109" spans="5:33" hidden="1" x14ac:dyDescent="0.2">
      <c r="E109" s="29">
        <v>250095</v>
      </c>
      <c r="F109" s="31"/>
      <c r="G109" s="29"/>
      <c r="H109" s="29">
        <v>999999999999</v>
      </c>
      <c r="I109" s="29"/>
      <c r="J109" s="33">
        <v>1.1400000000000001E-4</v>
      </c>
      <c r="K109" s="29">
        <f t="shared" si="0"/>
        <v>0</v>
      </c>
      <c r="L109" s="29"/>
      <c r="M109" s="198" t="s">
        <v>87</v>
      </c>
      <c r="N109" s="33">
        <v>2.2800000000000001E-4</v>
      </c>
      <c r="O109" s="29">
        <f t="shared" si="1"/>
        <v>0</v>
      </c>
      <c r="P109" s="33">
        <v>2.2800000000000001E-4</v>
      </c>
      <c r="Q109" s="29">
        <f t="shared" si="2"/>
        <v>0</v>
      </c>
      <c r="R109" s="33">
        <v>3.4200000000000002E-4</v>
      </c>
      <c r="S109" s="29">
        <f t="shared" si="3"/>
        <v>0</v>
      </c>
      <c r="T109" s="33">
        <v>3.4200000000000002E-4</v>
      </c>
      <c r="U109" s="29">
        <f t="shared" si="4"/>
        <v>0</v>
      </c>
      <c r="V109" s="33">
        <v>4.5600000000000003E-4</v>
      </c>
      <c r="W109" s="29">
        <f t="shared" si="5"/>
        <v>0</v>
      </c>
      <c r="X109" s="33">
        <v>4.5600000000000003E-4</v>
      </c>
      <c r="Y109" s="29">
        <f t="shared" si="6"/>
        <v>0</v>
      </c>
      <c r="Z109" s="33">
        <v>5.6999999999999998E-4</v>
      </c>
      <c r="AA109" s="29">
        <f t="shared" si="7"/>
        <v>0</v>
      </c>
      <c r="AB109" s="33">
        <v>5.6999999999999998E-4</v>
      </c>
      <c r="AC109" s="29">
        <f t="shared" si="8"/>
        <v>0</v>
      </c>
      <c r="AD109" s="33">
        <v>5.6999999999999998E-4</v>
      </c>
      <c r="AE109" s="29">
        <f t="shared" si="9"/>
        <v>0</v>
      </c>
      <c r="AF109" s="33">
        <v>1.14E-3</v>
      </c>
      <c r="AG109" s="29">
        <f t="shared" si="10"/>
        <v>0</v>
      </c>
    </row>
    <row r="110" spans="5:33" hidden="1" x14ac:dyDescent="0.2">
      <c r="E110" s="29"/>
      <c r="F110" s="31"/>
      <c r="G110" s="29"/>
      <c r="H110" s="29"/>
      <c r="I110" s="29"/>
      <c r="J110" s="33"/>
      <c r="K110" s="29"/>
      <c r="L110" s="29"/>
      <c r="M110" s="198" t="s">
        <v>88</v>
      </c>
      <c r="N110" s="33"/>
      <c r="O110" s="29"/>
      <c r="P110" s="33"/>
      <c r="Q110" s="29"/>
      <c r="R110" s="33"/>
      <c r="S110" s="29"/>
      <c r="T110" s="33"/>
      <c r="U110" s="29"/>
      <c r="V110" s="33"/>
      <c r="W110" s="29"/>
      <c r="X110" s="33"/>
      <c r="Y110" s="29"/>
      <c r="Z110" s="33"/>
      <c r="AA110" s="29"/>
      <c r="AB110" s="33"/>
      <c r="AC110" s="29"/>
      <c r="AD110" s="33"/>
      <c r="AE110" s="29"/>
      <c r="AF110" s="33"/>
      <c r="AG110" s="29"/>
    </row>
    <row r="111" spans="5:33" hidden="1" x14ac:dyDescent="0.2">
      <c r="E111" s="29"/>
      <c r="F111" s="31"/>
      <c r="G111" s="29"/>
      <c r="H111" s="29"/>
      <c r="I111" s="29"/>
      <c r="J111" s="33"/>
      <c r="K111" s="29"/>
      <c r="L111" s="29"/>
      <c r="N111" s="33"/>
      <c r="O111" s="29"/>
      <c r="P111" s="33"/>
      <c r="Q111" s="29"/>
      <c r="R111" s="33"/>
      <c r="S111" s="29"/>
      <c r="T111" s="33"/>
      <c r="U111" s="29"/>
      <c r="V111" s="33"/>
      <c r="W111" s="29"/>
      <c r="X111" s="33"/>
      <c r="Y111" s="29"/>
      <c r="Z111" s="33"/>
      <c r="AA111" s="29"/>
      <c r="AB111" s="33"/>
      <c r="AC111" s="29"/>
      <c r="AD111" s="33"/>
      <c r="AE111" s="29"/>
      <c r="AF111" s="33"/>
      <c r="AG111" s="29"/>
    </row>
    <row r="112" spans="5:33" hidden="1" x14ac:dyDescent="0.2">
      <c r="E112" s="29"/>
      <c r="F112" s="31"/>
      <c r="G112" s="29"/>
      <c r="H112" s="29"/>
      <c r="I112" s="29"/>
      <c r="J112" s="32"/>
      <c r="K112" s="29">
        <f>SUM(K103:K109)</f>
        <v>0</v>
      </c>
      <c r="L112" s="29"/>
      <c r="M112" s="198" t="s">
        <v>89</v>
      </c>
      <c r="N112" s="32"/>
      <c r="O112" s="29">
        <f>SUM(O103:O109)</f>
        <v>0</v>
      </c>
      <c r="P112" s="32"/>
      <c r="Q112" s="29">
        <f>SUM(Q103:Q109)</f>
        <v>0</v>
      </c>
      <c r="R112" s="32"/>
      <c r="S112" s="29">
        <f>SUM(S103:S109)</f>
        <v>0</v>
      </c>
      <c r="T112" s="32"/>
      <c r="U112" s="29">
        <f>SUM(U103:U109)</f>
        <v>0</v>
      </c>
      <c r="V112" s="32"/>
      <c r="W112" s="29">
        <f>SUM(W103:W109)</f>
        <v>0</v>
      </c>
      <c r="X112" s="32"/>
      <c r="Y112" s="29">
        <f>SUM(Y103:Y109)</f>
        <v>0</v>
      </c>
      <c r="Z112" s="32"/>
      <c r="AA112" s="29">
        <f>SUM(AA103:AA109)</f>
        <v>0</v>
      </c>
      <c r="AB112" s="32"/>
      <c r="AC112" s="29">
        <f>SUM(AC103:AC109)</f>
        <v>0</v>
      </c>
      <c r="AD112" s="32"/>
      <c r="AE112" s="29">
        <f>SUM(AE103:AE109)</f>
        <v>0</v>
      </c>
      <c r="AF112" s="32"/>
      <c r="AG112" s="29">
        <f>SUM(AG103:AG109)</f>
        <v>0</v>
      </c>
    </row>
    <row r="113" spans="1:50" hidden="1" x14ac:dyDescent="0.2">
      <c r="E113" s="29"/>
      <c r="F113" s="31"/>
      <c r="G113" s="29"/>
      <c r="H113" s="29"/>
      <c r="I113" s="29"/>
      <c r="J113" s="33"/>
      <c r="K113" s="29"/>
      <c r="L113" s="29"/>
      <c r="M113" s="198" t="s">
        <v>90</v>
      </c>
      <c r="N113" s="33"/>
      <c r="O113" s="29"/>
      <c r="P113" s="33"/>
      <c r="Q113" s="29"/>
      <c r="R113" s="33"/>
      <c r="S113" s="29"/>
      <c r="T113" s="33"/>
      <c r="U113" s="29"/>
      <c r="V113" s="33"/>
      <c r="W113" s="29"/>
      <c r="X113" s="33"/>
      <c r="Y113" s="29"/>
      <c r="Z113" s="33"/>
      <c r="AA113" s="29"/>
      <c r="AB113" s="33"/>
      <c r="AC113" s="29"/>
      <c r="AD113" s="33"/>
      <c r="AE113" s="29"/>
      <c r="AF113" s="33"/>
      <c r="AG113" s="29"/>
    </row>
    <row r="114" spans="1:50" ht="18" hidden="1" x14ac:dyDescent="0.25">
      <c r="E114" s="29"/>
      <c r="F114" s="31"/>
      <c r="G114" s="29"/>
      <c r="H114" s="29"/>
      <c r="I114" s="29"/>
      <c r="J114" s="234" t="s">
        <v>23</v>
      </c>
      <c r="K114" s="234"/>
      <c r="L114" s="36"/>
      <c r="M114" s="36"/>
      <c r="N114" s="234" t="s">
        <v>24</v>
      </c>
      <c r="O114" s="234"/>
      <c r="P114" s="33"/>
      <c r="Q114" s="29"/>
      <c r="R114" s="33"/>
      <c r="S114" s="29"/>
      <c r="T114" s="33"/>
      <c r="U114" s="29"/>
      <c r="V114" s="33"/>
      <c r="W114" s="29"/>
      <c r="X114" s="33"/>
      <c r="Y114" s="29"/>
      <c r="Z114" s="33"/>
      <c r="AA114" s="29"/>
      <c r="AB114" s="33"/>
      <c r="AC114" s="29"/>
      <c r="AD114" s="33"/>
      <c r="AE114" s="29"/>
      <c r="AF114" s="33"/>
      <c r="AG114" s="29"/>
    </row>
    <row r="115" spans="1:50" hidden="1" x14ac:dyDescent="0.2">
      <c r="E115" s="29">
        <v>0</v>
      </c>
      <c r="F115" s="31"/>
      <c r="G115" s="29"/>
      <c r="H115" s="29">
        <v>37000</v>
      </c>
      <c r="I115" s="29"/>
      <c r="J115" s="33">
        <v>5.7000000000000002E-3</v>
      </c>
      <c r="K115" s="29">
        <f t="shared" ref="K115:K121" si="11">IF((IF($H115-($E$99-$E115)&gt;$E115,($E$99-$E115)*J115,($H115-$E115)*J115))&lt;0,0,(IF($H115-($E$99-$E115)&gt;$E115,($E$99-$E115)*J115,($H115-$E115)*J115)))</f>
        <v>0</v>
      </c>
      <c r="L115" s="29"/>
      <c r="M115" s="83" t="s">
        <v>82</v>
      </c>
      <c r="N115" s="33">
        <v>8.5500000000000003E-3</v>
      </c>
      <c r="O115" s="29">
        <f t="shared" ref="O115:O121" si="12">IF((IF($H115-($E$99-$E115)&gt;$E115,($E$99-$E115)*N115,($H115-$E115)*N115))&lt;0,0,(IF($H115-($E$99-$E115)&gt;$E115,($E$99-$E115)*N115,($H115-$E115)*N115)))</f>
        <v>0</v>
      </c>
      <c r="P115" s="33"/>
      <c r="Q115" s="29"/>
      <c r="R115" s="33"/>
      <c r="S115" s="29"/>
      <c r="T115" s="33"/>
      <c r="U115" s="29"/>
      <c r="V115" s="33"/>
      <c r="W115" s="29"/>
      <c r="X115" s="33"/>
      <c r="Y115" s="29"/>
      <c r="Z115" s="33"/>
      <c r="AA115" s="29"/>
      <c r="AB115" s="33"/>
      <c r="AC115" s="29"/>
      <c r="AD115" s="33"/>
      <c r="AE115" s="29"/>
      <c r="AF115" s="33"/>
      <c r="AG115" s="29"/>
    </row>
    <row r="116" spans="1:50" hidden="1" x14ac:dyDescent="0.2">
      <c r="E116" s="29">
        <v>37000</v>
      </c>
      <c r="F116" s="31"/>
      <c r="G116" s="29"/>
      <c r="H116" s="29">
        <v>99000</v>
      </c>
      <c r="I116" s="29"/>
      <c r="J116" s="33">
        <v>3.9899999999999996E-3</v>
      </c>
      <c r="K116" s="29">
        <f t="shared" si="11"/>
        <v>0</v>
      </c>
      <c r="L116" s="29"/>
      <c r="M116" s="83" t="s">
        <v>83</v>
      </c>
      <c r="N116" s="33">
        <v>5.7000000000000002E-3</v>
      </c>
      <c r="O116" s="29">
        <f t="shared" si="12"/>
        <v>0</v>
      </c>
      <c r="P116" s="33"/>
      <c r="Q116" s="29"/>
      <c r="R116" s="33"/>
      <c r="S116" s="29"/>
      <c r="T116" s="33"/>
      <c r="U116" s="29"/>
      <c r="V116" s="33"/>
      <c r="W116" s="29"/>
      <c r="X116" s="33"/>
      <c r="Y116" s="29"/>
      <c r="Z116" s="33"/>
      <c r="AA116" s="29"/>
      <c r="AB116" s="33"/>
      <c r="AC116" s="29"/>
      <c r="AD116" s="33"/>
      <c r="AE116" s="29"/>
      <c r="AF116" s="33"/>
      <c r="AG116" s="29"/>
    </row>
    <row r="117" spans="1:50" hidden="1" x14ac:dyDescent="0.2">
      <c r="E117" s="29">
        <v>99000</v>
      </c>
      <c r="F117" s="31"/>
      <c r="G117" s="29"/>
      <c r="H117" s="29">
        <v>224000</v>
      </c>
      <c r="I117" s="29"/>
      <c r="J117" s="33">
        <v>2.8500000000000001E-3</v>
      </c>
      <c r="K117" s="29">
        <f t="shared" si="11"/>
        <v>0</v>
      </c>
      <c r="L117" s="29"/>
      <c r="M117" s="83" t="s">
        <v>71</v>
      </c>
      <c r="N117" s="33">
        <v>3.9899999999999996E-3</v>
      </c>
      <c r="O117" s="29">
        <f t="shared" si="12"/>
        <v>0</v>
      </c>
      <c r="P117" s="33"/>
      <c r="Q117" s="29"/>
      <c r="R117" s="33"/>
      <c r="S117" s="29"/>
      <c r="T117" s="33"/>
      <c r="U117" s="29"/>
      <c r="V117" s="33"/>
      <c r="W117" s="29"/>
      <c r="X117" s="33"/>
      <c r="Y117" s="29"/>
      <c r="Z117" s="33"/>
      <c r="AA117" s="29"/>
      <c r="AB117" s="33"/>
      <c r="AC117" s="29"/>
      <c r="AD117" s="33"/>
      <c r="AE117" s="29"/>
      <c r="AF117" s="33"/>
      <c r="AG117" s="29"/>
    </row>
    <row r="118" spans="1:50" hidden="1" x14ac:dyDescent="0.2">
      <c r="E118" s="29">
        <v>224000</v>
      </c>
      <c r="F118" s="31"/>
      <c r="G118" s="29"/>
      <c r="H118" s="29">
        <v>534000</v>
      </c>
      <c r="I118" s="29"/>
      <c r="J118" s="33">
        <v>1.7099999999999999E-3</v>
      </c>
      <c r="K118" s="29">
        <f t="shared" si="11"/>
        <v>0</v>
      </c>
      <c r="L118" s="29"/>
      <c r="M118" s="83" t="s">
        <v>74</v>
      </c>
      <c r="N118" s="33">
        <v>2.2799999999999999E-3</v>
      </c>
      <c r="O118" s="29">
        <f t="shared" si="12"/>
        <v>0</v>
      </c>
      <c r="P118" s="33"/>
      <c r="Q118" s="29"/>
      <c r="R118" s="33"/>
      <c r="S118" s="29"/>
      <c r="T118" s="33"/>
      <c r="U118" s="29"/>
      <c r="V118" s="33"/>
      <c r="W118" s="29"/>
      <c r="X118" s="33"/>
      <c r="Y118" s="29"/>
      <c r="Z118" s="33"/>
      <c r="AA118" s="29"/>
      <c r="AB118" s="33"/>
      <c r="AC118" s="29"/>
      <c r="AD118" s="33"/>
      <c r="AE118" s="29"/>
      <c r="AF118" s="33"/>
      <c r="AG118" s="29"/>
    </row>
    <row r="119" spans="1:50" hidden="1" x14ac:dyDescent="0.2">
      <c r="E119" s="29">
        <v>534000</v>
      </c>
      <c r="F119" s="31"/>
      <c r="G119" s="29"/>
      <c r="H119" s="29">
        <v>1784000</v>
      </c>
      <c r="I119" s="29"/>
      <c r="J119" s="33">
        <v>5.6999999999999998E-4</v>
      </c>
      <c r="K119" s="29">
        <f t="shared" si="11"/>
        <v>0</v>
      </c>
      <c r="L119" s="29"/>
      <c r="M119" s="29"/>
      <c r="N119" s="33">
        <v>1.14E-3</v>
      </c>
      <c r="O119" s="29">
        <f t="shared" si="12"/>
        <v>0</v>
      </c>
      <c r="P119" s="33"/>
      <c r="Q119" s="29"/>
      <c r="R119" s="33"/>
      <c r="S119" s="29"/>
      <c r="T119" s="33"/>
      <c r="U119" s="29"/>
      <c r="V119" s="33"/>
      <c r="W119" s="29"/>
      <c r="X119" s="33"/>
      <c r="Y119" s="29"/>
      <c r="Z119" s="33"/>
      <c r="AA119" s="29"/>
      <c r="AB119" s="33"/>
      <c r="AC119" s="29"/>
      <c r="AD119" s="33"/>
      <c r="AE119" s="29"/>
      <c r="AF119" s="33"/>
      <c r="AG119" s="29"/>
    </row>
    <row r="120" spans="1:50" hidden="1" x14ac:dyDescent="0.2">
      <c r="E120" s="29">
        <v>1784000</v>
      </c>
      <c r="F120" s="31"/>
      <c r="G120" s="29"/>
      <c r="H120" s="29">
        <v>3333500</v>
      </c>
      <c r="I120" s="29"/>
      <c r="J120" s="33">
        <v>2.2800000000000001E-4</v>
      </c>
      <c r="K120" s="29">
        <f t="shared" si="11"/>
        <v>0</v>
      </c>
      <c r="L120" s="29"/>
      <c r="M120" s="29"/>
      <c r="N120" s="33">
        <v>4.5600000000000003E-4</v>
      </c>
      <c r="O120" s="29">
        <f t="shared" si="12"/>
        <v>0</v>
      </c>
      <c r="P120" s="33"/>
      <c r="Q120" s="29"/>
      <c r="R120" s="33"/>
      <c r="S120" s="29"/>
      <c r="T120" s="33"/>
      <c r="U120" s="29"/>
      <c r="V120" s="33"/>
      <c r="W120" s="29"/>
      <c r="X120" s="33"/>
      <c r="Y120" s="29"/>
      <c r="Z120" s="33"/>
      <c r="AA120" s="29"/>
      <c r="AB120" s="33"/>
      <c r="AC120" s="29"/>
      <c r="AD120" s="33"/>
      <c r="AE120" s="29"/>
      <c r="AF120" s="33"/>
      <c r="AG120" s="29"/>
    </row>
    <row r="121" spans="1:50" hidden="1" x14ac:dyDescent="0.2">
      <c r="E121" s="29">
        <v>3333500</v>
      </c>
      <c r="F121" s="31"/>
      <c r="G121" s="29"/>
      <c r="H121" s="29">
        <v>999999999999</v>
      </c>
      <c r="I121" s="29"/>
      <c r="J121" s="33">
        <v>1.1400000000000001E-4</v>
      </c>
      <c r="K121" s="29">
        <f t="shared" si="11"/>
        <v>0</v>
      </c>
      <c r="L121" s="29"/>
      <c r="M121" s="29"/>
      <c r="N121" s="33">
        <v>2.2800000000000001E-4</v>
      </c>
      <c r="O121" s="29">
        <f t="shared" si="12"/>
        <v>0</v>
      </c>
      <c r="P121" s="33"/>
      <c r="Q121" s="29"/>
      <c r="R121" s="33"/>
      <c r="S121" s="29"/>
      <c r="T121" s="33"/>
      <c r="U121" s="29"/>
      <c r="V121" s="33"/>
      <c r="W121" s="29"/>
      <c r="X121" s="33"/>
      <c r="Y121" s="29"/>
      <c r="Z121" s="33"/>
      <c r="AA121" s="29"/>
      <c r="AB121" s="33"/>
      <c r="AC121" s="29"/>
      <c r="AD121" s="33"/>
      <c r="AE121" s="29"/>
      <c r="AF121" s="33"/>
      <c r="AG121" s="29"/>
    </row>
    <row r="122" spans="1:50" hidden="1" x14ac:dyDescent="0.2">
      <c r="E122" s="29"/>
      <c r="F122" s="31"/>
      <c r="G122" s="29"/>
      <c r="H122" s="29"/>
      <c r="I122" s="29"/>
      <c r="J122" s="32"/>
      <c r="K122" s="29">
        <f>SUM(K115:K121)</f>
        <v>0</v>
      </c>
      <c r="L122" s="29"/>
      <c r="M122" s="29"/>
      <c r="N122" s="32"/>
      <c r="O122" s="29">
        <f>SUM(O115:O121)</f>
        <v>0</v>
      </c>
      <c r="P122" s="32"/>
      <c r="Q122" s="29"/>
      <c r="R122" s="32"/>
      <c r="S122" s="29"/>
      <c r="T122" s="32"/>
      <c r="U122" s="29"/>
      <c r="V122" s="32"/>
      <c r="W122" s="29"/>
      <c r="X122" s="32"/>
      <c r="Y122" s="29"/>
      <c r="Z122" s="32"/>
      <c r="AA122" s="29"/>
      <c r="AB122" s="32"/>
      <c r="AC122" s="29"/>
      <c r="AD122" s="32"/>
      <c r="AE122" s="29"/>
      <c r="AF122" s="32"/>
      <c r="AG122" s="29"/>
    </row>
    <row r="123" spans="1:50" hidden="1" x14ac:dyDescent="0.2">
      <c r="E123" s="29"/>
      <c r="G123" s="29"/>
    </row>
    <row r="124" spans="1:50" hidden="1" x14ac:dyDescent="0.2">
      <c r="E124" s="29"/>
      <c r="G124" s="29"/>
    </row>
    <row r="125" spans="1:50" hidden="1" x14ac:dyDescent="0.2">
      <c r="E125" s="29"/>
      <c r="G125" s="29"/>
    </row>
    <row r="126" spans="1:50" hidden="1" x14ac:dyDescent="0.2">
      <c r="A126" s="37" t="s">
        <v>29</v>
      </c>
      <c r="B126" s="37"/>
      <c r="C126" s="37"/>
      <c r="D126" s="37"/>
      <c r="F126" s="22"/>
      <c r="AA126" s="37" t="s">
        <v>29</v>
      </c>
      <c r="AB126" s="37"/>
      <c r="AC126" s="37"/>
      <c r="AD126" s="37"/>
      <c r="AF126" s="22"/>
    </row>
    <row r="127" spans="1:50" hidden="1" x14ac:dyDescent="0.2">
      <c r="A127" s="37"/>
      <c r="B127" s="37"/>
      <c r="C127" s="37"/>
      <c r="D127" s="37"/>
      <c r="F127" s="22"/>
      <c r="AA127" s="37"/>
      <c r="AB127" s="37"/>
      <c r="AC127" s="37"/>
      <c r="AD127" s="37"/>
      <c r="AF127" s="22"/>
    </row>
    <row r="128" spans="1:50" hidden="1" x14ac:dyDescent="0.2">
      <c r="A128" s="38">
        <f>IF(AND(E20="US",B21&lt;20),E7*18*B20/D20,0)</f>
        <v>0</v>
      </c>
      <c r="B128" s="38"/>
      <c r="C128" s="38"/>
      <c r="D128" s="38"/>
      <c r="E128" s="9">
        <f>IF(AND(E25="US",B26&lt;20),E7*18*B25/D25,0)</f>
        <v>0</v>
      </c>
      <c r="F128" s="22">
        <f>IF(AND(E30="US",B31&lt;20),E7*18*B30/D30,0)</f>
        <v>0</v>
      </c>
      <c r="G128" s="9">
        <f>IF(AND(E35="US",B36&lt;20),E7*18*B35/D35,0)</f>
        <v>0</v>
      </c>
      <c r="H128" s="9">
        <f>IF(AND(E40="US",B41&lt;20),E7*18*B40/D40,0)</f>
        <v>0</v>
      </c>
      <c r="I128" s="9">
        <f>IF(AND(E45="US",B46&lt;20),E7*18*B45/D45,0)</f>
        <v>0</v>
      </c>
      <c r="J128" s="9">
        <f>IF(AND(E50="US",B51&lt;20),E7*18*B50/D50,0)</f>
        <v>0</v>
      </c>
      <c r="K128" s="9">
        <f>IF(AND(E55="US",B56&lt;20),E7*18*B55/D55,0)</f>
        <v>0</v>
      </c>
      <c r="N128" s="9">
        <f>IF(AND(E60="US",B61&lt;20),E7*18*B60/D60,0)</f>
        <v>0</v>
      </c>
      <c r="P128" s="38">
        <f>IF(E7*18&gt;E5*80%,E5*80%*B20/D20,A128)</f>
        <v>0</v>
      </c>
      <c r="Q128" s="9">
        <f>IF(E7*18&gt;E5*80%,E5*80%*B25/D25,E128)</f>
        <v>0</v>
      </c>
      <c r="R128" s="22">
        <f>IF(E7*18&gt;E5*80%,E5*80%*B30/D30,F128)</f>
        <v>0</v>
      </c>
      <c r="S128" s="9">
        <f>IF(E7*18&gt;E5*80%,E5*80%*B35/D35,G128)</f>
        <v>0</v>
      </c>
      <c r="T128" s="9">
        <f>IF(E7*18&gt;E5*80%,E5*80%*B40/D40,H128)</f>
        <v>0</v>
      </c>
      <c r="U128" s="9">
        <f>IF(E7*18&gt;E5*80%,E5*80%*B45/D45,I128)</f>
        <v>0</v>
      </c>
      <c r="V128" s="9">
        <f>IF(E7*18&gt;E5*80%,E5*80%*B50/D50,J128)</f>
        <v>0</v>
      </c>
      <c r="W128" s="9">
        <f>IF(E7*18&gt;E5*80%,E5*80%*B55/D55,K128)</f>
        <v>0</v>
      </c>
      <c r="X128" s="9">
        <f>IF(E7*18&gt;E5*80%,E5*80%*B60/D60,N128)</f>
        <v>0</v>
      </c>
      <c r="AA128" s="182">
        <f>IF(AND(E22="US",B23&lt;20),E7*18*B22/D22,0)</f>
        <v>0</v>
      </c>
      <c r="AB128" s="182"/>
      <c r="AC128" s="182"/>
      <c r="AD128" s="182"/>
      <c r="AE128" s="78">
        <f>IF(AND(E27="US",B28&lt;20),E7*18*B27/D27,0)</f>
        <v>0</v>
      </c>
      <c r="AF128" s="183">
        <f>IF(AND(E32="US",B33&lt;20),E7*18*B32/D32,0)</f>
        <v>0</v>
      </c>
      <c r="AG128" s="78">
        <f>IF(AND(E37="US",B38&lt;20),E7*18*B37/D37,0)</f>
        <v>0</v>
      </c>
      <c r="AH128" s="78">
        <f>IF(AND(E42="US",B43&lt;20),E7*18*B42/D42,0)</f>
        <v>0</v>
      </c>
      <c r="AI128" s="78">
        <f>IF(AND(E47="US",B48&lt;20),E7*18*B47/D47,0)</f>
        <v>0</v>
      </c>
      <c r="AJ128" s="78">
        <f>IF(AND(E52="US",B53&lt;20),E7*18*B52/D52,0)</f>
        <v>0</v>
      </c>
      <c r="AK128" s="78">
        <f>IF(AND(E57="US",B58&lt;20),E7*18*B57/D57,0)</f>
        <v>0</v>
      </c>
      <c r="AL128" s="78"/>
      <c r="AM128" s="78"/>
      <c r="AN128" s="78">
        <f>IF(AND(E62="US",B63&lt;20),E7*18*B62/D62,0)</f>
        <v>0</v>
      </c>
      <c r="AP128" s="187">
        <f>IF(E7*18&gt;E5*80%,E5*80%*B22/D22,AA128)</f>
        <v>0</v>
      </c>
      <c r="AQ128" s="188">
        <f>IF(E7*18&gt;E5*80%,E5*80%*B27/D27,AE128)</f>
        <v>0</v>
      </c>
      <c r="AR128" s="189">
        <f>IF(E7*18&gt;E5*80%,E5*80%*B32/D32,AF128)</f>
        <v>0</v>
      </c>
      <c r="AS128" s="188">
        <f>IF(E7*18&gt;E5*80%,E5*80%*B37/D37,AG128)</f>
        <v>0</v>
      </c>
      <c r="AT128" s="188">
        <f>IF(E7*18&gt;E5*80%,E5*80%*B42/D42,AH128)</f>
        <v>0</v>
      </c>
      <c r="AU128" s="188">
        <f>IF(E7*18&gt;E5*80%,E5*80%*B47/D47,AI128)</f>
        <v>0</v>
      </c>
      <c r="AV128" s="188">
        <f>IF(E7*18&gt;E5*80%,E5*80%*B52/D52,AJ128)</f>
        <v>0</v>
      </c>
      <c r="AW128" s="188">
        <f>IF(E7*18&gt;E5*80%,E5*80%*B57/D57,AK128)</f>
        <v>0</v>
      </c>
      <c r="AX128" s="188">
        <f>IF(E7*18&gt;E5*80%,E5*80%*B62/D62,AN128)</f>
        <v>0</v>
      </c>
    </row>
    <row r="129" spans="1:50" hidden="1" x14ac:dyDescent="0.2">
      <c r="A129" s="38"/>
      <c r="B129" s="38"/>
      <c r="C129" s="38"/>
      <c r="D129" s="38"/>
      <c r="F129" s="22"/>
      <c r="P129" s="38"/>
      <c r="R129" s="22"/>
      <c r="AA129" s="182"/>
      <c r="AB129" s="182"/>
      <c r="AC129" s="182"/>
      <c r="AD129" s="182"/>
      <c r="AE129" s="78"/>
      <c r="AF129" s="183"/>
      <c r="AG129" s="78"/>
      <c r="AH129" s="78"/>
      <c r="AI129" s="78"/>
      <c r="AJ129" s="78"/>
      <c r="AK129" s="78"/>
      <c r="AL129" s="78"/>
      <c r="AM129" s="78"/>
      <c r="AN129" s="78"/>
      <c r="AP129" s="187"/>
      <c r="AQ129" s="188"/>
      <c r="AR129" s="189"/>
      <c r="AS129" s="188"/>
      <c r="AT129" s="188"/>
      <c r="AU129" s="188"/>
      <c r="AV129" s="188"/>
      <c r="AW129" s="188"/>
      <c r="AX129" s="188"/>
    </row>
    <row r="130" spans="1:50" hidden="1" x14ac:dyDescent="0.2">
      <c r="A130" s="38">
        <f>IF(AND(E20="US",B21&gt;=20,B21&lt;=29),E7*17*B20/D20,0)</f>
        <v>0</v>
      </c>
      <c r="B130" s="38"/>
      <c r="C130" s="38"/>
      <c r="D130" s="38"/>
      <c r="E130" s="9">
        <f>IF(AND(E25="US",B26&gt;=20,B26&lt;=29),E7*17*B25/D25,0)</f>
        <v>0</v>
      </c>
      <c r="F130" s="22">
        <f>IF(AND(E30="US",B31&gt;=20,B31&lt;=29),E7*17*B30/D30,0)</f>
        <v>0</v>
      </c>
      <c r="G130" s="9">
        <f>IF(AND(E35="US",B36&gt;=20,B36&lt;=29),E7*17*B35/D35,0)</f>
        <v>0</v>
      </c>
      <c r="H130" s="9">
        <f>IF(AND(E40="US",B41&gt;=20,B41&lt;=29),E7*17*B40/D40,0)</f>
        <v>0</v>
      </c>
      <c r="I130" s="9">
        <f>IF(AND(E45="US",B46&gt;=20,B46&lt;=29),E7*17*B45/D45,0)</f>
        <v>0</v>
      </c>
      <c r="J130" s="9">
        <f>IF(AND(E50="US",B51&gt;=20,B51&lt;=29),E7*17*B50/D50,0)</f>
        <v>0</v>
      </c>
      <c r="K130" s="9">
        <f>IF(AND(E55="US",B56&gt;=20,B56&lt;=29),E7*17*B55/D55,0)</f>
        <v>0</v>
      </c>
      <c r="N130" s="9">
        <f>IF(AND(E60="US",B61&gt;=20,B61&lt;=29),E7*17*B60/D60,0)</f>
        <v>0</v>
      </c>
      <c r="P130" s="38">
        <f>IF(E7*17&gt;E5*80%,E5*80%*B20/D20,A130)</f>
        <v>0</v>
      </c>
      <c r="Q130" s="9">
        <f>IF(E7*17&gt;E5*80%,E5*80%*B25/D25,E130)</f>
        <v>0</v>
      </c>
      <c r="R130" s="22">
        <f>IF(E7*17&gt;E5*80%,E5*80%*B30/D30,F130)</f>
        <v>0</v>
      </c>
      <c r="S130" s="9">
        <f>IF(E7*17&gt;E5*80%,E5*80%*B35/D35,G130)</f>
        <v>0</v>
      </c>
      <c r="T130" s="9">
        <f>IF(E7*17&gt;E5*80%,E5*80%*B40/D40,H130)</f>
        <v>0</v>
      </c>
      <c r="U130" s="9">
        <f>IF(E7*17&gt;E5*80%,E5*80%*B45/D45,I130)</f>
        <v>0</v>
      </c>
      <c r="V130" s="9">
        <f>IF(E7*17&gt;E5*80%,E5*80%*B50/D50,J130)</f>
        <v>0</v>
      </c>
      <c r="W130" s="9">
        <f>IF(E7*17&gt;E5*80%,E5*80%*B55/D55,K130)</f>
        <v>0</v>
      </c>
      <c r="X130" s="9">
        <f>IF(E7*18&gt;E5*80%,E5*80%*B60/D60,N130)</f>
        <v>0</v>
      </c>
      <c r="AA130" s="182">
        <f>IF(AND(E22="US",B23&gt;=20,B23&lt;=29),E7*17*B22/D22,0)</f>
        <v>0</v>
      </c>
      <c r="AB130" s="182"/>
      <c r="AC130" s="182"/>
      <c r="AD130" s="182"/>
      <c r="AE130" s="78">
        <f>IF(AND(E27="US",B28&gt;=20,B28&lt;=29),E7*17*B27/D27,0)</f>
        <v>0</v>
      </c>
      <c r="AF130" s="183">
        <f>IF(AND(E32="US",B33&gt;=20,B33&lt;=29),E7*17*B32/D32,0)</f>
        <v>0</v>
      </c>
      <c r="AG130" s="78">
        <f>IF(AND(E37="US",B38&gt;=20,B38&lt;=29),E7*17*B37/D37,0)</f>
        <v>0</v>
      </c>
      <c r="AH130" s="78">
        <f>IF(AND(E42="US",B43&gt;=20,B43&lt;=29),E7*17*B42/D42,0)</f>
        <v>0</v>
      </c>
      <c r="AI130" s="78">
        <f>IF(AND(E47="US",B48&gt;=20,B48&lt;=29),E7*17*B47/D47,0)</f>
        <v>0</v>
      </c>
      <c r="AJ130" s="78">
        <f>IF(AND(E52="US",B53&gt;=20,B53&lt;=29),E7*17*B52/D52,0)</f>
        <v>0</v>
      </c>
      <c r="AK130" s="78">
        <f>IF(AND(E57="US",B58&gt;=20,B58&lt;=29),E7*17*B57/D57,0)</f>
        <v>0</v>
      </c>
      <c r="AL130" s="78"/>
      <c r="AM130" s="78"/>
      <c r="AN130" s="78">
        <f>IF(AND(E62="US",B63&gt;=20,B63&lt;=29),E7*17*B62/D62,0)</f>
        <v>0</v>
      </c>
      <c r="AP130" s="187">
        <f>IF(E7*17&gt;E5*80%,E5*80%*B22/D22,AA130)</f>
        <v>0</v>
      </c>
      <c r="AQ130" s="188">
        <f>IF(E7*17&gt;E5*80%,E5*80%*B27/D27,AE130)</f>
        <v>0</v>
      </c>
      <c r="AR130" s="189">
        <f>IF(E7*17&gt;E5*80%,E5*80%*B32/D32,AF130)</f>
        <v>0</v>
      </c>
      <c r="AS130" s="188">
        <f>IF(E7*17&gt;E5*80%,E5*80%*B37/D37,AG130)</f>
        <v>0</v>
      </c>
      <c r="AT130" s="188">
        <f>IF(E7*17&gt;E5*80%,E5*80%*B42/D42,AH130)</f>
        <v>0</v>
      </c>
      <c r="AU130" s="188">
        <f>IF(E7*17&gt;E5*80%,E5*80%*B47/D47,AI130)</f>
        <v>0</v>
      </c>
      <c r="AV130" s="188">
        <f>IF(E7*17&gt;E5*80%,E5*80%*B52/D52,AJ130)</f>
        <v>0</v>
      </c>
      <c r="AW130" s="188">
        <f>IF(E7*17&gt;E5*80%,E5*80%*B57/D57,AK130)</f>
        <v>0</v>
      </c>
      <c r="AX130" s="188">
        <f>IF(E7*18&gt;E5*80%,E5*80%*B62/D62,AN130)</f>
        <v>0</v>
      </c>
    </row>
    <row r="131" spans="1:50" hidden="1" x14ac:dyDescent="0.2">
      <c r="A131" s="38"/>
      <c r="B131" s="38"/>
      <c r="C131" s="38"/>
      <c r="D131" s="38"/>
      <c r="F131" s="22"/>
      <c r="P131" s="38"/>
      <c r="R131" s="22"/>
      <c r="AA131" s="182"/>
      <c r="AB131" s="182"/>
      <c r="AC131" s="182"/>
      <c r="AD131" s="182"/>
      <c r="AE131" s="78"/>
      <c r="AF131" s="183"/>
      <c r="AG131" s="78"/>
      <c r="AH131" s="78"/>
      <c r="AI131" s="78"/>
      <c r="AJ131" s="78"/>
      <c r="AK131" s="78"/>
      <c r="AL131" s="78"/>
      <c r="AM131" s="78"/>
      <c r="AN131" s="78"/>
      <c r="AP131" s="187"/>
      <c r="AQ131" s="188"/>
      <c r="AR131" s="189"/>
      <c r="AS131" s="188"/>
      <c r="AT131" s="188"/>
      <c r="AU131" s="188"/>
      <c r="AV131" s="188"/>
      <c r="AW131" s="188"/>
      <c r="AX131" s="188"/>
    </row>
    <row r="132" spans="1:50" hidden="1" x14ac:dyDescent="0.2">
      <c r="A132" s="38">
        <f>IF(AND(E20="US",B21&gt;=30,B21&lt;=39),E7*16*B20/D20,0)</f>
        <v>0</v>
      </c>
      <c r="B132" s="38"/>
      <c r="C132" s="38"/>
      <c r="D132" s="38"/>
      <c r="E132" s="9">
        <f>IF(AND(E25="US",B26&gt;=30,B26&lt;=39),E7*16*B25/D25,0)</f>
        <v>0</v>
      </c>
      <c r="F132" s="22">
        <f>IF(AND(E30="US",B31&gt;=30,B31&lt;=39),E7*16*B30/D30,0)</f>
        <v>0</v>
      </c>
      <c r="G132" s="9">
        <f>IF(AND(E35="US",B36&gt;=30,B36&lt;=39),E7*16*B35/D35,0)</f>
        <v>0</v>
      </c>
      <c r="H132" s="9">
        <f>IF(AND(E40="US",B41&gt;=30,B41&lt;=39),E7*16*B40/D40,0)</f>
        <v>0</v>
      </c>
      <c r="I132" s="9">
        <f>IF(AND(E45="US",B46&gt;=30,B46&lt;=39),E7*16*B45/D45,0)</f>
        <v>0</v>
      </c>
      <c r="J132" s="9">
        <f>IF(AND(E50="US",B51&gt;=30,B51&lt;=39),E7*16*B50/D50,0)</f>
        <v>0</v>
      </c>
      <c r="K132" s="9">
        <f>IF(AND(E55="US",B56&gt;=30,B56&lt;=39),E7*16*B55/D55,0)</f>
        <v>0</v>
      </c>
      <c r="N132" s="9">
        <f>IF(AND(E60="US",B61&gt;=30,B61&lt;=39),E7*16*B60/D60,0)</f>
        <v>0</v>
      </c>
      <c r="P132" s="38">
        <f>IF(E7*16&gt;E5*80%,E5*80%*B20/D20,A132)</f>
        <v>0</v>
      </c>
      <c r="Q132" s="9">
        <f>IF(E7*16&gt;E5*80%,E5*80%*B25/D25,E132)</f>
        <v>0</v>
      </c>
      <c r="R132" s="22">
        <f>IF(E7*16&gt;E5*80%,E5*80%*B30/D30,F132)</f>
        <v>0</v>
      </c>
      <c r="S132" s="9">
        <f>IF(E7*16&gt;E5*80%,E5*80%*B35/D35,G132)</f>
        <v>0</v>
      </c>
      <c r="T132" s="9">
        <f>IF(E7*16&gt;E5*80%,E5*80%*B40/D40,H132)</f>
        <v>0</v>
      </c>
      <c r="U132" s="9">
        <f>IF(E7*16&gt;E5*80%,E5*80%*B45/D45,I132)</f>
        <v>0</v>
      </c>
      <c r="V132" s="9">
        <f>IF(E7*16&gt;E5*80%,E5*80%*B50/D50,J132)</f>
        <v>0</v>
      </c>
      <c r="W132" s="9">
        <f>IF(E7*16&gt;E5*80%,E5*80%*B55/D55,K132)</f>
        <v>0</v>
      </c>
      <c r="X132" s="9">
        <f>IF(E7*16&gt;E5*80%,E5*80%*B60/D60,N132)</f>
        <v>0</v>
      </c>
      <c r="AA132" s="182">
        <f>IF(AND(E22="US",B23&gt;=30,B23&lt;=39),E7*16*B22/D22,0)</f>
        <v>0</v>
      </c>
      <c r="AB132" s="182"/>
      <c r="AC132" s="182"/>
      <c r="AD132" s="182"/>
      <c r="AE132" s="78">
        <f>IF(AND(E27="US",B28&gt;=30,B28&lt;=39),E7*16*B27/D27,0)</f>
        <v>0</v>
      </c>
      <c r="AF132" s="183">
        <f>IF(AND(E32="US",B33&gt;=30,B33&lt;=39),E7*16*B32/D32,0)</f>
        <v>0</v>
      </c>
      <c r="AG132" s="78">
        <f>IF(AND(E37="US",B38&gt;=30,B38&lt;=39),E7*16*B37/D37,0)</f>
        <v>0</v>
      </c>
      <c r="AH132" s="78">
        <f>IF(AND(E42="US",B43&gt;=30,B43&lt;=39),E7*16*B42/D42,0)</f>
        <v>0</v>
      </c>
      <c r="AI132" s="78">
        <f>IF(AND(E47="US",B48&gt;=30,B48&lt;=39),E7*16*B47/D47,0)</f>
        <v>0</v>
      </c>
      <c r="AJ132" s="78">
        <f>IF(AND(E52="US",B53&gt;=30,B53&lt;=39),E7*16*B52/D52,0)</f>
        <v>0</v>
      </c>
      <c r="AK132" s="78">
        <f>IF(AND(E57="US",B58&gt;=30,B58&lt;=39),E7*16*B57/D57,0)</f>
        <v>0</v>
      </c>
      <c r="AL132" s="78"/>
      <c r="AM132" s="78"/>
      <c r="AN132" s="78">
        <f>IF(AND(E62="US",B63&gt;=30,B63&lt;=39),E7*16*B62/D62,0)</f>
        <v>0</v>
      </c>
      <c r="AP132" s="187">
        <f>IF(E7*16&gt;E5*80%,E5*80%*B22/D22,AA132)</f>
        <v>0</v>
      </c>
      <c r="AQ132" s="188">
        <f>IF(E7*16&gt;E5*80%,E5*80%*B27/D27,AE132)</f>
        <v>0</v>
      </c>
      <c r="AR132" s="189">
        <f>IF(E7*16&gt;E5*80%,E5*80%*B32/D32,AF132)</f>
        <v>0</v>
      </c>
      <c r="AS132" s="188">
        <f>IF(E7*16&gt;E5*80%,E5*80%*B37/D37,AG132)</f>
        <v>0</v>
      </c>
      <c r="AT132" s="188">
        <f>IF(E7*16&gt;E5*80%,E5*80%*B42/D42,AH132)</f>
        <v>0</v>
      </c>
      <c r="AU132" s="188">
        <f>IF(E7*16&gt;E5*80%,E5*80%*B47/D47,AI132)</f>
        <v>0</v>
      </c>
      <c r="AV132" s="188">
        <f>IF(E7*16&gt;E5*80%,E5*80%*B52/D52,AJ132)</f>
        <v>0</v>
      </c>
      <c r="AW132" s="188">
        <f>IF(E7*16&gt;E5*80%,E5*80%*B57/D57,AK132)</f>
        <v>0</v>
      </c>
      <c r="AX132" s="188">
        <f>IF(E7*16&gt;E5*80%,E5*80%*B62/D62,AN132)</f>
        <v>0</v>
      </c>
    </row>
    <row r="133" spans="1:50" hidden="1" x14ac:dyDescent="0.2">
      <c r="A133" s="38"/>
      <c r="B133" s="38"/>
      <c r="C133" s="38"/>
      <c r="D133" s="38"/>
      <c r="F133" s="22"/>
      <c r="P133" s="38"/>
      <c r="R133" s="22"/>
      <c r="AA133" s="182"/>
      <c r="AB133" s="182"/>
      <c r="AC133" s="182"/>
      <c r="AD133" s="182"/>
      <c r="AE133" s="78"/>
      <c r="AF133" s="183"/>
      <c r="AG133" s="78"/>
      <c r="AH133" s="78"/>
      <c r="AI133" s="78"/>
      <c r="AJ133" s="78"/>
      <c r="AK133" s="78"/>
      <c r="AL133" s="78"/>
      <c r="AM133" s="78"/>
      <c r="AN133" s="78"/>
      <c r="AP133" s="187"/>
      <c r="AQ133" s="188"/>
      <c r="AR133" s="189"/>
      <c r="AS133" s="188"/>
      <c r="AT133" s="188"/>
      <c r="AU133" s="188"/>
      <c r="AV133" s="188"/>
      <c r="AW133" s="188"/>
      <c r="AX133" s="188"/>
    </row>
    <row r="134" spans="1:50" hidden="1" x14ac:dyDescent="0.2">
      <c r="A134" s="38">
        <f>IF(AND(E20="US",B21&gt;=40,B21&lt;=49),E7*14*B20/D20,0)</f>
        <v>0</v>
      </c>
      <c r="B134" s="38"/>
      <c r="C134" s="38"/>
      <c r="D134" s="38"/>
      <c r="E134" s="9">
        <f>IF(AND(E25="US",B26&gt;=40,B26&lt;=49),E7*14*B25/D25,0)</f>
        <v>0</v>
      </c>
      <c r="F134" s="22">
        <f>IF(AND(E30="US",B31&gt;=40,B31&lt;=49),E7*14*B30/D30,0)</f>
        <v>0</v>
      </c>
      <c r="G134" s="9">
        <f>IF(AND(E35="US",B36&gt;=40,B36&lt;=49),E7*14*B35/D35,0)</f>
        <v>0</v>
      </c>
      <c r="H134" s="9">
        <f>IF(AND(E40="US",B41&gt;=40,B41&lt;=49),E7*14*B40/D40,0)</f>
        <v>0</v>
      </c>
      <c r="I134" s="9">
        <f>IF(AND(E45="US",B46&gt;=40,B46&lt;=49),E7*14*B45/D45,0)</f>
        <v>0</v>
      </c>
      <c r="J134" s="9">
        <f>IF(AND(E50="US",B51&gt;=40,B51&lt;=49),E7*14*B50/D50,0)</f>
        <v>0</v>
      </c>
      <c r="K134" s="9">
        <f>IF(AND(E55="US",B56&gt;=40,B56&lt;=49),E7*14*B55/D55,0)</f>
        <v>0</v>
      </c>
      <c r="N134" s="9">
        <f>IF(AND(E60="US",B61&gt;=40,B61&lt;=49),E7*14*B60/D60,0)</f>
        <v>0</v>
      </c>
      <c r="P134" s="38">
        <f>IF(E7*14&gt;E5*80%,E5*80%*B20/D20,A134)</f>
        <v>0</v>
      </c>
      <c r="Q134" s="9">
        <f>IF(E7*14&gt;E5*80%,E5*80%*B25/D25,E134)</f>
        <v>0</v>
      </c>
      <c r="R134" s="22">
        <f>IF(E7*14&gt;E5*80%,E5*80%*B30/D30,F134)</f>
        <v>0</v>
      </c>
      <c r="S134" s="9">
        <f>IF(E7*14&gt;E5*80%,E5*80%*B35/D35,G134)</f>
        <v>0</v>
      </c>
      <c r="T134" s="9">
        <f>IF(E7*14&gt;E5*80%,E5*80%*B40/D40,H134)</f>
        <v>0</v>
      </c>
      <c r="U134" s="9">
        <f>IF(E7*14&gt;E5*80%,E5*80%*B45/D45,I134)</f>
        <v>0</v>
      </c>
      <c r="V134" s="9">
        <f>IF(E7*14&gt;E5*80%,E5*80%*B50/D50,J134)</f>
        <v>0</v>
      </c>
      <c r="W134" s="9">
        <f>IF(E7*14&gt;E5*80%,E5*80%*B55/D55,K134)</f>
        <v>0</v>
      </c>
      <c r="X134" s="9">
        <f>IF(E7*14&gt;E5*80%,E5*80%*B60/D60,N134)</f>
        <v>0</v>
      </c>
      <c r="AA134" s="182">
        <f>IF(AND(E22="US",B23&gt;=40,B23&lt;=49),E7*14*B22/D22,0)</f>
        <v>0</v>
      </c>
      <c r="AB134" s="182"/>
      <c r="AC134" s="182"/>
      <c r="AD134" s="182"/>
      <c r="AE134" s="78">
        <f>IF(AND(E27="US",B28&gt;=40,B28&lt;=49),E7*14*B27/D27,0)</f>
        <v>0</v>
      </c>
      <c r="AF134" s="183">
        <f>IF(AND(E32="US",B33&gt;=40,B33&lt;=49),E7*14*B32/D32,0)</f>
        <v>0</v>
      </c>
      <c r="AG134" s="78">
        <f>IF(AND(E37="US",B38&gt;=40,B38&lt;=49),E7*14*B37/D37,0)</f>
        <v>0</v>
      </c>
      <c r="AH134" s="78">
        <f>IF(AND(E42="US",B43&gt;=40,B43&lt;=49),E7*14*B42/D42,0)</f>
        <v>0</v>
      </c>
      <c r="AI134" s="78">
        <f>IF(AND(E47="US",B48&gt;=40,B48&lt;=49),E7*14*B47/D47,0)</f>
        <v>0</v>
      </c>
      <c r="AJ134" s="78">
        <f>IF(AND(E52="US",B53&gt;=40,B53&lt;=49),E7*14*B52/D52,0)</f>
        <v>0</v>
      </c>
      <c r="AK134" s="78">
        <f>IF(AND(E57="US",B58&gt;=40,B58&lt;=49),E7*14*B57/D57,0)</f>
        <v>0</v>
      </c>
      <c r="AL134" s="78"/>
      <c r="AM134" s="78"/>
      <c r="AN134" s="78">
        <f>IF(AND(E62="US",B63&gt;=40,B63&lt;=49),E7*14*B62/D62,0)</f>
        <v>0</v>
      </c>
      <c r="AP134" s="187">
        <f>IF(E7*14&gt;E5*80%,E5*80%*B22/D22,AA134)</f>
        <v>0</v>
      </c>
      <c r="AQ134" s="188">
        <f>IF(E7*14&gt;E5*80%,E5*80%*B27/D27,AE134)</f>
        <v>0</v>
      </c>
      <c r="AR134" s="189">
        <f>IF(E7*14&gt;E5*80%,E5*80%*B32/D32,AF134)</f>
        <v>0</v>
      </c>
      <c r="AS134" s="188">
        <f>IF(E7*14&gt;E5*80%,E5*80%*B37/D37,AG134)</f>
        <v>0</v>
      </c>
      <c r="AT134" s="188">
        <f>IF(E7*14&gt;E5*80%,E5*80%*B42/D42,AH134)</f>
        <v>0</v>
      </c>
      <c r="AU134" s="188">
        <f>IF(E7*14&gt;E5*80%,E5*80%*B47/D47,AI134)</f>
        <v>0</v>
      </c>
      <c r="AV134" s="188">
        <f>IF(E7*14&gt;E5*80%,E5*80%*B52/D52,AJ134)</f>
        <v>0</v>
      </c>
      <c r="AW134" s="188">
        <f>IF(E7*14&gt;E5*80%,E5*80%*B57/D57,AK134)</f>
        <v>0</v>
      </c>
      <c r="AX134" s="188">
        <f>IF(E7*14&gt;E5*80%,E5*80%*B62/D62,AN134)</f>
        <v>0</v>
      </c>
    </row>
    <row r="135" spans="1:50" hidden="1" x14ac:dyDescent="0.2">
      <c r="A135" s="38"/>
      <c r="B135" s="38"/>
      <c r="C135" s="38"/>
      <c r="D135" s="38"/>
      <c r="F135" s="22"/>
      <c r="P135" s="38"/>
      <c r="R135" s="22"/>
      <c r="AA135" s="182"/>
      <c r="AB135" s="182"/>
      <c r="AC135" s="182"/>
      <c r="AD135" s="182"/>
      <c r="AE135" s="78"/>
      <c r="AF135" s="183"/>
      <c r="AG135" s="78"/>
      <c r="AH135" s="78"/>
      <c r="AI135" s="78"/>
      <c r="AJ135" s="78"/>
      <c r="AK135" s="78"/>
      <c r="AL135" s="78"/>
      <c r="AM135" s="78"/>
      <c r="AN135" s="78"/>
      <c r="AP135" s="187"/>
      <c r="AQ135" s="188"/>
      <c r="AR135" s="189"/>
      <c r="AS135" s="188"/>
      <c r="AT135" s="188"/>
      <c r="AU135" s="188"/>
      <c r="AV135" s="188"/>
      <c r="AW135" s="188"/>
      <c r="AX135" s="188"/>
    </row>
    <row r="136" spans="1:50" hidden="1" x14ac:dyDescent="0.2">
      <c r="A136" s="38">
        <f>IF(AND(E20="US",B21&gt;=50,B21&lt;=54),E7*13*B20/D20,0)</f>
        <v>0</v>
      </c>
      <c r="B136" s="38"/>
      <c r="C136" s="38"/>
      <c r="D136" s="38"/>
      <c r="E136" s="9">
        <f>IF(AND(E25="US",B26&gt;=50,B26&lt;=54),E7*13*B25/D25,0)</f>
        <v>0</v>
      </c>
      <c r="F136" s="22">
        <f>IF(AND(E30="US",B31&gt;=50,B31&lt;=54),E7*13*B30/D30,0)</f>
        <v>0</v>
      </c>
      <c r="G136" s="9">
        <f>IF(AND(E35="US",B36&gt;=50,B36&lt;=54),E7*13*B35/D35,0)</f>
        <v>0</v>
      </c>
      <c r="H136" s="9">
        <f>IF(AND(E40="US",B41&gt;=50,B41&lt;=54),E7*13*B40/D40,0)</f>
        <v>0</v>
      </c>
      <c r="I136" s="9">
        <f>IF(AND(E45="US",B46&gt;=50,B46&lt;=54),E7*13*B45/D45,0)</f>
        <v>0</v>
      </c>
      <c r="J136" s="9">
        <f>IF(AND(E50="US",B51&gt;=50,B51&lt;=54),E7*13*B50/D50,0)</f>
        <v>0</v>
      </c>
      <c r="K136" s="9">
        <f>IF(AND(E55="US",B56&gt;=50,B56&lt;=54),E7*13*B55/D55,0)</f>
        <v>0</v>
      </c>
      <c r="N136" s="9">
        <f>IF(AND(E60="US",B61&gt;=50,B61&lt;=54),E7*13*B60/D60,0)</f>
        <v>0</v>
      </c>
      <c r="P136" s="38">
        <f>IF(E7*13&gt;E5*80%,E5*80%*B20/D20,A136)</f>
        <v>0</v>
      </c>
      <c r="Q136" s="9">
        <f>IF(E7*13&gt;E5*80%,E5*80%*B25/D25,E136)</f>
        <v>0</v>
      </c>
      <c r="R136" s="22">
        <f>IF(E7*13&gt;E5*80%,E5*80%*B30/D30,F136)</f>
        <v>0</v>
      </c>
      <c r="S136" s="9">
        <f>IF(E7*13&gt;E5*80%,E5*80%*B35/D35,G136)</f>
        <v>0</v>
      </c>
      <c r="T136" s="9">
        <f>IF(E7*13&gt;E5*80%,E5*80%*B40/D40,H136)</f>
        <v>0</v>
      </c>
      <c r="U136" s="9">
        <f>IF(E7*13&gt;E5*80%,E5*80%*B45/D45,I136)</f>
        <v>0</v>
      </c>
      <c r="V136" s="9">
        <f>IF(E7*13&gt;E5*80%,E5*80%*B50/D50,J136)</f>
        <v>0</v>
      </c>
      <c r="W136" s="9">
        <f>IF(E7*13&gt;E5*80%,E5*80%*B55/D55,K136)</f>
        <v>0</v>
      </c>
      <c r="X136" s="9">
        <f>IF(E7*13&gt;E5*80%,E5*80%*B60/D60,N136)</f>
        <v>0</v>
      </c>
      <c r="AA136" s="182">
        <f>IF(AND(E22="US",B23&gt;=50,B23&lt;=54),E7*13*B22/D22,0)</f>
        <v>0</v>
      </c>
      <c r="AB136" s="182"/>
      <c r="AC136" s="182"/>
      <c r="AD136" s="182"/>
      <c r="AE136" s="78">
        <f>IF(AND(E27="US",B28&gt;=50,B28&lt;=54),E7*13*B27/D27,0)</f>
        <v>0</v>
      </c>
      <c r="AF136" s="183">
        <f>IF(AND(E32="US",B33&gt;=50,B33&lt;=54),E7*13*B32/D32,0)</f>
        <v>0</v>
      </c>
      <c r="AG136" s="78">
        <f>IF(AND(E37="US",B38&gt;=50,B38&lt;=54),E7*13*B37/D37,0)</f>
        <v>0</v>
      </c>
      <c r="AH136" s="78">
        <f>IF(AND(E42="US",B43&gt;=50,B43&lt;=54),E7*13*B42/D42,0)</f>
        <v>0</v>
      </c>
      <c r="AI136" s="78">
        <f>IF(AND(E47="US",B48&gt;=50,B48&lt;=54),E7*13*B47/D47,0)</f>
        <v>0</v>
      </c>
      <c r="AJ136" s="78">
        <f>IF(AND(E52="US",B53&gt;=50,B53&lt;=54),E7*13*B52/D52,0)</f>
        <v>0</v>
      </c>
      <c r="AK136" s="78">
        <f>IF(AND(E57="US",B58&gt;=50,B58&lt;=54),E7*13*B57/D57,0)</f>
        <v>0</v>
      </c>
      <c r="AL136" s="78"/>
      <c r="AM136" s="78"/>
      <c r="AN136" s="78">
        <f>IF(AND(E62="US",B63&gt;=50,B63&lt;=54),E7*13*B62/D62,0)</f>
        <v>0</v>
      </c>
      <c r="AP136" s="187">
        <f>IF(E7*13&gt;E5*80%,E5*80%*B22/D22,AA136)</f>
        <v>0</v>
      </c>
      <c r="AQ136" s="188">
        <f>IF(E7*13&gt;E5*80%,E5*80%*B27/D27,AE136)</f>
        <v>0</v>
      </c>
      <c r="AR136" s="189">
        <f>IF(E7*13&gt;E5*80%,E5*80%*B32/D32,AF136)</f>
        <v>0</v>
      </c>
      <c r="AS136" s="188">
        <f>IF(E7*13&gt;E5*80%,E5*80%*B37/D37,AG136)</f>
        <v>0</v>
      </c>
      <c r="AT136" s="188">
        <f>IF(E7*13&gt;E5*80%,E5*80%*B42/D42,AH136)</f>
        <v>0</v>
      </c>
      <c r="AU136" s="188">
        <f>IF(E7*13&gt;E5*80%,E5*80%*B47/D47,AI136)</f>
        <v>0</v>
      </c>
      <c r="AV136" s="188">
        <f>IF(E7*13&gt;E5*80%,E5*80%*B52/D52,AJ136)</f>
        <v>0</v>
      </c>
      <c r="AW136" s="188">
        <f>IF(E7*13&gt;E5*80%,E5*80%*B57/D57,AK136)</f>
        <v>0</v>
      </c>
      <c r="AX136" s="188">
        <f>IF(E7*13&gt;E5*80%,E5*80%*B62/D62,AN136)</f>
        <v>0</v>
      </c>
    </row>
    <row r="137" spans="1:50" hidden="1" x14ac:dyDescent="0.2">
      <c r="A137" s="38"/>
      <c r="B137" s="38"/>
      <c r="C137" s="38"/>
      <c r="D137" s="38"/>
      <c r="F137" s="22"/>
      <c r="P137" s="38"/>
      <c r="R137" s="22"/>
      <c r="AA137" s="182"/>
      <c r="AB137" s="182"/>
      <c r="AC137" s="182"/>
      <c r="AD137" s="182"/>
      <c r="AE137" s="78"/>
      <c r="AF137" s="183"/>
      <c r="AG137" s="78"/>
      <c r="AH137" s="78"/>
      <c r="AI137" s="78"/>
      <c r="AJ137" s="78"/>
      <c r="AK137" s="78"/>
      <c r="AL137" s="78"/>
      <c r="AM137" s="78"/>
      <c r="AN137" s="78"/>
      <c r="AP137" s="187"/>
      <c r="AQ137" s="188"/>
      <c r="AR137" s="189"/>
      <c r="AS137" s="188"/>
      <c r="AT137" s="188"/>
      <c r="AU137" s="188"/>
      <c r="AV137" s="188"/>
      <c r="AW137" s="188"/>
      <c r="AX137" s="188"/>
    </row>
    <row r="138" spans="1:50" hidden="1" x14ac:dyDescent="0.2">
      <c r="A138" s="38">
        <f>IF(AND(E20="US",B21&gt;=55,B21&lt;=59),E7*11*B20/D20,0)</f>
        <v>0</v>
      </c>
      <c r="B138" s="38"/>
      <c r="C138" s="38"/>
      <c r="D138" s="38"/>
      <c r="E138" s="9">
        <f>IF(AND(E25="US",B26&gt;=55,B26&lt;=59),E7*11*B25/D25,0)</f>
        <v>0</v>
      </c>
      <c r="F138" s="22">
        <f>IF(AND(E30="US",B31&gt;=55,B31&lt;=59),E7*11*B30/D30,0)</f>
        <v>0</v>
      </c>
      <c r="G138" s="9">
        <f>IF(AND(E35="US",B36&gt;=55,B36&lt;=59),E7*11*B35/D35,0)</f>
        <v>0</v>
      </c>
      <c r="H138" s="9">
        <f>IF(AND(E40="US",B41&gt;=55,B41&lt;=59),E7*11*B40/D40,0)</f>
        <v>0</v>
      </c>
      <c r="I138" s="9">
        <f>IF(AND(E45="US",B46&gt;=55,B46&lt;=59),E7*11*B45/D45,0)</f>
        <v>0</v>
      </c>
      <c r="J138" s="9">
        <f>IF(AND(E50="US",B51&gt;=55,B51&lt;=59),E7*11*B50/D50,0)</f>
        <v>0</v>
      </c>
      <c r="K138" s="9">
        <f>IF(AND(E55="US",B56&gt;=55,B56&lt;=59),E7*11*B55/D55,0)</f>
        <v>0</v>
      </c>
      <c r="N138" s="9">
        <f>IF(AND(E60="US",B61&gt;=55,B61&lt;=59),E7*11*B60/D60,0)</f>
        <v>0</v>
      </c>
      <c r="P138" s="38">
        <f>IF(E7*11&gt;E5*80%,E5*80%*B20/D20,A138)</f>
        <v>0</v>
      </c>
      <c r="Q138" s="9">
        <f>IF(E7*11&gt;E5*80%,E5*80%*B25/D25,E138)</f>
        <v>0</v>
      </c>
      <c r="R138" s="22">
        <f>IF(E7*11&gt;E5*80%,E5*80%*B30/D30,F138)</f>
        <v>0</v>
      </c>
      <c r="S138" s="9">
        <f>IF(E7*11&gt;E5*80%,E5*80%*B35/D35,G138)</f>
        <v>0</v>
      </c>
      <c r="T138" s="9">
        <f>IF(E7*11&gt;E5*80%,E5*80%*B40/D40,H138)</f>
        <v>0</v>
      </c>
      <c r="U138" s="9">
        <f>IF(E7*11&gt;E5*80%,E5*80%*B45/D45,I138)</f>
        <v>0</v>
      </c>
      <c r="V138" s="9">
        <f>IF(E7*11&gt;E5*80%,E5*80%*B50/D50,J138)</f>
        <v>0</v>
      </c>
      <c r="W138" s="9">
        <f>IF(E7*11&gt;E5*80%,E5*80%*B55/D55,K138)</f>
        <v>0</v>
      </c>
      <c r="X138" s="9">
        <f>IF(E7*11&gt;E5*80%,E5*80%*B60/D60,N138)</f>
        <v>0</v>
      </c>
      <c r="AA138" s="182">
        <f>IF(AND(E22="US",B23&gt;=55,B23&lt;=59),E7*11*B22/D22,0)</f>
        <v>0</v>
      </c>
      <c r="AB138" s="182"/>
      <c r="AC138" s="182"/>
      <c r="AD138" s="182"/>
      <c r="AE138" s="78">
        <f>IF(AND(E27="US",B28&gt;=55,B28&lt;=59),E7*11*B27/D27,0)</f>
        <v>0</v>
      </c>
      <c r="AF138" s="183">
        <f>IF(AND(E32="US",B33&gt;=55,B33&lt;=59),E7*11*B32/D32,0)</f>
        <v>0</v>
      </c>
      <c r="AG138" s="78">
        <f>IF(AND(E37="US",B38&gt;=55,B38&lt;=59),E7*11*B37/D37,0)</f>
        <v>0</v>
      </c>
      <c r="AH138" s="78">
        <f>IF(AND(E42="US",B43&gt;=55,B43&lt;=59),E7*11*B42/D42,0)</f>
        <v>0</v>
      </c>
      <c r="AI138" s="78">
        <f>IF(AND(E47="US",B48&gt;=55,B48&lt;=59),E7*11*B47/D47,0)</f>
        <v>0</v>
      </c>
      <c r="AJ138" s="78">
        <f>IF(AND(E52="US",B53&gt;=55,B53&lt;=59),E7*11*B52/D52,0)</f>
        <v>0</v>
      </c>
      <c r="AK138" s="78">
        <f>IF(AND(E57="US",B58&gt;=55,B58&lt;=59),E7*11*B57/D57,0)</f>
        <v>0</v>
      </c>
      <c r="AL138" s="78"/>
      <c r="AM138" s="78"/>
      <c r="AN138" s="78">
        <f>IF(AND(E62="US",B63&gt;=55,B63&lt;=59),E7*11*B62/D62,0)</f>
        <v>0</v>
      </c>
      <c r="AP138" s="187">
        <f>IF(E7*11&gt;E5*80%,E5*80%*B22/D22,AA138)</f>
        <v>0</v>
      </c>
      <c r="AQ138" s="188">
        <f>IF(E7*11&gt;E5*80%,E5*80%*B27/D27,AE138)</f>
        <v>0</v>
      </c>
      <c r="AR138" s="189">
        <f>IF(E7*11&gt;E5*80%,E5*80%*B32/D32,AF138)</f>
        <v>0</v>
      </c>
      <c r="AS138" s="188">
        <f>IF(E7*11&gt;E5*80%,E5*80%*B37/D37,AG138)</f>
        <v>0</v>
      </c>
      <c r="AT138" s="188">
        <f>IF(E7*11&gt;E5*80%,E5*80%*B42/D42,AH138)</f>
        <v>0</v>
      </c>
      <c r="AU138" s="188">
        <f>IF(E7*11&gt;E5*80%,E5*80%*B47/D47,AI138)</f>
        <v>0</v>
      </c>
      <c r="AV138" s="188">
        <f>IF(E7*11&gt;E5*80%,E5*80%*B52/D52,AJ138)</f>
        <v>0</v>
      </c>
      <c r="AW138" s="188">
        <f>IF(E7*11&gt;E5*80%,E5*80%*B57/D57,AK138)</f>
        <v>0</v>
      </c>
      <c r="AX138" s="188">
        <f>IF(E7*11&gt;E5*80%,E5*80%*B62/D62,AN138)</f>
        <v>0</v>
      </c>
    </row>
    <row r="139" spans="1:50" hidden="1" x14ac:dyDescent="0.2">
      <c r="F139" s="22"/>
      <c r="R139" s="22"/>
      <c r="AA139" s="78"/>
      <c r="AB139" s="78"/>
      <c r="AC139" s="78"/>
      <c r="AD139" s="78"/>
      <c r="AE139" s="78"/>
      <c r="AF139" s="183"/>
      <c r="AG139" s="78"/>
      <c r="AH139" s="78"/>
      <c r="AI139" s="78"/>
      <c r="AJ139" s="78"/>
      <c r="AK139" s="78"/>
      <c r="AL139" s="78"/>
      <c r="AM139" s="78"/>
      <c r="AN139" s="78"/>
      <c r="AP139" s="188"/>
      <c r="AQ139" s="188"/>
      <c r="AR139" s="189"/>
      <c r="AS139" s="188"/>
      <c r="AT139" s="188"/>
      <c r="AU139" s="188"/>
      <c r="AV139" s="188"/>
      <c r="AW139" s="188"/>
      <c r="AX139" s="188"/>
    </row>
    <row r="140" spans="1:50" hidden="1" x14ac:dyDescent="0.2">
      <c r="A140" s="38">
        <f>IF(AND(E20="US",B21&gt;=60,B21&lt;=64),E7*9.5*B20/D20,0)</f>
        <v>0</v>
      </c>
      <c r="B140" s="38"/>
      <c r="C140" s="38"/>
      <c r="D140" s="38"/>
      <c r="E140" s="9">
        <f>IF(AND(E25="US",B26&gt;=60,B26&lt;=64),E7*9.5*B25/D25,0)</f>
        <v>0</v>
      </c>
      <c r="F140" s="22">
        <f>IF(AND(E30="US",B31&gt;=60,B31&lt;=64),E7*9.5*B30/D30,0)</f>
        <v>0</v>
      </c>
      <c r="G140" s="9">
        <f>IF(AND(E35="US",B36&gt;=60,B36&lt;=64),E7*9.5*B35/D35,0)</f>
        <v>0</v>
      </c>
      <c r="H140" s="9">
        <f>IF(AND(E40="US",B41&gt;=60,B41&lt;=64),E7*9.5*B40/D40,0)</f>
        <v>0</v>
      </c>
      <c r="I140" s="9">
        <f>IF(AND(E45="US",B46&gt;=60,B46&lt;=64),E7*9.5*B45/D45,0)</f>
        <v>0</v>
      </c>
      <c r="J140" s="9">
        <f>IF(AND(E50="US",B51&gt;=60,B51&lt;=64),E7*9.5*B50/D50,0)</f>
        <v>0</v>
      </c>
      <c r="K140" s="9">
        <f>IF(AND(E55="US",B56&gt;=60,B56&lt;=64),E7*9.5*B55/D55,0)</f>
        <v>0</v>
      </c>
      <c r="N140" s="9">
        <f>IF(AND(E60="US",B61&gt;=60,B61&lt;=64),E7*9.5*B60/D60,0)</f>
        <v>0</v>
      </c>
      <c r="P140" s="38">
        <f>IF(E7*9&gt;E5*80%,E5*80%*B20/D20,A140)</f>
        <v>0</v>
      </c>
      <c r="Q140" s="9">
        <f>IF(E7*9&gt;E5*80%,E5*80%*B25/D25,E140)</f>
        <v>0</v>
      </c>
      <c r="R140" s="22">
        <f>IF(E7*9&gt;E5*80%,E5*80%*B30/D30,F140)</f>
        <v>0</v>
      </c>
      <c r="S140" s="9">
        <f>IF(E7*9&gt;E5*80%,E5*80%*B35/D35,G140)</f>
        <v>0</v>
      </c>
      <c r="T140" s="9">
        <f>IF(E7*9&gt;E5*80%,E5*80%*B40/D40,H140)</f>
        <v>0</v>
      </c>
      <c r="U140" s="9">
        <f>IF(E7*9&gt;E5*80%,E5*80%*B45/D45,I140)</f>
        <v>0</v>
      </c>
      <c r="V140" s="9">
        <f>IF(E7*9&gt;E5*80%,E5*80%*B50/D50,J140)</f>
        <v>0</v>
      </c>
      <c r="W140" s="9">
        <f>IF(E7*9&gt;E5*80%,E5*80%*B55/D55,K140)</f>
        <v>0</v>
      </c>
      <c r="X140" s="9">
        <f>IF(E7*9&gt;E5*80%,E5*80%*B60/D60,N140)</f>
        <v>0</v>
      </c>
      <c r="AA140" s="182">
        <f>IF(AND(E22="US",B23&gt;=60,B23&lt;=64),E7*9.5*B22/D22,0)</f>
        <v>0</v>
      </c>
      <c r="AB140" s="182"/>
      <c r="AC140" s="182"/>
      <c r="AD140" s="182"/>
      <c r="AE140" s="78">
        <f>IF(AND(E27="US",B28&gt;=60,B28&lt;=64),E7*9.5*B27/D27,0)</f>
        <v>0</v>
      </c>
      <c r="AF140" s="183">
        <f>IF(AND(E32="US",B33&gt;=60,B33&lt;=64),E7*9.5*B32/D32,0)</f>
        <v>0</v>
      </c>
      <c r="AG140" s="78">
        <f>IF(AND(E37="US",B38&gt;=60,B38&lt;=64),E7*9.5*B37/D37,0)</f>
        <v>0</v>
      </c>
      <c r="AH140" s="78">
        <f>IF(AND(E42="US",B43&gt;=60,B43&lt;=64),E7*9.5*B42/D42,0)</f>
        <v>0</v>
      </c>
      <c r="AI140" s="78">
        <f>IF(AND(E47="US",B48&gt;=60,B48&lt;=64),E7*9.5*B47/D47,0)</f>
        <v>0</v>
      </c>
      <c r="AJ140" s="78">
        <f>IF(AND(E52="US",B53&gt;=60,B53&lt;=64),E7*9.5*B52/D52,0)</f>
        <v>0</v>
      </c>
      <c r="AK140" s="78">
        <f>IF(AND(E57="US",B58&gt;=60,B58&lt;=64),E7*9.5*B57/D57,0)</f>
        <v>0</v>
      </c>
      <c r="AL140" s="78"/>
      <c r="AM140" s="78"/>
      <c r="AN140" s="78">
        <f>IF(AND(E62="US",B63&gt;=60,B63&lt;=64),E7*9.5*B62/D62,0)</f>
        <v>0</v>
      </c>
      <c r="AP140" s="187">
        <f>IF(E7*9&gt;E5*80%,E5*80%*B22/D22,AA140)</f>
        <v>0</v>
      </c>
      <c r="AQ140" s="188">
        <f>IF(E7*9&gt;E5*80%,E5*80%*B27/D27,AE140)</f>
        <v>0</v>
      </c>
      <c r="AR140" s="189">
        <f>IF(E7*9&gt;E5*80%,E5*80%*B32/D32,AF140)</f>
        <v>0</v>
      </c>
      <c r="AS140" s="188">
        <f>IF(E7*9&gt;E5*80%,E5*80%*B37/D37,AG140)</f>
        <v>0</v>
      </c>
      <c r="AT140" s="188">
        <f>IF(E7*9&gt;E5*80%,E5*80%*B42/D42,AH140)</f>
        <v>0</v>
      </c>
      <c r="AU140" s="188">
        <f>IF(E7*9&gt;E5*80%,E5*80%*B47/D47,AI140)</f>
        <v>0</v>
      </c>
      <c r="AV140" s="188">
        <f>IF(E7*9&gt;E5*80%,E5*80%*B52/D52,AJ140)</f>
        <v>0</v>
      </c>
      <c r="AW140" s="188">
        <f>IF(E7*9&gt;E5*80%,E5*80%*B57/D57,AK140)</f>
        <v>0</v>
      </c>
      <c r="AX140" s="188">
        <f>IF(E7*9&gt;E5*80%,E5*80%*B62/D62,AN140)</f>
        <v>0</v>
      </c>
    </row>
    <row r="141" spans="1:50" hidden="1" x14ac:dyDescent="0.2">
      <c r="A141" s="38"/>
      <c r="B141" s="38"/>
      <c r="C141" s="38"/>
      <c r="D141" s="38"/>
      <c r="F141" s="22"/>
      <c r="P141" s="38"/>
      <c r="R141" s="22"/>
      <c r="AA141" s="182"/>
      <c r="AB141" s="182"/>
      <c r="AC141" s="182"/>
      <c r="AD141" s="182"/>
      <c r="AE141" s="78"/>
      <c r="AF141" s="183"/>
      <c r="AG141" s="78"/>
      <c r="AH141" s="78"/>
      <c r="AI141" s="78"/>
      <c r="AJ141" s="78"/>
      <c r="AK141" s="78"/>
      <c r="AL141" s="78"/>
      <c r="AM141" s="78"/>
      <c r="AN141" s="78"/>
      <c r="AP141" s="187"/>
      <c r="AQ141" s="188"/>
      <c r="AR141" s="189"/>
      <c r="AS141" s="188"/>
      <c r="AT141" s="188"/>
      <c r="AU141" s="188"/>
      <c r="AV141" s="188"/>
      <c r="AW141" s="188"/>
      <c r="AX141" s="188"/>
    </row>
    <row r="142" spans="1:50" hidden="1" x14ac:dyDescent="0.2">
      <c r="A142" s="38">
        <f>IF(AND(E20="US",B21&gt;=65,B21&lt;=69),E7*8*B20/D20,0)</f>
        <v>0</v>
      </c>
      <c r="B142" s="38"/>
      <c r="C142" s="38"/>
      <c r="D142" s="38"/>
      <c r="E142" s="9">
        <f>IF(AND(E25="US",B26&gt;=65,B26&lt;=69),E7*8*B25/D25,0)</f>
        <v>0</v>
      </c>
      <c r="F142" s="22">
        <f>IF(AND(E30="US",B31&gt;=65,B31&lt;=69),E7*8*B30/D30,0)</f>
        <v>0</v>
      </c>
      <c r="G142" s="9">
        <f>IF(AND(E35="US",B36&gt;=65,B36&lt;=69),E7*8*B35/D35,0)</f>
        <v>0</v>
      </c>
      <c r="H142" s="9">
        <f>IF(AND(E40="US",B41&gt;=65,B41&lt;=69),E7*8*B40/D40,0)</f>
        <v>0</v>
      </c>
      <c r="I142" s="9">
        <f>IF(AND(E45="US",B46&gt;=65,B46&lt;=69),E7*8*B45/D45,0)</f>
        <v>0</v>
      </c>
      <c r="J142" s="9">
        <f>IF(AND(E50="US",B51&gt;=65,B51&lt;=69),E7*8*B50/D50,0)</f>
        <v>0</v>
      </c>
      <c r="K142" s="9">
        <f>IF(AND(E55="US",B56&gt;=65,B56&lt;=69),E7*8*B55/D55,0)</f>
        <v>0</v>
      </c>
      <c r="N142" s="9">
        <f>IF(AND(E60="US",B61&gt;=65,B61&lt;=69),E7*8*B60/D60,0)</f>
        <v>0</v>
      </c>
      <c r="P142" s="38">
        <f>IF(E7*8&gt;E5*80%,E5*80%*B20/D20,A142)</f>
        <v>0</v>
      </c>
      <c r="Q142" s="9">
        <f>IF(E7*8&gt;E5*80%,E5*80%*B25/D25,E142)</f>
        <v>0</v>
      </c>
      <c r="R142" s="22">
        <f>IF(E7*8&gt;E5*80%,E5*80%*B30/D30,F142)</f>
        <v>0</v>
      </c>
      <c r="S142" s="9">
        <f>IF(E7*8&gt;E5*80%,E5*80%*B35/D35,G142)</f>
        <v>0</v>
      </c>
      <c r="T142" s="9">
        <f>IF(E7*8&gt;E5*80%,E5*80%*B40/D40,H142)</f>
        <v>0</v>
      </c>
      <c r="U142" s="9">
        <f>IF(E7*8&gt;E5*80%,E5*80%*B45/D45,I142)</f>
        <v>0</v>
      </c>
      <c r="V142" s="9">
        <f>IF(E7*8&gt;E5*80%,E5*80%*B50/D50,J142)</f>
        <v>0</v>
      </c>
      <c r="W142" s="9">
        <f>IF(E7*8&gt;E5*80%,E5*80%*B55/D55,K142)</f>
        <v>0</v>
      </c>
      <c r="X142" s="9">
        <f>IF(E7*8&gt;E5*80%,E5*80%*B60/D60,N142)</f>
        <v>0</v>
      </c>
      <c r="AA142" s="182">
        <f>IF(AND(E22="US",B23&gt;=65,B23&lt;=69),E7*8*B22/D22,0)</f>
        <v>0</v>
      </c>
      <c r="AB142" s="182"/>
      <c r="AC142" s="182"/>
      <c r="AD142" s="182"/>
      <c r="AE142" s="78">
        <f>IF(AND(E27="US",B28&gt;=65,B28&lt;=69),E7*8*B27/D27,0)</f>
        <v>0</v>
      </c>
      <c r="AF142" s="183">
        <f>IF(AND(E32="US",B33&gt;=65,B33&lt;=69),E7*8*B32/D32,0)</f>
        <v>0</v>
      </c>
      <c r="AG142" s="78">
        <f>IF(AND(E37="US",B38&gt;=65,B38&lt;=69),E7*8*B37/D37,0)</f>
        <v>0</v>
      </c>
      <c r="AH142" s="78">
        <f>IF(AND(E42="US",B43&gt;=65,B43&lt;=69),E7*8*B42/D42,0)</f>
        <v>0</v>
      </c>
      <c r="AI142" s="78">
        <f>IF(AND(E47="US",B48&gt;=65,B48&lt;=69),E7*8*B47/D47,0)</f>
        <v>0</v>
      </c>
      <c r="AJ142" s="78">
        <f>IF(AND(E52="US",B53&gt;=65,B53&lt;=69),E7*8*B52/D52,0)</f>
        <v>0</v>
      </c>
      <c r="AK142" s="78">
        <f>IF(AND(E57="US",B58&gt;=65,B58&lt;=69),E7*8*B57/D57,0)</f>
        <v>0</v>
      </c>
      <c r="AL142" s="78"/>
      <c r="AM142" s="78"/>
      <c r="AN142" s="78">
        <f>IF(AND(E62="US",B63&gt;=65,B63&lt;=69),E7*8*B62/D62,0)</f>
        <v>0</v>
      </c>
      <c r="AP142" s="187">
        <f>IF(E7*8&gt;E5*80%,E5*80%*B22/D22,AA142)</f>
        <v>0</v>
      </c>
      <c r="AQ142" s="188">
        <f>IF(E7*8&gt;E5*80%,E5*80%*B27/D27,AE142)</f>
        <v>0</v>
      </c>
      <c r="AR142" s="189">
        <f>IF(E7*8&gt;E5*80%,E5*80%*B32/D32,AF142)</f>
        <v>0</v>
      </c>
      <c r="AS142" s="188">
        <f>IF(E7*8&gt;E5*80%,E5*80%*B37/D37,AG142)</f>
        <v>0</v>
      </c>
      <c r="AT142" s="188">
        <f>IF(E7*8&gt;E5*80%,E5*80%*B42/D42,AH142)</f>
        <v>0</v>
      </c>
      <c r="AU142" s="188">
        <f>IF(E7*8&gt;E5*80%,E5*80%*B47/D47,AI142)</f>
        <v>0</v>
      </c>
      <c r="AV142" s="188">
        <f>IF(E7*8&gt;E5*80%,E5*80%*B52/D52,AJ142)</f>
        <v>0</v>
      </c>
      <c r="AW142" s="188">
        <f>IF(E7*8&gt;E5*80%,E5*80%*B57/D57,AK142)</f>
        <v>0</v>
      </c>
      <c r="AX142" s="188">
        <f>IF(E7*8&gt;E5*80%,E5*80%*B62/D62,AN142)</f>
        <v>0</v>
      </c>
    </row>
    <row r="143" spans="1:50" hidden="1" x14ac:dyDescent="0.2">
      <c r="A143" s="38"/>
      <c r="B143" s="38"/>
      <c r="C143" s="38"/>
      <c r="D143" s="38"/>
      <c r="F143" s="22"/>
      <c r="P143" s="38"/>
      <c r="R143" s="22"/>
      <c r="AA143" s="182"/>
      <c r="AB143" s="182"/>
      <c r="AC143" s="182"/>
      <c r="AD143" s="182"/>
      <c r="AE143" s="78"/>
      <c r="AF143" s="183"/>
      <c r="AG143" s="78"/>
      <c r="AH143" s="78"/>
      <c r="AI143" s="78"/>
      <c r="AJ143" s="78"/>
      <c r="AK143" s="78"/>
      <c r="AL143" s="78"/>
      <c r="AM143" s="78"/>
      <c r="AN143" s="78"/>
      <c r="AP143" s="187"/>
      <c r="AQ143" s="188"/>
      <c r="AR143" s="189"/>
      <c r="AS143" s="188"/>
      <c r="AT143" s="188"/>
      <c r="AU143" s="188"/>
      <c r="AV143" s="188"/>
      <c r="AW143" s="188"/>
      <c r="AX143" s="188"/>
    </row>
    <row r="144" spans="1:50" hidden="1" x14ac:dyDescent="0.2">
      <c r="A144" s="38">
        <f>IF(AND(E20="US",B21&gt;=70,B21&lt;=74),E7*6*B20/D20,0)</f>
        <v>0</v>
      </c>
      <c r="B144" s="38"/>
      <c r="C144" s="38"/>
      <c r="D144" s="38"/>
      <c r="E144" s="9">
        <f>IF(AND(E25="US",B26&gt;=70,B26&lt;=74),E7*6*B25/D25,0)</f>
        <v>0</v>
      </c>
      <c r="F144" s="22">
        <f>IF(AND(E30="US",B31&gt;=70,B31&lt;=74),E7*6*B30/D30,0)</f>
        <v>0</v>
      </c>
      <c r="G144" s="9">
        <f>IF(AND(E35="US",B36&gt;=70,B36&lt;=74),E7*6*B35/D35,0)</f>
        <v>0</v>
      </c>
      <c r="H144" s="9">
        <f>IF(AND(E40="US",B41&gt;=70,B41&lt;=74),E7*6*B40/D40,0)</f>
        <v>0</v>
      </c>
      <c r="I144" s="9">
        <f>IF(AND(E45="US",B46&gt;=70,B46&lt;=74),E7*6*B45/D45,0)</f>
        <v>0</v>
      </c>
      <c r="J144" s="9">
        <f>IF(AND(E50="US",B51&gt;=70,B51&lt;=74),E7*6*B50/D50,0)</f>
        <v>0</v>
      </c>
      <c r="K144" s="9">
        <f>IF(AND(E55="US",B56&gt;=70,B56&lt;=74),E7*6*B55/D55,0)</f>
        <v>0</v>
      </c>
      <c r="N144" s="9">
        <f>IF(AND(E60="US",B61&gt;=70,B61&lt;=74),E7*6*B60/D60,0)</f>
        <v>0</v>
      </c>
      <c r="P144" s="38">
        <f>IF(E7*6&gt;E5*80%,E5*80%*B20/D20,A144)</f>
        <v>0</v>
      </c>
      <c r="Q144" s="9">
        <f>IF(E7*6&gt;E5*80%,E5*80%*B25/D25,E144)</f>
        <v>0</v>
      </c>
      <c r="R144" s="22">
        <f>IF(E7*6&gt;E5*80%,E5*80%*B30/D30,F144)</f>
        <v>0</v>
      </c>
      <c r="S144" s="9">
        <f>IF(E7*6&gt;E5*80%,E5*80%*B35/D35,G144)</f>
        <v>0</v>
      </c>
      <c r="T144" s="9">
        <f>IF(E7*6&gt;E5*80%,E5*80%*B40/D40,H144)</f>
        <v>0</v>
      </c>
      <c r="U144" s="9">
        <f>IF(E7*6&gt;E5*80%,E5*80%*B45/D45,I144)</f>
        <v>0</v>
      </c>
      <c r="V144" s="9">
        <f>IF(E7*6&gt;E5*80%,E5*80%*B50/D50,J144)</f>
        <v>0</v>
      </c>
      <c r="W144" s="9">
        <f>IF(E7*6&gt;E5*80%,E5*80%*B55/D55,K144)</f>
        <v>0</v>
      </c>
      <c r="X144" s="9">
        <f>IF(E7*6&gt;E5*80%,E5*80%*B60/D60,N144)</f>
        <v>0</v>
      </c>
      <c r="AA144" s="182">
        <f>IF(AND(E22="US",B23&gt;=70,B23&lt;=74),E7*6*B22/D22,0)</f>
        <v>0</v>
      </c>
      <c r="AB144" s="182"/>
      <c r="AC144" s="182"/>
      <c r="AD144" s="182"/>
      <c r="AE144" s="78">
        <f>IF(AND(E27="US",B28&gt;=70,B28&lt;=74),E7*6*B27/D27,0)</f>
        <v>0</v>
      </c>
      <c r="AF144" s="183">
        <f>IF(AND(E32="US",B33&gt;=70,B33&lt;=74),E7*6*B32/D32,0)</f>
        <v>0</v>
      </c>
      <c r="AG144" s="78">
        <f>IF(AND(E37="US",B38&gt;=70,B38&lt;=74),E7*6*B37/D37,0)</f>
        <v>0</v>
      </c>
      <c r="AH144" s="78">
        <f>IF(AND(E42="US",B43&gt;=70,B43&lt;=74),E7*6*B42/D42,0)</f>
        <v>0</v>
      </c>
      <c r="AI144" s="78">
        <f>IF(AND(E47="US",B48&gt;=70,B48&lt;=74),E7*6*B47/D47,0)</f>
        <v>0</v>
      </c>
      <c r="AJ144" s="78">
        <f>IF(AND(E52="US",B53&gt;=70,B53&lt;=74),E7*6*B52/D52,0)</f>
        <v>0</v>
      </c>
      <c r="AK144" s="78">
        <f>IF(AND(E57="US",B58&gt;=70,B58&lt;=74),E7*6*B57/D57,0)</f>
        <v>0</v>
      </c>
      <c r="AL144" s="78"/>
      <c r="AM144" s="78"/>
      <c r="AN144" s="78">
        <f>IF(AND(E62="US",B63&gt;=70,B63&lt;=74),E7*6*B62/D62,0)</f>
        <v>0</v>
      </c>
      <c r="AP144" s="187">
        <f>IF(E7*6&gt;E5*80%,E5*80%*B22/D22,AA144)</f>
        <v>0</v>
      </c>
      <c r="AQ144" s="188">
        <f>IF(E7*6&gt;E5*80%,E5*80%*B27/D27,AE144)</f>
        <v>0</v>
      </c>
      <c r="AR144" s="189">
        <f>IF(E7*6&gt;E5*80%,E5*80%*B32/D32,AF144)</f>
        <v>0</v>
      </c>
      <c r="AS144" s="188">
        <f>IF(E7*6&gt;E5*80%,E5*80%*B37/D37,AG144)</f>
        <v>0</v>
      </c>
      <c r="AT144" s="188">
        <f>IF(E7*6&gt;E5*80%,E5*80%*B42/D42,AH144)</f>
        <v>0</v>
      </c>
      <c r="AU144" s="188">
        <f>IF(E7*6&gt;E5*80%,E5*80%*B47/D47,AI144)</f>
        <v>0</v>
      </c>
      <c r="AV144" s="188">
        <f>IF(E7*6&gt;E5*80%,E5*80%*B52/D52,AJ144)</f>
        <v>0</v>
      </c>
      <c r="AW144" s="188">
        <f>IF(E7*6&gt;E5*80%,E5*80%*B57/D57,AK144)</f>
        <v>0</v>
      </c>
      <c r="AX144" s="188">
        <f>IF(E7*6&gt;E5*80%,E5*80%*B62/D62,AN144)</f>
        <v>0</v>
      </c>
    </row>
    <row r="145" spans="1:50" hidden="1" x14ac:dyDescent="0.2">
      <c r="A145" s="38"/>
      <c r="B145" s="38"/>
      <c r="C145" s="38"/>
      <c r="D145" s="38"/>
      <c r="F145" s="22"/>
      <c r="P145" s="38"/>
      <c r="R145" s="22"/>
      <c r="AA145" s="182"/>
      <c r="AB145" s="182"/>
      <c r="AC145" s="182"/>
      <c r="AD145" s="182"/>
      <c r="AE145" s="78"/>
      <c r="AF145" s="183"/>
      <c r="AG145" s="78"/>
      <c r="AH145" s="78"/>
      <c r="AI145" s="78"/>
      <c r="AJ145" s="78"/>
      <c r="AK145" s="78"/>
      <c r="AL145" s="78"/>
      <c r="AM145" s="78"/>
      <c r="AN145" s="78"/>
      <c r="AP145" s="187"/>
      <c r="AQ145" s="188"/>
      <c r="AR145" s="189"/>
      <c r="AS145" s="188"/>
      <c r="AT145" s="188"/>
      <c r="AU145" s="188"/>
      <c r="AV145" s="188"/>
      <c r="AW145" s="188"/>
      <c r="AX145" s="188"/>
    </row>
    <row r="146" spans="1:50" hidden="1" x14ac:dyDescent="0.2">
      <c r="A146" s="38">
        <f>IF(AND(E20="US",B21&gt;=75,B21&lt;=79),E7*4*B20/D20,0)</f>
        <v>0</v>
      </c>
      <c r="B146" s="38"/>
      <c r="C146" s="38"/>
      <c r="D146" s="38"/>
      <c r="E146" s="9">
        <f>IF(AND(E25="US",B26&gt;=75,B26&lt;=79),E7*4*B25/D25,0)</f>
        <v>0</v>
      </c>
      <c r="F146" s="22">
        <f>IF(AND(E30="US",B31&gt;=75,B31&lt;=79),E7*4*B30/D30,0)</f>
        <v>0</v>
      </c>
      <c r="G146" s="9">
        <f>IF(AND(E35="US",B36&gt;=75,B36&lt;=79),E7*4*B35/D35,0)</f>
        <v>0</v>
      </c>
      <c r="H146" s="9">
        <f>IF(AND(E40="US",B41&gt;=75,B41&lt;=79),E7*4*B40/D40,0)</f>
        <v>0</v>
      </c>
      <c r="I146" s="9">
        <f>IF(AND(E45="US",B46&gt;=75,B46&lt;=79),E7*4*B45/D45,0)</f>
        <v>0</v>
      </c>
      <c r="J146" s="9">
        <f>IF(AND(E50="US",B51&gt;=75,B51&lt;=79),E7*4*B50/D50,0)</f>
        <v>0</v>
      </c>
      <c r="K146" s="9">
        <f>IF(AND(E55="US",B56&gt;=75,B56&lt;=79),E7*4*B55/D55,0)</f>
        <v>0</v>
      </c>
      <c r="N146" s="9">
        <f>IF(AND(E60="US",B61&gt;=75,B61&lt;=79),E7*4*B60/D60,0)</f>
        <v>0</v>
      </c>
      <c r="P146" s="38">
        <f>IF(E7*4&gt;E5*80%,E5*80%*B20/D20,A146)</f>
        <v>0</v>
      </c>
      <c r="Q146" s="9">
        <f>IF(E7*4&gt;E5*80%,E5*80%*B25/D25,E146)</f>
        <v>0</v>
      </c>
      <c r="R146" s="22">
        <f>IF(E7*4&gt;E5*80%,E5*80%*B30/D30,F146)</f>
        <v>0</v>
      </c>
      <c r="S146" s="9">
        <f>IF(E7*4&gt;E5*80%,E5*80%*B35/D35,G146)</f>
        <v>0</v>
      </c>
      <c r="T146" s="9">
        <f>IF(E7*4&gt;E5*80%,E5*80%*B40/D40,H146)</f>
        <v>0</v>
      </c>
      <c r="U146" s="9">
        <f>IF(E7*4&gt;E5*80%,E5*80%*B45/D45,I146)</f>
        <v>0</v>
      </c>
      <c r="V146" s="9">
        <f>IF(E7*4&gt;E5*80%,E5*80%*B50/D50,J146)</f>
        <v>0</v>
      </c>
      <c r="W146" s="9">
        <f>IF(E7*4&gt;E5*80%,E5*80%*B55/D55,K146)</f>
        <v>0</v>
      </c>
      <c r="X146" s="9">
        <f>IF(E7*4&gt;E5*80%,E5*80%*B60/D60,N146)</f>
        <v>0</v>
      </c>
      <c r="AA146" s="182">
        <f>IF(AND(E22="US",B23&gt;=75,B23&lt;=79),E7*4*B22/D22,0)</f>
        <v>0</v>
      </c>
      <c r="AB146" s="182"/>
      <c r="AC146" s="182"/>
      <c r="AD146" s="182"/>
      <c r="AE146" s="78">
        <f>IF(AND(E27="US",B28&gt;=75,B28&lt;=79),E7*4*B27/D27,0)</f>
        <v>0</v>
      </c>
      <c r="AF146" s="183">
        <f>IF(AND(E32="US",B33&gt;=75,B33&lt;=79),E7*4*B32/D32,0)</f>
        <v>0</v>
      </c>
      <c r="AG146" s="78">
        <f>IF(AND(E37="US",B38&gt;=75,B38&lt;=79),E7*4*B37/D37,0)</f>
        <v>0</v>
      </c>
      <c r="AH146" s="78">
        <f>IF(AND(E42="US",B43&gt;=75,B43&lt;=79),E7*4*B42/D42,0)</f>
        <v>0</v>
      </c>
      <c r="AI146" s="78">
        <f>IF(AND(E47="US",B48&gt;=75,B48&lt;=79),E7*4*B47/D47,0)</f>
        <v>0</v>
      </c>
      <c r="AJ146" s="78">
        <f>IF(AND(E52="US",B53&gt;=75,B53&lt;=79),E7*4*B52/D52,0)</f>
        <v>0</v>
      </c>
      <c r="AK146" s="78">
        <f>IF(AND(E57="US",B58&gt;=75,B58&lt;=79),E7*4*B57/D57,0)</f>
        <v>0</v>
      </c>
      <c r="AL146" s="78"/>
      <c r="AM146" s="78"/>
      <c r="AN146" s="78">
        <f>IF(AND(E62="US",B63&gt;=75,B63&lt;=79),E7*4*B62/D62,0)</f>
        <v>0</v>
      </c>
      <c r="AP146" s="187">
        <f>IF(E7*4&gt;E5*80%,E5*80%*B22/D22,AA146)</f>
        <v>0</v>
      </c>
      <c r="AQ146" s="188">
        <f>IF(E7*4&gt;E5*80%,E5*80%*B27/D27,AE146)</f>
        <v>0</v>
      </c>
      <c r="AR146" s="189">
        <f>IF(E7*4&gt;E5*80%,E5*80%*B32/D32,AF146)</f>
        <v>0</v>
      </c>
      <c r="AS146" s="188">
        <f>IF(E7*4&gt;E5*80%,E5*80%*B37/D37,AG146)</f>
        <v>0</v>
      </c>
      <c r="AT146" s="188">
        <f>IF(E7*4&gt;E5*80%,E5*80%*B42/D42,AH146)</f>
        <v>0</v>
      </c>
      <c r="AU146" s="188">
        <f>IF(E7*4&gt;E5*80%,E5*80%*B47/D47,AI146)</f>
        <v>0</v>
      </c>
      <c r="AV146" s="188">
        <f>IF(E7*4&gt;E5*80%,E5*80%*B52/D52,AJ146)</f>
        <v>0</v>
      </c>
      <c r="AW146" s="188">
        <f>IF(E7*4&gt;E5*80%,E5*80%*B57/D57,AK146)</f>
        <v>0</v>
      </c>
      <c r="AX146" s="188">
        <f>IF(E7*4&gt;E5*80%,E5*80%*B62/D62,AN146)</f>
        <v>0</v>
      </c>
    </row>
    <row r="147" spans="1:50" hidden="1" x14ac:dyDescent="0.2">
      <c r="A147" s="38"/>
      <c r="B147" s="38"/>
      <c r="C147" s="38"/>
      <c r="D147" s="38"/>
      <c r="F147" s="22"/>
      <c r="P147" s="38"/>
      <c r="R147" s="22"/>
      <c r="AA147" s="182"/>
      <c r="AB147" s="182"/>
      <c r="AC147" s="182"/>
      <c r="AD147" s="182"/>
      <c r="AE147" s="78"/>
      <c r="AF147" s="183"/>
      <c r="AG147" s="78"/>
      <c r="AH147" s="78"/>
      <c r="AI147" s="78"/>
      <c r="AJ147" s="78"/>
      <c r="AK147" s="78"/>
      <c r="AL147" s="78"/>
      <c r="AM147" s="78"/>
      <c r="AN147" s="78"/>
      <c r="AP147" s="187"/>
      <c r="AQ147" s="188"/>
      <c r="AR147" s="189"/>
      <c r="AS147" s="188"/>
      <c r="AT147" s="188"/>
      <c r="AU147" s="188"/>
      <c r="AV147" s="188"/>
      <c r="AW147" s="188"/>
      <c r="AX147" s="188"/>
    </row>
    <row r="148" spans="1:50" hidden="1" x14ac:dyDescent="0.2">
      <c r="A148" s="38">
        <f>IF(AND(E20="US",B21&gt;=80),E7*2*B20/D20,0)</f>
        <v>0</v>
      </c>
      <c r="B148" s="38"/>
      <c r="C148" s="38"/>
      <c r="D148" s="38"/>
      <c r="E148" s="9">
        <f>IF(AND(E25="US",B26&gt;=80),E7*2*B25/D25,0)</f>
        <v>0</v>
      </c>
      <c r="F148" s="22">
        <f>IF(AND(E30="US",B31&gt;=80),E7*2*B30/D30,0)</f>
        <v>0</v>
      </c>
      <c r="G148" s="9">
        <f>IF(AND(E35="US",B36&gt;=80),E7*2*B35/D35,0)</f>
        <v>0</v>
      </c>
      <c r="H148" s="9">
        <f>IF(AND(E40="US",B41&gt;=80),E7*2*B40/D40,0)</f>
        <v>0</v>
      </c>
      <c r="I148" s="9">
        <f>IF(AND(E45="US",B46&gt;=80),E7*2*B45/D45,0)</f>
        <v>0</v>
      </c>
      <c r="J148" s="9">
        <f>IF(AND(E50="US",B51&gt;=80),E7*2*B50/D50,0)</f>
        <v>0</v>
      </c>
      <c r="K148" s="9">
        <f>IF(AND(E55="US",B56&gt;=80),E7*2*B55/D55,0)</f>
        <v>0</v>
      </c>
      <c r="N148" s="9">
        <f>IF(AND(E60="US",B61&gt;=80),E7*2*B60/D60,0)</f>
        <v>0</v>
      </c>
      <c r="P148" s="38">
        <f>IF(E7*2&gt;E5*80%,E5*80%*B20/D20,A148)</f>
        <v>0</v>
      </c>
      <c r="Q148" s="9">
        <f>IF(E7*2&gt;E5*80%,E5*80%*B25/D25,E148)</f>
        <v>0</v>
      </c>
      <c r="R148" s="22">
        <f>IF(E7*2&gt;E5*80%,E5*80%*B30/D30,F148)</f>
        <v>0</v>
      </c>
      <c r="S148" s="9">
        <f>IF(E7*2&gt;E5*80%,E5*80%*B35/D35,G148)</f>
        <v>0</v>
      </c>
      <c r="T148" s="9">
        <f>IF(E7*2&gt;E5*80%,E5*80%*B40/D40,H148)</f>
        <v>0</v>
      </c>
      <c r="U148" s="9">
        <f>IF(E7*2&gt;E5*80%,E5*80%*B45/D45,I148)</f>
        <v>0</v>
      </c>
      <c r="V148" s="9">
        <f>IF(E7*2&gt;E5*80%,E5*80%*B50/D50,J148)</f>
        <v>0</v>
      </c>
      <c r="W148" s="9">
        <f>IF(E7*2&gt;E5*80%,E5*80%*B55/D55,K148)</f>
        <v>0</v>
      </c>
      <c r="X148" s="9">
        <f>IF(E7*2&gt;E5*80%,E5*80%*B60/D60,N148)</f>
        <v>0</v>
      </c>
      <c r="AA148" s="182">
        <f>IF(AND(E22="US",B23&gt;=80),E7*2*B22/D22,0)</f>
        <v>0</v>
      </c>
      <c r="AB148" s="182"/>
      <c r="AC148" s="182"/>
      <c r="AD148" s="182"/>
      <c r="AE148" s="78">
        <f>IF(AND(E27="US",B28&gt;=80),E7*2*B27/D27,0)</f>
        <v>0</v>
      </c>
      <c r="AF148" s="183">
        <f>IF(AND(E32="US",B33&gt;=80),E7*2*B32/D32,0)</f>
        <v>0</v>
      </c>
      <c r="AG148" s="78">
        <f>IF(AND(E37="US",B38&gt;=80),E7*2*B37/D37,0)</f>
        <v>0</v>
      </c>
      <c r="AH148" s="78">
        <f>IF(AND(E42="US",B43&gt;=80),E7*2*B42/D42,0)</f>
        <v>0</v>
      </c>
      <c r="AI148" s="78">
        <f>IF(AND(E47="US",B48&gt;=80),E7*2*B47/D47,0)</f>
        <v>0</v>
      </c>
      <c r="AJ148" s="78">
        <f>IF(AND(E52="US",B53&gt;=80),E7*2*B52/D52,0)</f>
        <v>0</v>
      </c>
      <c r="AK148" s="78">
        <f>IF(AND(E57="US",B58&gt;=80),E7*2*B57/D57,0)</f>
        <v>0</v>
      </c>
      <c r="AL148" s="78"/>
      <c r="AM148" s="78"/>
      <c r="AN148" s="78">
        <f>IF(AND(E62="US",B63&gt;=80),E7*2*B62/D62,0)</f>
        <v>0</v>
      </c>
      <c r="AP148" s="187">
        <f>IF(E7*2&gt;E5*80%,E5*80%*B22/D22,AA148)</f>
        <v>0</v>
      </c>
      <c r="AQ148" s="188">
        <f>IF(E7*2&gt;E5*80%,E5*80%*B27/D27,AE148)</f>
        <v>0</v>
      </c>
      <c r="AR148" s="189">
        <f>IF(E7*2&gt;E5*80%,E5*80%*B32/D32,AF148)</f>
        <v>0</v>
      </c>
      <c r="AS148" s="188">
        <f>IF(E7*2&gt;E5*80%,E5*80%*B37/D37,AG148)</f>
        <v>0</v>
      </c>
      <c r="AT148" s="188">
        <f>IF(E7*2&gt;E5*80%,E5*80%*B42/D42,AH148)</f>
        <v>0</v>
      </c>
      <c r="AU148" s="188">
        <f>IF(E7*2&gt;E5*80%,E5*80%*B47/D47,AI148)</f>
        <v>0</v>
      </c>
      <c r="AV148" s="188">
        <f>IF(E7*2&gt;E5*80%,E5*80%*B52/D52,AJ148)</f>
        <v>0</v>
      </c>
      <c r="AW148" s="188">
        <f>IF(E7*2&gt;E5*80%,E5*80%*B57/D57,AK148)</f>
        <v>0</v>
      </c>
      <c r="AX148" s="188">
        <f>IF(E7*2&gt;E5*80%,E5*80%*B62/D62,AN148)</f>
        <v>0</v>
      </c>
    </row>
    <row r="149" spans="1:50" ht="13.5" hidden="1" thickBot="1" x14ac:dyDescent="0.25">
      <c r="A149" s="38"/>
      <c r="B149" s="38"/>
      <c r="C149" s="38"/>
      <c r="D149" s="38"/>
      <c r="F149" s="22"/>
      <c r="P149" s="38"/>
      <c r="R149" s="22"/>
      <c r="AA149" s="182"/>
      <c r="AB149" s="182"/>
      <c r="AC149" s="182"/>
      <c r="AD149" s="182"/>
      <c r="AE149" s="78"/>
      <c r="AF149" s="183"/>
      <c r="AG149" s="78"/>
      <c r="AH149" s="78"/>
      <c r="AI149" s="78"/>
      <c r="AJ149" s="78"/>
      <c r="AK149" s="78"/>
      <c r="AL149" s="78"/>
      <c r="AM149" s="78"/>
      <c r="AN149" s="78"/>
      <c r="AP149" s="38"/>
      <c r="AR149" s="22"/>
    </row>
    <row r="150" spans="1:50" ht="13.5" hidden="1" thickBot="1" x14ac:dyDescent="0.25">
      <c r="A150" s="39">
        <f t="shared" ref="A150:I150" si="13">SUM(A128:A148)</f>
        <v>0</v>
      </c>
      <c r="B150" s="39"/>
      <c r="C150" s="39"/>
      <c r="D150" s="39"/>
      <c r="E150" s="40">
        <f t="shared" si="13"/>
        <v>0</v>
      </c>
      <c r="F150" s="41">
        <f t="shared" si="13"/>
        <v>0</v>
      </c>
      <c r="G150" s="40">
        <f t="shared" si="13"/>
        <v>0</v>
      </c>
      <c r="H150" s="40">
        <f t="shared" si="13"/>
        <v>0</v>
      </c>
      <c r="I150" s="40">
        <f t="shared" si="13"/>
        <v>0</v>
      </c>
      <c r="J150" s="40">
        <f>SUM(I128:I148)</f>
        <v>0</v>
      </c>
      <c r="K150" s="40">
        <f>SUM(K128:K148)</f>
        <v>0</v>
      </c>
      <c r="L150" s="40"/>
      <c r="M150" s="40"/>
      <c r="N150" s="40">
        <f>SUM(N128:N148)</f>
        <v>0</v>
      </c>
      <c r="P150" s="38"/>
      <c r="R150" s="22"/>
      <c r="AA150" s="184">
        <f>SUM(AA128:AA148)</f>
        <v>0</v>
      </c>
      <c r="AB150" s="184"/>
      <c r="AC150" s="184"/>
      <c r="AD150" s="184"/>
      <c r="AE150" s="185">
        <f>SUM(AE128:AE148)</f>
        <v>0</v>
      </c>
      <c r="AF150" s="186">
        <f>SUM(AF128:AF148)</f>
        <v>0</v>
      </c>
      <c r="AG150" s="185">
        <f>SUM(AG128:AG148)</f>
        <v>0</v>
      </c>
      <c r="AH150" s="185">
        <f>SUM(AH128:AH148)</f>
        <v>0</v>
      </c>
      <c r="AI150" s="185">
        <f>SUM(AI128:AI148)</f>
        <v>0</v>
      </c>
      <c r="AJ150" s="185">
        <f>SUM(AI128:AI148)</f>
        <v>0</v>
      </c>
      <c r="AK150" s="185">
        <f>SUM(AK128:AK148)</f>
        <v>0</v>
      </c>
      <c r="AL150" s="185"/>
      <c r="AM150" s="185"/>
      <c r="AN150" s="185">
        <f>SUM(AN128:AN148)</f>
        <v>0</v>
      </c>
      <c r="AP150" s="38"/>
      <c r="AR150" s="22"/>
    </row>
    <row r="151" spans="1:50" hidden="1" x14ac:dyDescent="0.2">
      <c r="A151" s="38"/>
      <c r="B151" s="38"/>
      <c r="C151" s="38"/>
      <c r="D151" s="38"/>
      <c r="F151" s="22"/>
      <c r="P151" s="38"/>
      <c r="R151" s="22"/>
      <c r="AA151" s="182"/>
      <c r="AB151" s="182"/>
      <c r="AC151" s="182"/>
      <c r="AD151" s="182"/>
      <c r="AE151" s="78"/>
      <c r="AF151" s="183"/>
      <c r="AG151" s="78"/>
      <c r="AH151" s="78"/>
      <c r="AI151" s="78"/>
      <c r="AJ151" s="78"/>
      <c r="AK151" s="78"/>
      <c r="AL151" s="78"/>
      <c r="AM151" s="78"/>
      <c r="AN151" s="78"/>
      <c r="AP151" s="38"/>
      <c r="AR151" s="22"/>
    </row>
    <row r="152" spans="1:50" hidden="1" x14ac:dyDescent="0.2">
      <c r="A152" s="38">
        <f>SUM(A150:N150)</f>
        <v>0</v>
      </c>
      <c r="B152" s="38"/>
      <c r="C152" s="38"/>
      <c r="D152" s="38"/>
      <c r="F152" s="22"/>
      <c r="P152" s="38"/>
      <c r="R152" s="22"/>
      <c r="AA152" s="182">
        <f>SUM(AA150:AN150)</f>
        <v>0</v>
      </c>
      <c r="AB152" s="38"/>
      <c r="AC152" s="38"/>
      <c r="AD152" s="38"/>
      <c r="AF152" s="22"/>
      <c r="AP152" s="38"/>
      <c r="AR152" s="22"/>
    </row>
    <row r="153" spans="1:50" hidden="1" x14ac:dyDescent="0.2">
      <c r="A153" s="38"/>
      <c r="B153" s="38"/>
      <c r="C153" s="38"/>
      <c r="D153" s="38"/>
      <c r="F153" s="22"/>
    </row>
    <row r="154" spans="1:50" hidden="1" x14ac:dyDescent="0.2">
      <c r="A154" s="38"/>
      <c r="B154" s="38"/>
      <c r="C154" s="38"/>
      <c r="D154" s="38"/>
      <c r="F154" s="22"/>
    </row>
    <row r="155" spans="1:50" hidden="1" x14ac:dyDescent="0.2">
      <c r="F155" s="22"/>
    </row>
    <row r="156" spans="1:50" hidden="1" x14ac:dyDescent="0.2">
      <c r="F156" s="22"/>
    </row>
    <row r="157" spans="1:50" hidden="1" x14ac:dyDescent="0.2">
      <c r="A157" s="9">
        <f>IF(E20="US",P181,0)</f>
        <v>0</v>
      </c>
      <c r="E157" s="9">
        <f>IF(E25="US",Q181,0)</f>
        <v>0</v>
      </c>
      <c r="F157" s="9">
        <f>IF(E30="US",R181,0)</f>
        <v>0</v>
      </c>
      <c r="G157" s="9">
        <f>IF(E35="US",S181,0)</f>
        <v>0</v>
      </c>
      <c r="H157" s="9">
        <f>IF(E40="US",T181,0)</f>
        <v>0</v>
      </c>
      <c r="I157" s="9">
        <f>IF(E45="US",U181,0)</f>
        <v>0</v>
      </c>
      <c r="J157" s="9">
        <f>IF(E50="US",V181,0)</f>
        <v>0</v>
      </c>
      <c r="K157" s="9">
        <f>IF(E55="US",W181,0)</f>
        <v>0</v>
      </c>
      <c r="N157" s="9">
        <f>IF(E60="US",X181,0)</f>
        <v>0</v>
      </c>
      <c r="O157" s="205">
        <f>SUM(A157:N157)</f>
        <v>0</v>
      </c>
      <c r="P157" s="38">
        <f>IF(AND(E20="US",B21&lt;20),P128,0)</f>
        <v>0</v>
      </c>
      <c r="Q157" s="9">
        <f>IF(AND(E25="US",B26&lt;20),Q128,0)</f>
        <v>0</v>
      </c>
      <c r="R157" s="22">
        <f>IF(AND(E30="US",B31&lt;20),R128,0)</f>
        <v>0</v>
      </c>
      <c r="S157" s="9">
        <f>IF(AND(E35="US",B36&lt;20),S128,0)</f>
        <v>0</v>
      </c>
      <c r="T157" s="9">
        <f>IF(AND(E40="US",B41&lt;20),T128,0)</f>
        <v>0</v>
      </c>
      <c r="U157" s="9">
        <f>IF(AND(E45="US",B46&lt;20),U128,0)</f>
        <v>0</v>
      </c>
      <c r="V157" s="9">
        <f>IF(AND(E50="US",B51&lt;20),V128,0)</f>
        <v>0</v>
      </c>
      <c r="W157" s="9">
        <f>IF(AND(E55="US",B56&lt;20),W128,0)</f>
        <v>0</v>
      </c>
      <c r="X157" s="9">
        <f>IF(AND(E60="US",B61&lt;20),X128,0)</f>
        <v>0</v>
      </c>
      <c r="AA157" s="193">
        <f>IF(E22="US",AP181,0)</f>
        <v>0</v>
      </c>
      <c r="AB157" s="193"/>
      <c r="AC157" s="193"/>
      <c r="AD157" s="193"/>
      <c r="AE157" s="193">
        <f>IF(E27="US",AQ181,0)</f>
        <v>0</v>
      </c>
      <c r="AF157" s="193">
        <f>IF(E32="US",AR181,0)</f>
        <v>0</v>
      </c>
      <c r="AG157" s="193">
        <f>IF(E37="US",AS181,0)</f>
        <v>0</v>
      </c>
      <c r="AH157" s="193">
        <f>IF(E42="US",AT181,0)</f>
        <v>0</v>
      </c>
      <c r="AI157" s="193">
        <f>IF(E47="US",AU181,0)</f>
        <v>0</v>
      </c>
      <c r="AJ157" s="193">
        <f>IF(E52="US",AV181,0)</f>
        <v>0</v>
      </c>
      <c r="AK157" s="193">
        <f>IF(E57="US",AW181,0)</f>
        <v>0</v>
      </c>
      <c r="AL157" s="193">
        <f>IF(E62="US",AX181,0)</f>
        <v>0</v>
      </c>
      <c r="AM157" s="206">
        <f>SUM(AA157:AL157)</f>
        <v>0</v>
      </c>
      <c r="AP157" s="111">
        <f>IF(AND(E22="US",B23&lt;20),AP128,0)</f>
        <v>0</v>
      </c>
      <c r="AQ157" s="112">
        <f>IF(AND(E27="US",B28&lt;20),AQ128,0)</f>
        <v>0</v>
      </c>
      <c r="AR157" s="113">
        <f>IF(AND(E32="US",B33&lt;20),AR128,0)</f>
        <v>0</v>
      </c>
      <c r="AS157" s="112">
        <f>IF(AND(E37="US",B38&lt;20),AS128,0)</f>
        <v>0</v>
      </c>
      <c r="AT157" s="112">
        <f>IF(AND(E42="US",B43&lt;20),AT128,0)</f>
        <v>0</v>
      </c>
      <c r="AU157" s="112">
        <f>IF(AND(E47="US",B48&lt;20),AU128,0)</f>
        <v>0</v>
      </c>
      <c r="AV157" s="112">
        <f>IF(AND(E52="US",B53&lt;20),AV128,0)</f>
        <v>0</v>
      </c>
      <c r="AW157" s="112">
        <f>IF(AND(E57="US",B58&lt;20),AW128,0)</f>
        <v>0</v>
      </c>
      <c r="AX157" s="112">
        <f>IF(AND(E62="US",B63&lt;20),AX128,0)</f>
        <v>0</v>
      </c>
    </row>
    <row r="158" spans="1:50" hidden="1" x14ac:dyDescent="0.2">
      <c r="F158" s="22"/>
      <c r="P158" s="38"/>
      <c r="R158" s="22"/>
      <c r="AA158" s="193"/>
      <c r="AB158" s="193"/>
      <c r="AC158" s="193"/>
      <c r="AD158" s="193"/>
      <c r="AE158" s="193"/>
      <c r="AF158" s="194"/>
      <c r="AG158" s="193"/>
      <c r="AH158" s="193"/>
      <c r="AI158" s="193"/>
      <c r="AJ158" s="193"/>
      <c r="AK158" s="193"/>
      <c r="AL158" s="193"/>
      <c r="AP158" s="111"/>
      <c r="AQ158" s="112"/>
      <c r="AR158" s="113"/>
      <c r="AS158" s="112"/>
      <c r="AT158" s="112"/>
      <c r="AU158" s="112"/>
      <c r="AV158" s="112"/>
      <c r="AW158" s="112"/>
      <c r="AX158" s="112"/>
    </row>
    <row r="159" spans="1:50" hidden="1" x14ac:dyDescent="0.2">
      <c r="A159" s="9">
        <f>IF(E20="NP",F270*B20/D20,0)</f>
        <v>0</v>
      </c>
      <c r="E159" s="9">
        <f>IF(E25="NP",F270*B25/D25,0)</f>
        <v>0</v>
      </c>
      <c r="F159" s="22">
        <f>IF(E30="NP",F270*B30/D30,0)</f>
        <v>0</v>
      </c>
      <c r="G159" s="9">
        <f>IF(E35="NP",F270*B35/D35,0)</f>
        <v>0</v>
      </c>
      <c r="H159" s="9">
        <f>IF(E40="NP",F270*B40/D40,0)</f>
        <v>0</v>
      </c>
      <c r="I159" s="9">
        <f>IF(E45="NP",F270*B45/D45,0)</f>
        <v>0</v>
      </c>
      <c r="J159" s="9">
        <f>IF(E50="NP",F270*B50/D50,0)</f>
        <v>0</v>
      </c>
      <c r="K159" s="9">
        <f>IF(E55="NP",F270*B55/D55,0)</f>
        <v>0</v>
      </c>
      <c r="N159" s="9">
        <f>IF(E60="NP",F270*B60/D60,0)</f>
        <v>0</v>
      </c>
      <c r="P159" s="38">
        <f>IF(AND(E20="US",B21&gt;=20,B21&lt;=29),P130,0)</f>
        <v>0</v>
      </c>
      <c r="Q159" s="9">
        <f>IF(AND(E25="US",B26&gt;=20,B26&lt;=29),Q130,0)</f>
        <v>0</v>
      </c>
      <c r="R159" s="22">
        <f>IF(AND(E30="US",B31&gt;=20,B31&lt;=29),R130,0)</f>
        <v>0</v>
      </c>
      <c r="S159" s="9">
        <f>IF(AND(E35="US",B36&gt;=20,B36&lt;=29),S130,0)</f>
        <v>0</v>
      </c>
      <c r="T159" s="9">
        <f>IF(AND(E40="US",B41&gt;=20,B41&lt;=29),T130,0)</f>
        <v>0</v>
      </c>
      <c r="U159" s="9">
        <f>IF(AND(E45="US",B46&gt;=20,B46&lt;=29),U130,0)</f>
        <v>0</v>
      </c>
      <c r="V159" s="9">
        <f>IF(AND(E50="US",B51&gt;=20,B51&lt;=29),V130,0)</f>
        <v>0</v>
      </c>
      <c r="W159" s="9">
        <f>IF(AND(E55="US",B56&gt;=20,B56&lt;=29),W130,0)</f>
        <v>0</v>
      </c>
      <c r="X159" s="9">
        <f>IF(AND(E60="US",B61&gt;=20,B61&lt;=29),X130,0)</f>
        <v>0</v>
      </c>
      <c r="AA159" s="193">
        <f>IF(E22="NP",M270*B22/D22,0)</f>
        <v>0</v>
      </c>
      <c r="AB159" s="193"/>
      <c r="AC159" s="193"/>
      <c r="AD159" s="193"/>
      <c r="AE159" s="193">
        <f>IF(E27="NP",M270*B27/D27,0)</f>
        <v>0</v>
      </c>
      <c r="AF159" s="194">
        <f>IF(E32="NP",M270*B32/D32,0)</f>
        <v>0</v>
      </c>
      <c r="AG159" s="193">
        <f>IF(E37="NP",M270*B37/D37,0)</f>
        <v>0</v>
      </c>
      <c r="AH159" s="193">
        <f>IF(E42="NP",M270*B42/D42,0)</f>
        <v>0</v>
      </c>
      <c r="AI159" s="193">
        <f>IF(E47="NP",M270*B47/D47,0)</f>
        <v>0</v>
      </c>
      <c r="AJ159" s="193">
        <f>IF(E52="NP",M270*B52/D52,0)</f>
        <v>0</v>
      </c>
      <c r="AK159" s="193">
        <f>IF(E57="NP",M270*B57/D57,0)</f>
        <v>0</v>
      </c>
      <c r="AL159" s="193">
        <f>IF(E62="NP",M270*B62/D62,0)</f>
        <v>0</v>
      </c>
      <c r="AP159" s="111">
        <f>IF(AND(E22="US",B23&gt;=20,B23&lt;=29),AP130,0)</f>
        <v>0</v>
      </c>
      <c r="AQ159" s="112">
        <f>IF(AND(E27="US",B28&gt;=20,B28&lt;=29),AQ130,0)</f>
        <v>0</v>
      </c>
      <c r="AR159" s="113">
        <f>IF(AND(E32="US",B33&gt;=20,B33&lt;=29),AR130,0)</f>
        <v>0</v>
      </c>
      <c r="AS159" s="112">
        <f>IF(AND(E37="US",B38&gt;=20,B38&lt;=29),AS130,0)</f>
        <v>0</v>
      </c>
      <c r="AT159" s="112">
        <f>IF(AND(E42="US",B43&gt;=20,B43&lt;=29),AT130,0)</f>
        <v>0</v>
      </c>
      <c r="AU159" s="112">
        <f>IF(AND(E47="US",B48&gt;=20,B48&lt;=29),AU130,0)</f>
        <v>0</v>
      </c>
      <c r="AV159" s="112">
        <f>IF(AND(E52="US",B53&gt;=20,B53&lt;=29),AV130,0)</f>
        <v>0</v>
      </c>
      <c r="AW159" s="112">
        <f>IF(AND(E57="US",B58&gt;=20,B58&lt;=29),AW130,0)</f>
        <v>0</v>
      </c>
      <c r="AX159" s="112">
        <f>IF(AND(E62="US",B63&gt;=20,B63&lt;=29),AX130,0)</f>
        <v>0</v>
      </c>
    </row>
    <row r="160" spans="1:50" hidden="1" x14ac:dyDescent="0.2">
      <c r="F160" s="22"/>
      <c r="P160" s="38"/>
      <c r="R160" s="22"/>
      <c r="AA160" s="193"/>
      <c r="AB160" s="193"/>
      <c r="AC160" s="193"/>
      <c r="AD160" s="193"/>
      <c r="AE160" s="193"/>
      <c r="AF160" s="194"/>
      <c r="AG160" s="193"/>
      <c r="AH160" s="193"/>
      <c r="AI160" s="193"/>
      <c r="AJ160" s="193"/>
      <c r="AK160" s="193"/>
      <c r="AL160" s="193"/>
      <c r="AP160" s="111"/>
      <c r="AQ160" s="112"/>
      <c r="AR160" s="113"/>
      <c r="AS160" s="112"/>
      <c r="AT160" s="112"/>
      <c r="AU160" s="112"/>
      <c r="AV160" s="112"/>
      <c r="AW160" s="112"/>
      <c r="AX160" s="112"/>
    </row>
    <row r="161" spans="1:50" hidden="1" x14ac:dyDescent="0.2">
      <c r="A161" s="9">
        <f>IF(E20="PP",E5*B20/D20,0)</f>
        <v>0</v>
      </c>
      <c r="E161" s="9">
        <f>IF(E25="PP",E5*B25/D25,0)</f>
        <v>0</v>
      </c>
      <c r="F161" s="22">
        <f>IF(E30="PP",E5*B30/D30,0)</f>
        <v>0</v>
      </c>
      <c r="G161" s="9">
        <f>IF(E35="PP",E5*B35/D35,0)</f>
        <v>0</v>
      </c>
      <c r="H161" s="9">
        <f>IF(E40="PP",E5*B40/D40,0)</f>
        <v>0</v>
      </c>
      <c r="I161" s="9">
        <f>IF(E45="PP",E5*B45/D45,0)</f>
        <v>0</v>
      </c>
      <c r="J161" s="9">
        <f>IF(E50="PP",E5*B50/D50,0)</f>
        <v>0</v>
      </c>
      <c r="K161" s="9">
        <f>IF(E55="PP",E5*B55/D55,0)</f>
        <v>0</v>
      </c>
      <c r="N161" s="9">
        <f>IF(E60="PP",E5*B60/D60,0)</f>
        <v>0</v>
      </c>
      <c r="P161" s="38">
        <f>IF(AND(E20="US",B21&gt;=30,B21&lt;=39),P132,0)</f>
        <v>0</v>
      </c>
      <c r="Q161" s="9">
        <f>IF(AND(E25="US",B26&gt;=30,B26&lt;=39),Q132,0)</f>
        <v>0</v>
      </c>
      <c r="R161" s="22">
        <f>IF(AND(E30="US",B31&gt;=30,B31&lt;=39),R132,0)</f>
        <v>0</v>
      </c>
      <c r="S161" s="9">
        <f>IF(AND(E35="US",B36&gt;=30,B36&lt;=39),S132,0)</f>
        <v>0</v>
      </c>
      <c r="T161" s="9">
        <f>IF(AND(E40="US",B41&gt;=30,B41&lt;=39),T132,0)</f>
        <v>0</v>
      </c>
      <c r="U161" s="9">
        <f>IF(AND(E45="US",B46&gt;=30,B46&lt;=39),U132,0)</f>
        <v>0</v>
      </c>
      <c r="V161" s="9">
        <f>IF(AND(E50="US",B51&gt;=30,B51&lt;=39),V132,0)</f>
        <v>0</v>
      </c>
      <c r="W161" s="9">
        <f>IF(AND(E55="US",B56&gt;=30,B56&lt;=39),W132,0)</f>
        <v>0</v>
      </c>
      <c r="X161" s="9">
        <f>IF(AND(E60="US",B61&gt;=30,B61&lt;=39),X132,0)</f>
        <v>0</v>
      </c>
      <c r="AA161" s="193">
        <f>IF(E22="PP",E5*B22/D22,0)</f>
        <v>0</v>
      </c>
      <c r="AB161" s="193"/>
      <c r="AC161" s="193"/>
      <c r="AD161" s="193"/>
      <c r="AE161" s="193">
        <f>IF(E27="PP",E5*B27/D27,0)</f>
        <v>0</v>
      </c>
      <c r="AF161" s="194">
        <f>IF(E32="PP",E5*B32/D32,0)</f>
        <v>0</v>
      </c>
      <c r="AG161" s="193">
        <f>IF(E37="PP",E5*B37/D37,0)</f>
        <v>0</v>
      </c>
      <c r="AH161" s="193">
        <f>IF(E42="PP",E5*B42/D42,0)</f>
        <v>0</v>
      </c>
      <c r="AI161" s="193">
        <f>IF(E47="PP",E5*B47/D47,0)</f>
        <v>0</v>
      </c>
      <c r="AJ161" s="193">
        <f>IF(E52="PP",E5*B52/D52,0)</f>
        <v>0</v>
      </c>
      <c r="AK161" s="193">
        <f>IF(E57="PP",E5*B57/D57,0)</f>
        <v>0</v>
      </c>
      <c r="AL161" s="193">
        <f>IF(E62="PP",E5*B62/D62,0)</f>
        <v>0</v>
      </c>
      <c r="AP161" s="111">
        <f>IF(AND(E22="US",B23&gt;=30,B23&lt;=39),AP132,0)</f>
        <v>0</v>
      </c>
      <c r="AQ161" s="112">
        <f>IF(AND(E27="US",B28&gt;=30,B28&lt;=39),AQ132,0)</f>
        <v>0</v>
      </c>
      <c r="AR161" s="113">
        <f>IF(AND(E32="US",B33&gt;=30,B33&lt;=39),AR132,0)</f>
        <v>0</v>
      </c>
      <c r="AS161" s="112">
        <f>IF(AND(E37="US",B38&gt;=30,B38&lt;=39),AS132,0)</f>
        <v>0</v>
      </c>
      <c r="AT161" s="112">
        <f>IF(AND(E42="US",B43&gt;=30,B43&lt;=39),AT132,0)</f>
        <v>0</v>
      </c>
      <c r="AU161" s="112">
        <f>IF(AND(E47="US",B48&gt;=30,B48&lt;=39),AU132,0)</f>
        <v>0</v>
      </c>
      <c r="AV161" s="112">
        <f>IF(AND(E52="US",B53&gt;=30,B53&lt;=39),AV132,0)</f>
        <v>0</v>
      </c>
      <c r="AW161" s="112">
        <f>IF(AND(E57="US",B58&gt;=30,B58&lt;=39),AW132,0)</f>
        <v>0</v>
      </c>
      <c r="AX161" s="112">
        <f>IF(AND(E62="US",B63&gt;=30,B63&lt;=39),AX132,0)</f>
        <v>0</v>
      </c>
    </row>
    <row r="162" spans="1:50" hidden="1" x14ac:dyDescent="0.2">
      <c r="F162" s="22"/>
      <c r="P162" s="38"/>
      <c r="R162" s="22"/>
      <c r="AA162" s="193"/>
      <c r="AB162" s="193"/>
      <c r="AC162" s="193"/>
      <c r="AD162" s="193"/>
      <c r="AE162" s="193"/>
      <c r="AF162" s="194"/>
      <c r="AG162" s="193"/>
      <c r="AH162" s="193"/>
      <c r="AI162" s="193"/>
      <c r="AJ162" s="193"/>
      <c r="AK162" s="193"/>
      <c r="AL162" s="193"/>
      <c r="AP162" s="111"/>
      <c r="AQ162" s="112"/>
      <c r="AR162" s="113"/>
      <c r="AS162" s="112"/>
      <c r="AT162" s="112"/>
      <c r="AU162" s="112"/>
      <c r="AV162" s="112"/>
      <c r="AW162" s="112"/>
      <c r="AX162" s="112"/>
    </row>
    <row r="163" spans="1:50" hidden="1" x14ac:dyDescent="0.2">
      <c r="A163" s="9">
        <f>IF(E20="USEV",F248*B20/D20,0)</f>
        <v>0</v>
      </c>
      <c r="E163" s="9">
        <f>IF(E25="USEV",F250*B25/D25,0)</f>
        <v>0</v>
      </c>
      <c r="F163" s="22">
        <f>IF(E30="USEV",F252*B30/D30,0)</f>
        <v>0</v>
      </c>
      <c r="G163" s="9">
        <f>IF(E35="USEV",F254*B35/D35,0)</f>
        <v>0</v>
      </c>
      <c r="H163" s="9">
        <f>IF(E40="USEV",F256*B40/D40,0)</f>
        <v>0</v>
      </c>
      <c r="I163" s="9">
        <f>IF(E45="USEV",F258*B45/D45,0)</f>
        <v>0</v>
      </c>
      <c r="J163" s="9">
        <f>IF(E50="USEV",F260*B50/D50,0)</f>
        <v>0</v>
      </c>
      <c r="K163" s="9">
        <f>IF(E55="USEV",F262*B55/D55,0)</f>
        <v>0</v>
      </c>
      <c r="N163" s="9">
        <f>IF(E60="USEV",F264*B60/D60,0)</f>
        <v>0</v>
      </c>
      <c r="O163" s="206">
        <f>SUM(A163:N163)</f>
        <v>0</v>
      </c>
      <c r="P163" s="38"/>
      <c r="R163" s="22"/>
      <c r="AA163" s="193">
        <f>IF(E22="USEV",M248*B22/D22,0)</f>
        <v>0</v>
      </c>
      <c r="AB163" s="193"/>
      <c r="AC163" s="193"/>
      <c r="AD163" s="193"/>
      <c r="AE163" s="193">
        <f>IF(E27="USEV",M250*B27/D27,0)</f>
        <v>0</v>
      </c>
      <c r="AF163" s="194">
        <f>IF(E32="USEV",M252*B32/D32,0)</f>
        <v>0</v>
      </c>
      <c r="AG163" s="193">
        <f>IF(E37="USEV",M254*B37/D37,0)</f>
        <v>0</v>
      </c>
      <c r="AH163" s="193">
        <f>IF(E42="USEV",M256*B42/D42,0)</f>
        <v>0</v>
      </c>
      <c r="AI163" s="193">
        <f>IF(E47="USEV",M258*B47/D47,0)</f>
        <v>0</v>
      </c>
      <c r="AJ163" s="193">
        <f>IF(E52="USEV",M260*B52/D52,0)</f>
        <v>0</v>
      </c>
      <c r="AK163" s="193">
        <f>IF(E57="USEV",M262*B57/D57,0)</f>
        <v>0</v>
      </c>
      <c r="AL163" s="193">
        <f>IF(E62="USEV",M264*B62/D62,0)</f>
        <v>0</v>
      </c>
      <c r="AM163" s="206">
        <f>SUM(AA163:AL163)</f>
        <v>0</v>
      </c>
      <c r="AP163" s="111"/>
      <c r="AQ163" s="112"/>
      <c r="AR163" s="113"/>
      <c r="AS163" s="112"/>
      <c r="AT163" s="112"/>
      <c r="AU163" s="112"/>
      <c r="AV163" s="112"/>
      <c r="AW163" s="112"/>
      <c r="AX163" s="112"/>
    </row>
    <row r="164" spans="1:50" hidden="1" x14ac:dyDescent="0.2">
      <c r="F164" s="22"/>
      <c r="P164" s="38"/>
      <c r="R164" s="22"/>
      <c r="AA164" s="193"/>
      <c r="AB164" s="193"/>
      <c r="AC164" s="193"/>
      <c r="AD164" s="193"/>
      <c r="AE164" s="193"/>
      <c r="AF164" s="194"/>
      <c r="AG164" s="193"/>
      <c r="AH164" s="193"/>
      <c r="AI164" s="193"/>
      <c r="AJ164" s="193"/>
      <c r="AK164" s="193"/>
      <c r="AL164" s="193"/>
      <c r="AP164" s="111"/>
      <c r="AQ164" s="112"/>
      <c r="AR164" s="113"/>
      <c r="AS164" s="112"/>
      <c r="AT164" s="112"/>
      <c r="AU164" s="112"/>
      <c r="AV164" s="112"/>
      <c r="AW164" s="112"/>
      <c r="AX164" s="112"/>
    </row>
    <row r="165" spans="1:50" hidden="1" x14ac:dyDescent="0.2">
      <c r="A165" s="82">
        <f>SUM(A157:A163)</f>
        <v>0</v>
      </c>
      <c r="E165" s="9">
        <f t="shared" ref="E165:K165" si="14">SUM(E157:E163)</f>
        <v>0</v>
      </c>
      <c r="F165" s="9">
        <f t="shared" si="14"/>
        <v>0</v>
      </c>
      <c r="G165" s="9">
        <f t="shared" si="14"/>
        <v>0</v>
      </c>
      <c r="H165" s="9">
        <f t="shared" si="14"/>
        <v>0</v>
      </c>
      <c r="I165" s="9">
        <f t="shared" si="14"/>
        <v>0</v>
      </c>
      <c r="J165" s="9">
        <f t="shared" si="14"/>
        <v>0</v>
      </c>
      <c r="K165" s="9">
        <f t="shared" si="14"/>
        <v>0</v>
      </c>
      <c r="N165" s="9">
        <f>SUM(N157:N163)</f>
        <v>0</v>
      </c>
      <c r="P165" s="38">
        <f>IF(AND(E20="US",B21&gt;=40,B21&lt;=49),P134,0)</f>
        <v>0</v>
      </c>
      <c r="Q165" s="9">
        <f>IF(AND(E25="US",B26&gt;=40,B26&lt;=49),Q134,0)</f>
        <v>0</v>
      </c>
      <c r="R165" s="22">
        <f>IF(AND(E30="US",B31&gt;=40,B31&lt;=49),R134,0)</f>
        <v>0</v>
      </c>
      <c r="S165" s="9">
        <f>IF(AND(E35="US",B36&gt;=40,B36&lt;=49),S134,0)</f>
        <v>0</v>
      </c>
      <c r="T165" s="9">
        <f>IF(AND(E40="US",B41&gt;=40,B41&lt;=49),T134,0)</f>
        <v>0</v>
      </c>
      <c r="U165" s="9">
        <f>IF(AND(E45="US",B46&gt;=40,B46&lt;=49),U134,0)</f>
        <v>0</v>
      </c>
      <c r="V165" s="9">
        <f>IF(AND(E50="US",B51&gt;=40,B51&lt;=49),V134,0)</f>
        <v>0</v>
      </c>
      <c r="W165" s="9">
        <f>IF(AND(E55="US",B56&gt;=40,B56&lt;=49),W134,0)</f>
        <v>0</v>
      </c>
      <c r="X165" s="9">
        <f>IF(AND(E60="US",B61&gt;=40,B61&lt;=49),X134,0)</f>
        <v>0</v>
      </c>
      <c r="AA165" s="193">
        <f>SUM(AA157:AA163)</f>
        <v>0</v>
      </c>
      <c r="AB165" s="193"/>
      <c r="AC165" s="193"/>
      <c r="AD165" s="193"/>
      <c r="AE165" s="193">
        <f t="shared" ref="AE165:AK165" si="15">SUM(AE157:AE163)</f>
        <v>0</v>
      </c>
      <c r="AF165" s="193">
        <f t="shared" si="15"/>
        <v>0</v>
      </c>
      <c r="AG165" s="193">
        <f t="shared" si="15"/>
        <v>0</v>
      </c>
      <c r="AH165" s="193">
        <f t="shared" si="15"/>
        <v>0</v>
      </c>
      <c r="AI165" s="193">
        <f t="shared" si="15"/>
        <v>0</v>
      </c>
      <c r="AJ165" s="193">
        <f t="shared" si="15"/>
        <v>0</v>
      </c>
      <c r="AK165" s="193">
        <f t="shared" si="15"/>
        <v>0</v>
      </c>
      <c r="AL165" s="193">
        <f>SUM(AL157:AL163)</f>
        <v>0</v>
      </c>
      <c r="AP165" s="111">
        <f>IF(AND(E22="US",B23&gt;=40,B23&lt;=49),AP134,0)</f>
        <v>0</v>
      </c>
      <c r="AQ165" s="112">
        <f>IF(AND(E27="US",B28&gt;=40,B28&lt;=49),AQ134,0)</f>
        <v>0</v>
      </c>
      <c r="AR165" s="113">
        <f>IF(AND(E32="US",B33&gt;=40,B33&lt;=49),AR134,0)</f>
        <v>0</v>
      </c>
      <c r="AS165" s="112">
        <f>IF(AND(E37="US",B38&gt;=40,B38&lt;=49),AS134,0)</f>
        <v>0</v>
      </c>
      <c r="AT165" s="112">
        <f>IF(AND(E42="US",B43&gt;=40,B43&lt;=49),AT134,0)</f>
        <v>0</v>
      </c>
      <c r="AU165" s="112">
        <f>IF(AND(E47="US",B48&gt;=40,B48&lt;=49),AU134,0)</f>
        <v>0</v>
      </c>
      <c r="AV165" s="112">
        <f>IF(AND(E52="US",B53&gt;=40,B53&lt;=49),AV134,0)</f>
        <v>0</v>
      </c>
      <c r="AW165" s="112">
        <f>IF(AND(E57="US",B58&gt;=40,B58&lt;=49),AW134,0)</f>
        <v>0</v>
      </c>
      <c r="AX165" s="112">
        <f>IF(AND(E62="US",B63&gt;=40,B63&lt;=49),AX134,0)</f>
        <v>0</v>
      </c>
    </row>
    <row r="166" spans="1:50" hidden="1" x14ac:dyDescent="0.2">
      <c r="F166" s="22"/>
      <c r="P166" s="38"/>
      <c r="R166" s="22"/>
      <c r="AP166" s="111"/>
      <c r="AQ166" s="112"/>
      <c r="AR166" s="113"/>
      <c r="AS166" s="112"/>
      <c r="AT166" s="112"/>
      <c r="AU166" s="112"/>
      <c r="AV166" s="112"/>
      <c r="AW166" s="112"/>
      <c r="AX166" s="112"/>
    </row>
    <row r="167" spans="1:50" ht="13.5" hidden="1" thickBot="1" x14ac:dyDescent="0.25">
      <c r="F167" s="22"/>
      <c r="P167" s="38">
        <f>IF(AND(E20="US",B21&gt;=50,B21&lt;=54),P136,0)</f>
        <v>0</v>
      </c>
      <c r="Q167" s="9">
        <f>IF(AND(E25="US",B26&gt;=50,B26&lt;=54),Q136,0)</f>
        <v>0</v>
      </c>
      <c r="R167" s="22">
        <f>IF(AND(E30="US",B31&gt;=50,B31&lt;=54),R136,0)</f>
        <v>0</v>
      </c>
      <c r="S167" s="9">
        <f>IF(AND(E35="US",B36&gt;=50,B36&lt;=54),S136,0)</f>
        <v>0</v>
      </c>
      <c r="T167" s="9">
        <f>IF(AND(E40="US",B41&gt;=50,B41&lt;=54),T136,0)</f>
        <v>0</v>
      </c>
      <c r="U167" s="9">
        <f>IF(AND(E45="US",B46&gt;=50,B46&lt;=54),U136,0)</f>
        <v>0</v>
      </c>
      <c r="V167" s="9">
        <f>IF(AND(E50="US",B51&gt;=50,B51&lt;=54),V136,0)</f>
        <v>0</v>
      </c>
      <c r="W167" s="9">
        <f>IF(AND(E55="US",B56&gt;=50,B56&lt;=54),W136,0)</f>
        <v>0</v>
      </c>
      <c r="X167" s="9">
        <f>IF(AND(E60="US",B61&gt;=50,B61&lt;=54),X136,0)</f>
        <v>0</v>
      </c>
      <c r="AP167" s="111">
        <f>IF(AND(E22="US",B23&gt;=50,B23&lt;=54),AP136,0)</f>
        <v>0</v>
      </c>
      <c r="AQ167" s="112">
        <f>IF(AND(E27="US",B28&gt;=50,B28&lt;=54),AQ136,0)</f>
        <v>0</v>
      </c>
      <c r="AR167" s="113">
        <f>IF(AND(E32="US",B33&gt;=50,B33&lt;=54),AR136,0)</f>
        <v>0</v>
      </c>
      <c r="AS167" s="112">
        <f>IF(AND(E37="US",B38&gt;=50,B38&lt;=54),AS136,0)</f>
        <v>0</v>
      </c>
      <c r="AT167" s="112">
        <f>IF(AND(E42="US",B43&gt;=50,B43&lt;=54),AT136,0)</f>
        <v>0</v>
      </c>
      <c r="AU167" s="112">
        <f>IF(AND(E47="US",B48&gt;=50,B48&lt;=54),AU136,0)</f>
        <v>0</v>
      </c>
      <c r="AV167" s="112">
        <f>IF(AND(E52="US",B53&gt;=50,B53&lt;=54),AV136,0)</f>
        <v>0</v>
      </c>
      <c r="AW167" s="112">
        <f>IF(AND(E57="US",B58&gt;=50,B58&lt;=54),AW136,0)</f>
        <v>0</v>
      </c>
      <c r="AX167" s="112">
        <f>IF(AND(E62="US",B63&gt;=50,B63&lt;=54),AX136,0)</f>
        <v>0</v>
      </c>
    </row>
    <row r="168" spans="1:50" ht="13.5" hidden="1" thickTop="1" x14ac:dyDescent="0.2">
      <c r="A168" s="42"/>
      <c r="B168" s="42"/>
      <c r="C168" s="42"/>
      <c r="D168" s="42"/>
      <c r="E168" s="43"/>
      <c r="F168" s="44"/>
      <c r="G168" s="43"/>
      <c r="H168" s="43"/>
      <c r="I168" s="45"/>
      <c r="J168" s="46"/>
      <c r="K168" s="45"/>
      <c r="L168" s="45"/>
      <c r="M168" s="45"/>
      <c r="N168" s="47"/>
      <c r="O168" s="48"/>
      <c r="P168" s="38"/>
      <c r="R168" s="22"/>
      <c r="AP168" s="111"/>
      <c r="AQ168" s="112"/>
      <c r="AR168" s="113"/>
      <c r="AS168" s="112"/>
      <c r="AT168" s="112"/>
      <c r="AU168" s="112"/>
      <c r="AV168" s="112"/>
      <c r="AW168" s="112"/>
      <c r="AX168" s="112"/>
    </row>
    <row r="169" spans="1:50" hidden="1" x14ac:dyDescent="0.2">
      <c r="A169" s="29" t="s">
        <v>4</v>
      </c>
      <c r="B169" s="29"/>
      <c r="C169" s="29"/>
      <c r="D169" s="29"/>
      <c r="E169" s="29"/>
      <c r="F169" s="29">
        <f>G20</f>
        <v>0</v>
      </c>
      <c r="G169" s="49"/>
      <c r="H169" s="29"/>
      <c r="I169" s="29"/>
      <c r="J169" s="50"/>
      <c r="K169" s="29"/>
      <c r="L169" s="29"/>
      <c r="M169" s="29">
        <f>IF(AND(I20="oui",F20="ligne directe"),H181,0)</f>
        <v>0</v>
      </c>
      <c r="O169" s="51"/>
      <c r="P169" s="38">
        <f>IF(AND(E20="US",B21&gt;=55,B21&lt;=59),P138,0)</f>
        <v>0</v>
      </c>
      <c r="Q169" s="9">
        <f>IF(AND(E25="US",B26&gt;=55,B26&lt;=59),Q138,0)</f>
        <v>0</v>
      </c>
      <c r="R169" s="22">
        <f>IF(AND(E30="US",B31&gt;=55,B31&lt;=59),R138,0)</f>
        <v>0</v>
      </c>
      <c r="S169" s="9">
        <f>IF(AND(E35="US",B36&gt;=55,B36&lt;=59),S138,0)</f>
        <v>0</v>
      </c>
      <c r="T169" s="9">
        <f>IF(AND(E40="US",B41&gt;=55,B41&lt;=59),T138,0)</f>
        <v>0</v>
      </c>
      <c r="U169" s="9">
        <f>IF(AND(E45="US",B46&gt;=55,B46&lt;=59),U138,0)</f>
        <v>0</v>
      </c>
      <c r="V169" s="9">
        <f>IF(AND(E50="US",B51&gt;=55,B51&lt;=59),V138,0)</f>
        <v>0</v>
      </c>
      <c r="W169" s="9">
        <f>IF(AND(E55="US",B56&gt;=55,B56&lt;=59),W138,0)</f>
        <v>0</v>
      </c>
      <c r="X169" s="9">
        <f>IF(AND(E60="US",B61&gt;=55,B61&lt;=59),X138,0)</f>
        <v>0</v>
      </c>
      <c r="AP169" s="111">
        <f>IF(AND(E22="US",B23&gt;=55,B23&lt;=59),AP138,0)</f>
        <v>0</v>
      </c>
      <c r="AQ169" s="112">
        <f>IF(AND(E27="US",B28&gt;=55,B28&lt;=59),AQ138,0)</f>
        <v>0</v>
      </c>
      <c r="AR169" s="113">
        <f>IF(AND(E32="US",B33&gt;=55,B33&lt;=59),AR138,0)</f>
        <v>0</v>
      </c>
      <c r="AS169" s="112">
        <f>IF(AND(E37="US",B38&gt;=55,B38&lt;=59),AS138,0)</f>
        <v>0</v>
      </c>
      <c r="AT169" s="112">
        <f>IF(AND(E42="US",B43&gt;=55,B43&lt;=59),AT138,0)</f>
        <v>0</v>
      </c>
      <c r="AU169" s="112">
        <f>IF(AND(E47="US",B48&gt;=55,B48&lt;=59),AU138,0)</f>
        <v>0</v>
      </c>
      <c r="AV169" s="112">
        <f>IF(AND(E52="US",B53&gt;=55,B53&lt;=59),AV138,0)</f>
        <v>0</v>
      </c>
      <c r="AW169" s="112">
        <f>IF(AND(E57="US",B58&gt;=55,B58&lt;=59),AW138,0)</f>
        <v>0</v>
      </c>
      <c r="AX169" s="112">
        <f>IF(AND(E62="US",B63&gt;=55,B63&lt;=59),AX138,0)</f>
        <v>0</v>
      </c>
    </row>
    <row r="170" spans="1:50" hidden="1" x14ac:dyDescent="0.2">
      <c r="A170" s="29"/>
      <c r="B170" s="29"/>
      <c r="C170" s="29"/>
      <c r="D170" s="29"/>
      <c r="E170" s="29"/>
      <c r="F170" s="29"/>
      <c r="G170" s="29"/>
      <c r="H170" s="29"/>
      <c r="I170" s="29"/>
      <c r="J170" s="50"/>
      <c r="K170" s="29"/>
      <c r="L170" s="29"/>
      <c r="M170" s="29">
        <f>IF(AND(I20="oui",F20="épou(x)(se)"),H181,0)</f>
        <v>0</v>
      </c>
      <c r="O170" s="51"/>
      <c r="R170" s="22"/>
      <c r="AP170" s="112"/>
      <c r="AQ170" s="112"/>
      <c r="AR170" s="113"/>
      <c r="AS170" s="112"/>
      <c r="AT170" s="112"/>
      <c r="AU170" s="112"/>
      <c r="AV170" s="112"/>
      <c r="AW170" s="112"/>
      <c r="AX170" s="112"/>
    </row>
    <row r="171" spans="1:50" hidden="1" x14ac:dyDescent="0.2">
      <c r="A171" s="52" t="s">
        <v>5</v>
      </c>
      <c r="B171" s="52"/>
      <c r="C171" s="52"/>
      <c r="D171" s="52"/>
      <c r="E171" s="29"/>
      <c r="F171" s="29"/>
      <c r="G171" s="53" t="s">
        <v>6</v>
      </c>
      <c r="H171" s="53" t="s">
        <v>25</v>
      </c>
      <c r="I171" s="29"/>
      <c r="J171" s="50"/>
      <c r="K171" s="29"/>
      <c r="L171" s="29"/>
      <c r="M171" s="29">
        <f>IF(AND(I20="non",F20="ligne directe"),G181,0)</f>
        <v>0</v>
      </c>
      <c r="O171" s="51"/>
      <c r="P171" s="38">
        <f>IF(AND(E20="US",B21&gt;=60,B21&lt;=64),P140,0)</f>
        <v>0</v>
      </c>
      <c r="Q171" s="9">
        <f>IF(AND(E25="US",B26&gt;=60,B26&lt;=64),Q140,0)</f>
        <v>0</v>
      </c>
      <c r="R171" s="22">
        <f>IF(AND(E30="US",B31&gt;=60,B31&lt;=64),R140,0)</f>
        <v>0</v>
      </c>
      <c r="S171" s="9">
        <f>IF(AND(E35="US",B36&gt;=60,B36&lt;=64),S140,0)</f>
        <v>0</v>
      </c>
      <c r="T171" s="9">
        <f>IF(AND(E40="US",B41&gt;=60,B41&lt;=64),T140,0)</f>
        <v>0</v>
      </c>
      <c r="U171" s="9">
        <f>IF(AND(E45="US",B46&gt;=60,B46&lt;=64),U140,0)</f>
        <v>0</v>
      </c>
      <c r="V171" s="9">
        <f>IF(AND(E50="US",B51&gt;=60,B51&lt;=64),V140,0)</f>
        <v>0</v>
      </c>
      <c r="W171" s="9">
        <f>IF(AND(E55="US",B56&gt;=60,B56&lt;=64),W140,0)</f>
        <v>0</v>
      </c>
      <c r="X171" s="9">
        <f>IF(AND(E60="US",B61&gt;=60,B61&lt;=64),X140,0)</f>
        <v>0</v>
      </c>
      <c r="AP171" s="111">
        <f>IF(AND(E22="US",B23&gt;=60,B23&lt;=64),AP140,0)</f>
        <v>0</v>
      </c>
      <c r="AQ171" s="112">
        <f>IF(AND(E27="US",B28&gt;=60,B28&lt;=64),AQ140,0)</f>
        <v>0</v>
      </c>
      <c r="AR171" s="113">
        <f>IF(AND(E32="US",B33&gt;=60,B33&lt;=64),AR140,0)</f>
        <v>0</v>
      </c>
      <c r="AS171" s="112">
        <f>IF(AND(E37="US",B38&gt;=60,B38&lt;=64),AS140,0)</f>
        <v>0</v>
      </c>
      <c r="AT171" s="112">
        <f>IF(AND(E42="US",B43&gt;=60,B43&lt;=64),AT140,0)</f>
        <v>0</v>
      </c>
      <c r="AU171" s="112">
        <f>IF(AND(E47="US",B48&gt;=60,B48&lt;=64),AU140,0)</f>
        <v>0</v>
      </c>
      <c r="AV171" s="112">
        <f>IF(AND(E52="US",B53&gt;=60,B53&lt;=64),AV140,0)</f>
        <v>0</v>
      </c>
      <c r="AW171" s="112">
        <f>IF(AND(E57="US",B58&gt;=60,B58&lt;=64),AW140,0)</f>
        <v>0</v>
      </c>
      <c r="AX171" s="112">
        <f>IF(AND(E62="US",B63&gt;=60,B63&lt;=64),AX140,0)</f>
        <v>0</v>
      </c>
    </row>
    <row r="172" spans="1:50" hidden="1" x14ac:dyDescent="0.2">
      <c r="A172" s="29">
        <v>0</v>
      </c>
      <c r="B172" s="29"/>
      <c r="C172" s="29"/>
      <c r="D172" s="29"/>
      <c r="E172" s="29">
        <v>50000</v>
      </c>
      <c r="F172" s="29">
        <f>IF(AND(F169&gt;A172, F169&lt;=E172),F169,0)</f>
        <v>0</v>
      </c>
      <c r="G172" s="29">
        <f>0+(3/100)*(-A172+F172)</f>
        <v>0</v>
      </c>
      <c r="H172" s="29">
        <f>0+(2/100)*(-A172+F172)</f>
        <v>0</v>
      </c>
      <c r="I172" s="29"/>
      <c r="J172" s="50"/>
      <c r="K172" s="29"/>
      <c r="L172" s="29"/>
      <c r="M172" s="29">
        <f>IF(AND(I20="non",F20="épou(x)(se)"),G181,0)</f>
        <v>0</v>
      </c>
      <c r="O172" s="51"/>
      <c r="P172" s="38"/>
      <c r="R172" s="22"/>
      <c r="AP172" s="111"/>
      <c r="AQ172" s="112"/>
      <c r="AR172" s="113"/>
      <c r="AS172" s="112"/>
      <c r="AT172" s="112"/>
      <c r="AU172" s="112"/>
      <c r="AV172" s="112"/>
      <c r="AW172" s="112"/>
      <c r="AX172" s="112"/>
    </row>
    <row r="173" spans="1:50" hidden="1" x14ac:dyDescent="0.2">
      <c r="A173" s="29">
        <f>E172</f>
        <v>50000</v>
      </c>
      <c r="B173" s="29"/>
      <c r="C173" s="29"/>
      <c r="D173" s="29"/>
      <c r="E173" s="29">
        <v>100000</v>
      </c>
      <c r="F173" s="29">
        <f>IF(AND(F169&gt;A173, F169&lt;=E173),F169,0)</f>
        <v>0</v>
      </c>
      <c r="G173" s="29">
        <f>(50000/100*3)+(8/100)*(-A173+F173)</f>
        <v>-2500</v>
      </c>
      <c r="H173" s="29">
        <f>(50000/100*2)+(5.3/100)*(-A173+F173)</f>
        <v>-1650</v>
      </c>
      <c r="I173" s="29"/>
      <c r="J173" s="50"/>
      <c r="K173" s="29"/>
      <c r="L173" s="29"/>
      <c r="M173" s="29">
        <f>IF(F20="frère/soeur",G192,0)</f>
        <v>0</v>
      </c>
      <c r="O173" s="51"/>
      <c r="P173" s="38">
        <f>IF(AND(E20="US",B21&gt;=65,B21&lt;=69),P142,0)</f>
        <v>0</v>
      </c>
      <c r="Q173" s="9">
        <f>IF(AND(E25="US",B26&gt;=65,B26&lt;=69),Q142,0)</f>
        <v>0</v>
      </c>
      <c r="R173" s="22">
        <f>IF(AND(E30="US",B31&gt;=65,B31&lt;=69),R142,0)</f>
        <v>0</v>
      </c>
      <c r="S173" s="9">
        <f>IF(AND(E35="US",B36&gt;=65,B36&lt;=69),S142,0)</f>
        <v>0</v>
      </c>
      <c r="T173" s="9">
        <f>IF(AND(E40="US",B41&gt;=65,B41&lt;=69),T142,0)</f>
        <v>0</v>
      </c>
      <c r="U173" s="9">
        <f>IF(AND(E45="US",B46&gt;=65,B46&lt;=69),U142,0)</f>
        <v>0</v>
      </c>
      <c r="V173" s="9">
        <f>IF(AND(E50="US",B51&gt;=65,B51&lt;=69),V142,0)</f>
        <v>0</v>
      </c>
      <c r="W173" s="9">
        <f>IF(AND(E55="US",B56&gt;=65,B56&lt;=69),W142,0)</f>
        <v>0</v>
      </c>
      <c r="X173" s="9">
        <f>IF(AND(E60="US",B61&gt;=65,B61&lt;=69),X142,0)</f>
        <v>0</v>
      </c>
      <c r="AP173" s="111">
        <f>IF(AND(E22="US",B23&gt;=65,B23&lt;=69),AP142,0)</f>
        <v>0</v>
      </c>
      <c r="AQ173" s="112">
        <f>IF(AND(E27="US",B28&gt;=65,B28&lt;=69),AQ142,0)</f>
        <v>0</v>
      </c>
      <c r="AR173" s="113">
        <f>IF(AND(E32="US",B33&gt;=65,B33&lt;=69),AR142,0)</f>
        <v>0</v>
      </c>
      <c r="AS173" s="112">
        <f>IF(AND(E37="US",B38&gt;=65,B38&lt;=69),AS142,0)</f>
        <v>0</v>
      </c>
      <c r="AT173" s="112">
        <f>IF(AND(E42="US",B43&gt;=65,B43&lt;=69),AT142,0)</f>
        <v>0</v>
      </c>
      <c r="AU173" s="112">
        <f>IF(AND(E47="US",B48&gt;=65,B48&lt;=69),AU142,0)</f>
        <v>0</v>
      </c>
      <c r="AV173" s="112">
        <f>IF(AND(E52="US",B53&gt;=65,B53&lt;=69),AV142,0)</f>
        <v>0</v>
      </c>
      <c r="AW173" s="112">
        <f>IF(AND(E57="US",B58&gt;=65,B58&lt;=69),AW142,0)</f>
        <v>0</v>
      </c>
      <c r="AX173" s="112">
        <f>IF(AND(E62="US",B63&gt;=65,B63&lt;=69),AX142,0)</f>
        <v>0</v>
      </c>
    </row>
    <row r="174" spans="1:50" hidden="1" x14ac:dyDescent="0.2">
      <c r="A174" s="29">
        <f>E173</f>
        <v>100000</v>
      </c>
      <c r="B174" s="29"/>
      <c r="C174" s="29"/>
      <c r="D174" s="29"/>
      <c r="E174" s="29">
        <v>175000</v>
      </c>
      <c r="F174" s="29">
        <f>IF(AND(F169&gt;A174, F169&lt;=E174),F169,0)</f>
        <v>0</v>
      </c>
      <c r="G174" s="29">
        <f>(50000/100*3)+(50000/100*8)+((9/100)*(-A174+F174))</f>
        <v>-3500</v>
      </c>
      <c r="H174" s="29">
        <f>(50000/100*2)+(50000/100*5.3)+((6/100)*(-A174+F174))</f>
        <v>-2350</v>
      </c>
      <c r="I174" s="29"/>
      <c r="J174" s="50"/>
      <c r="K174" s="29"/>
      <c r="L174" s="29"/>
      <c r="M174" s="29">
        <f>IF(F20="oncle-tante/neveu-nièce",G205,0)</f>
        <v>0</v>
      </c>
      <c r="O174" s="51"/>
      <c r="P174" s="38"/>
      <c r="R174" s="22"/>
      <c r="AP174" s="111"/>
      <c r="AQ174" s="112"/>
      <c r="AR174" s="113"/>
      <c r="AS174" s="112"/>
      <c r="AT174" s="112"/>
      <c r="AU174" s="112"/>
      <c r="AV174" s="112"/>
      <c r="AW174" s="112"/>
      <c r="AX174" s="112"/>
    </row>
    <row r="175" spans="1:50" hidden="1" x14ac:dyDescent="0.2">
      <c r="A175" s="29">
        <f>E174</f>
        <v>175000</v>
      </c>
      <c r="B175" s="29"/>
      <c r="C175" s="29"/>
      <c r="D175" s="29"/>
      <c r="E175" s="29">
        <v>250000</v>
      </c>
      <c r="F175" s="29">
        <f>IF(AND(F169&gt;A175, F169&lt;=E175),F169,0)</f>
        <v>0</v>
      </c>
      <c r="G175" s="29">
        <f>(50000/100*3)+(50000/100*8)+(75000/100*9)+((18/100)*(-A175+F175))</f>
        <v>-19250</v>
      </c>
      <c r="H175" s="29">
        <f>(50000/100*2)+(50000/100*5.3)+(75000/100*6)+((12/100)*(-A175+F175))</f>
        <v>-12850</v>
      </c>
      <c r="I175" s="29"/>
      <c r="J175" s="50"/>
      <c r="K175" s="29"/>
      <c r="L175" s="29"/>
      <c r="M175" s="29">
        <f>IF(F20="étrangers",M205,0)</f>
        <v>0</v>
      </c>
      <c r="O175" s="51"/>
      <c r="P175" s="38">
        <f>IF(AND(E20="US",B21&gt;=70,B21&lt;=74),P144,0)</f>
        <v>0</v>
      </c>
      <c r="Q175" s="9">
        <f>IF(AND(E25="US",B26&gt;=70,B26&lt;=74),Q144,0)</f>
        <v>0</v>
      </c>
      <c r="R175" s="22">
        <f>IF(AND(E30="US",B31&gt;=70,B31&lt;=74),R144,0)</f>
        <v>0</v>
      </c>
      <c r="S175" s="9">
        <f>IF(AND(E35="US",B36&gt;=70,B36&lt;=74),S144,0)</f>
        <v>0</v>
      </c>
      <c r="T175" s="9">
        <f>IF(AND(E40="US",B41&gt;=70,B41&lt;=74),T144,0)</f>
        <v>0</v>
      </c>
      <c r="U175" s="9">
        <f>IF(AND(E45="US",B46&gt;=70,B46&lt;=74),U144,0)</f>
        <v>0</v>
      </c>
      <c r="V175" s="9">
        <f>IF(AND(E50="US",B51&gt;=70,B51&lt;=74),V144,0)</f>
        <v>0</v>
      </c>
      <c r="W175" s="9">
        <f>IF(AND(E55="US",B56&gt;=70,B56&lt;=74),W144,0)</f>
        <v>0</v>
      </c>
      <c r="X175" s="9">
        <f>IF(AND(E60="US",B61&gt;=70,B61&lt;=74),X144,0)</f>
        <v>0</v>
      </c>
      <c r="AP175" s="111">
        <f>IF(AND(E22="US",B23&gt;=70,B23&lt;=74),AP144,0)</f>
        <v>0</v>
      </c>
      <c r="AQ175" s="112">
        <f>IF(AND(E27="US",B28&gt;=70,B28&lt;=74),AQ144,0)</f>
        <v>0</v>
      </c>
      <c r="AR175" s="113">
        <f>IF(AND(E32="US",B33&gt;=70,B33&lt;=74),AR144,0)</f>
        <v>0</v>
      </c>
      <c r="AS175" s="112">
        <f>IF(AND(E37="US",B38&gt;=70,B38&lt;=74),AS144,0)</f>
        <v>0</v>
      </c>
      <c r="AT175" s="112">
        <f>IF(AND(E42="US",B43&gt;=70,B43&lt;=74),AT144,0)</f>
        <v>0</v>
      </c>
      <c r="AU175" s="112">
        <f>IF(AND(E47="US",B48&gt;=70,B48&lt;=74),AU144,0)</f>
        <v>0</v>
      </c>
      <c r="AV175" s="112">
        <f>IF(AND(E52="US",B53&gt;=70,B53&lt;=74),AV144,0)</f>
        <v>0</v>
      </c>
      <c r="AW175" s="112">
        <f>IF(AND(E57="US",B58&gt;=70,B58&lt;=74),AW144,0)</f>
        <v>0</v>
      </c>
      <c r="AX175" s="112">
        <f>IF(AND(E62="US",B63&gt;=70,B63&lt;=74),AX144,0)</f>
        <v>0</v>
      </c>
    </row>
    <row r="176" spans="1:50" hidden="1" x14ac:dyDescent="0.2">
      <c r="A176" s="29">
        <f>E175</f>
        <v>250000</v>
      </c>
      <c r="B176" s="29"/>
      <c r="C176" s="29"/>
      <c r="D176" s="29"/>
      <c r="E176" s="29">
        <v>500000</v>
      </c>
      <c r="F176" s="29">
        <f>IF(AND(F169&gt;A176, F169&lt;=E176),F169,0)</f>
        <v>0</v>
      </c>
      <c r="G176" s="29">
        <f>(50000/100*3)+(50000/100*8)+(75000/100*9)+(75000/100*18)+((24/100)*(-A176+F176))</f>
        <v>-34250</v>
      </c>
      <c r="H176" s="29">
        <f>(50000/100*2)+(50000/100*5.3)+(75000/100*6)+(75000/100*12)+((24/100)*(-A176+F176))</f>
        <v>-42850</v>
      </c>
      <c r="I176" s="29"/>
      <c r="J176" s="29"/>
      <c r="K176" s="29"/>
      <c r="L176" s="29"/>
      <c r="M176" s="29"/>
      <c r="O176" s="51"/>
      <c r="P176" s="38"/>
      <c r="R176" s="22"/>
      <c r="AP176" s="111"/>
      <c r="AQ176" s="112"/>
      <c r="AR176" s="113"/>
      <c r="AS176" s="112"/>
      <c r="AT176" s="112"/>
      <c r="AU176" s="112"/>
      <c r="AV176" s="112"/>
      <c r="AW176" s="112"/>
      <c r="AX176" s="112"/>
    </row>
    <row r="177" spans="1:50" hidden="1" x14ac:dyDescent="0.2">
      <c r="A177" s="29">
        <f>E176</f>
        <v>500000</v>
      </c>
      <c r="B177" s="29"/>
      <c r="C177" s="29"/>
      <c r="D177" s="29"/>
      <c r="E177" s="29">
        <v>999999999</v>
      </c>
      <c r="F177" s="29">
        <f>IF(AND(F169&gt;A177, F169&lt;=E177),F169,0)</f>
        <v>0</v>
      </c>
      <c r="G177" s="29">
        <f>(50000/100*3)+(50000/100*8)+(75000/100*9)+(75000/100*18)+(250000/100*24)+((30/100)*(-A177+F177))</f>
        <v>-64250</v>
      </c>
      <c r="H177" s="29">
        <f>(50000/100*2)+(50000/100*5.3)+(75000/100*6)+(75000/100*12)+(250000/100*24)+((30/100)*(-A177+F177))</f>
        <v>-72850</v>
      </c>
      <c r="I177" s="29"/>
      <c r="J177" s="29"/>
      <c r="K177" s="29"/>
      <c r="L177" s="29"/>
      <c r="M177" s="29">
        <f>SUM(M169:M176)</f>
        <v>0</v>
      </c>
      <c r="O177" s="51"/>
      <c r="P177" s="38">
        <f>IF(AND(E20="US",B21&gt;=75,B21&lt;=79),P146,0)</f>
        <v>0</v>
      </c>
      <c r="Q177" s="9">
        <f>IF(AND(E25="US",B26&gt;=75,B26&lt;=79),Q146,0)</f>
        <v>0</v>
      </c>
      <c r="R177" s="22">
        <f>IF(AND(E30="US",B31&gt;=75,B31&lt;=79),R146,0)</f>
        <v>0</v>
      </c>
      <c r="S177" s="9">
        <f>IF(AND(E35="US",B36&gt;=75,B36&lt;=79),S146,0)</f>
        <v>0</v>
      </c>
      <c r="T177" s="9">
        <f>IF(AND(E40="US",B41&gt;=75,B41&lt;=79),T146,0)</f>
        <v>0</v>
      </c>
      <c r="U177" s="9">
        <f>IF(AND(E45="US",B46&gt;=75,B46&lt;=79),U146,0)</f>
        <v>0</v>
      </c>
      <c r="V177" s="9">
        <f>IF(AND(E50="US",B51&gt;=75,B51&lt;=79),V146,0)</f>
        <v>0</v>
      </c>
      <c r="W177" s="9">
        <f>IF(AND(E55="US",B56&gt;=75,B56&lt;=79),W146,0)</f>
        <v>0</v>
      </c>
      <c r="X177" s="9">
        <f>IF(AND(E60="US",B61&gt;=75,B61&lt;=79),X146,0)</f>
        <v>0</v>
      </c>
      <c r="AP177" s="111">
        <f>IF(AND(E22="US",B23&gt;=75,B23&lt;=79),AP146,0)</f>
        <v>0</v>
      </c>
      <c r="AQ177" s="112">
        <f>IF(AND(E27="US",B28&gt;=75,B28&lt;=79),AQ146,0)</f>
        <v>0</v>
      </c>
      <c r="AR177" s="113">
        <f>IF(AND(E32="US",B33&gt;=75,B33&lt;=79),AR146,0)</f>
        <v>0</v>
      </c>
      <c r="AS177" s="112">
        <f>IF(AND(E37="US",B38&gt;=75,B38&lt;=79),AS146,0)</f>
        <v>0</v>
      </c>
      <c r="AT177" s="112">
        <f>IF(AND(E42="US",B43&gt;=75,B43&lt;=79),AT146,0)</f>
        <v>0</v>
      </c>
      <c r="AU177" s="112">
        <f>IF(AND(E47="US",B48&gt;=75,B48&lt;=79),AU146,0)</f>
        <v>0</v>
      </c>
      <c r="AV177" s="112">
        <f>IF(AND(E52="US",B53&gt;=75,B53&lt;=79),AV146,0)</f>
        <v>0</v>
      </c>
      <c r="AW177" s="112">
        <f>IF(AND(E57="US",B58&gt;=75,B58&lt;=79),AW146,0)</f>
        <v>0</v>
      </c>
      <c r="AX177" s="112">
        <f>IF(AND(E62="US",B63&gt;=75,B63&lt;=79),AX146,0)</f>
        <v>0</v>
      </c>
    </row>
    <row r="178" spans="1:50" hidden="1" x14ac:dyDescent="0.2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O178" s="51"/>
      <c r="P178" s="38"/>
      <c r="R178" s="22"/>
      <c r="AP178" s="111"/>
      <c r="AQ178" s="112"/>
      <c r="AR178" s="113"/>
      <c r="AS178" s="112"/>
      <c r="AT178" s="112"/>
      <c r="AU178" s="112"/>
      <c r="AV178" s="112"/>
      <c r="AW178" s="112"/>
      <c r="AX178" s="112"/>
    </row>
    <row r="179" spans="1:50" hidden="1" x14ac:dyDescent="0.2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O179" s="51"/>
      <c r="P179" s="38">
        <f>IF(AND(E20="US",B21&gt;=80),P148,0)</f>
        <v>0</v>
      </c>
      <c r="Q179" s="9">
        <f>IF(AND(E25="US",B26&gt;=80),Q148,0)</f>
        <v>0</v>
      </c>
      <c r="R179" s="22">
        <f>IF(AND(E30="US",B31&gt;=80),R148,0)</f>
        <v>0</v>
      </c>
      <c r="S179" s="9">
        <f>IF(AND(E35="US",B36&gt;=80),S148,0)</f>
        <v>0</v>
      </c>
      <c r="T179" s="9">
        <f>IF(AND(E40="US",B41&gt;=80),T148,0)</f>
        <v>0</v>
      </c>
      <c r="U179" s="9">
        <f>IF(AND(E45="US",B46&gt;=80),U148,0)</f>
        <v>0</v>
      </c>
      <c r="V179" s="9">
        <f>IF(AND(E50="US",B51&gt;=80),V148,0)</f>
        <v>0</v>
      </c>
      <c r="W179" s="9">
        <f>IF(AND(E55="US",B56&gt;=80),W148,0)</f>
        <v>0</v>
      </c>
      <c r="X179" s="9">
        <f>IF(AND(E60="US",B61&gt;=80),X148,0)</f>
        <v>0</v>
      </c>
      <c r="AP179" s="111">
        <f>IF(AND(E22="US",B23&gt;=80),AP148,0)</f>
        <v>0</v>
      </c>
      <c r="AQ179" s="112">
        <f>IF(AND(E27="US",B28&gt;=80),AQ148,0)</f>
        <v>0</v>
      </c>
      <c r="AR179" s="113">
        <f>IF(AND(E32="US",B33&gt;=80),AR148,0)</f>
        <v>0</v>
      </c>
      <c r="AS179" s="112">
        <f>IF(AND(E37="US",B38&gt;=80),AS148,0)</f>
        <v>0</v>
      </c>
      <c r="AT179" s="112">
        <f>IF(AND(E42="US",B43&gt;=80),AT148,0)</f>
        <v>0</v>
      </c>
      <c r="AU179" s="112">
        <f>IF(AND(E47="US",B48&gt;=80),AU148,0)</f>
        <v>0</v>
      </c>
      <c r="AV179" s="112">
        <f>IF(AND(E52="US",B53&gt;=80),AV148,0)</f>
        <v>0</v>
      </c>
      <c r="AW179" s="112">
        <f>IF(AND(E57="US",B58&gt;=80),AW148,0)</f>
        <v>0</v>
      </c>
      <c r="AX179" s="112">
        <f>IF(AND(E62="US",B63&gt;=80),AX148,0)</f>
        <v>0</v>
      </c>
    </row>
    <row r="180" spans="1:50" ht="13.5" hidden="1" thickBot="1" x14ac:dyDescent="0.2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O180" s="51"/>
      <c r="P180" s="38"/>
      <c r="R180" s="22"/>
      <c r="AP180" s="111"/>
      <c r="AQ180" s="112"/>
      <c r="AR180" s="113"/>
      <c r="AS180" s="112"/>
      <c r="AT180" s="112"/>
      <c r="AU180" s="112"/>
      <c r="AV180" s="112"/>
      <c r="AW180" s="112"/>
      <c r="AX180" s="112"/>
    </row>
    <row r="181" spans="1:50" ht="13.5" hidden="1" thickBot="1" x14ac:dyDescent="0.25">
      <c r="A181" s="54" t="s">
        <v>7</v>
      </c>
      <c r="B181" s="54"/>
      <c r="C181" s="54"/>
      <c r="D181" s="54"/>
      <c r="E181" s="29"/>
      <c r="F181" s="29"/>
      <c r="G181" s="29">
        <f>VLOOKUP(F169,F172:G177,2,FALSE)</f>
        <v>0</v>
      </c>
      <c r="H181" s="29">
        <f>VLOOKUP(F169,F172:H177,3,FALSE)</f>
        <v>0</v>
      </c>
      <c r="I181" s="29"/>
      <c r="J181" s="29"/>
      <c r="K181" s="29"/>
      <c r="L181" s="29"/>
      <c r="M181" s="29"/>
      <c r="O181" s="51"/>
      <c r="P181" s="55">
        <f t="shared" ref="P181:U181" si="16">SUM(P157:P179)</f>
        <v>0</v>
      </c>
      <c r="Q181" s="40">
        <f t="shared" si="16"/>
        <v>0</v>
      </c>
      <c r="R181" s="41">
        <f t="shared" si="16"/>
        <v>0</v>
      </c>
      <c r="S181" s="40">
        <f t="shared" si="16"/>
        <v>0</v>
      </c>
      <c r="T181" s="40">
        <f t="shared" si="16"/>
        <v>0</v>
      </c>
      <c r="U181" s="40">
        <f t="shared" si="16"/>
        <v>0</v>
      </c>
      <c r="V181" s="40">
        <f>SUM(U157:U179)</f>
        <v>0</v>
      </c>
      <c r="W181" s="40">
        <f>SUM(W157:W179)</f>
        <v>0</v>
      </c>
      <c r="X181" s="40">
        <f>SUM(X157:X179)</f>
        <v>0</v>
      </c>
      <c r="AP181" s="190">
        <f t="shared" ref="AP181:AU181" si="17">SUM(AP157:AP179)</f>
        <v>0</v>
      </c>
      <c r="AQ181" s="191">
        <f t="shared" si="17"/>
        <v>0</v>
      </c>
      <c r="AR181" s="192">
        <f t="shared" si="17"/>
        <v>0</v>
      </c>
      <c r="AS181" s="191">
        <f t="shared" si="17"/>
        <v>0</v>
      </c>
      <c r="AT181" s="191">
        <f t="shared" si="17"/>
        <v>0</v>
      </c>
      <c r="AU181" s="191">
        <f t="shared" si="17"/>
        <v>0</v>
      </c>
      <c r="AV181" s="191">
        <f>SUM(AU157:AU179)</f>
        <v>0</v>
      </c>
      <c r="AW181" s="191">
        <f>SUM(AW157:AW179)</f>
        <v>0</v>
      </c>
      <c r="AX181" s="191">
        <f>SUM(AX157:AX179)</f>
        <v>0</v>
      </c>
    </row>
    <row r="182" spans="1:50" hidden="1" x14ac:dyDescent="0.2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O182" s="51"/>
      <c r="P182" s="38"/>
      <c r="R182" s="22"/>
      <c r="AP182" s="111"/>
      <c r="AQ182" s="112"/>
      <c r="AR182" s="113"/>
      <c r="AS182" s="112"/>
      <c r="AT182" s="112"/>
      <c r="AU182" s="112"/>
      <c r="AV182" s="112"/>
      <c r="AW182" s="112"/>
      <c r="AX182" s="112"/>
    </row>
    <row r="183" spans="1:50" hidden="1" x14ac:dyDescent="0.2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O183" s="51"/>
      <c r="P183" s="38">
        <f>SUM(P181:X181)</f>
        <v>0</v>
      </c>
      <c r="R183" s="22"/>
      <c r="AP183" s="111">
        <f>SUM(AP181:AX181)</f>
        <v>0</v>
      </c>
      <c r="AQ183" s="112"/>
      <c r="AR183" s="113"/>
      <c r="AS183" s="112"/>
      <c r="AT183" s="112"/>
      <c r="AU183" s="112"/>
      <c r="AV183" s="112"/>
      <c r="AW183" s="112"/>
      <c r="AX183" s="112"/>
    </row>
    <row r="184" spans="1:50" hidden="1" x14ac:dyDescent="0.2">
      <c r="A184" s="52" t="s">
        <v>8</v>
      </c>
      <c r="B184" s="52"/>
      <c r="C184" s="52"/>
      <c r="D184" s="52"/>
      <c r="E184" s="29"/>
      <c r="F184" s="29"/>
      <c r="G184" s="53" t="s">
        <v>9</v>
      </c>
      <c r="H184" s="53"/>
      <c r="I184" s="42"/>
      <c r="J184" s="42"/>
      <c r="K184" s="42"/>
      <c r="L184" s="42"/>
      <c r="M184" s="42"/>
    </row>
    <row r="185" spans="1:50" hidden="1" x14ac:dyDescent="0.2">
      <c r="A185" s="29">
        <v>0</v>
      </c>
      <c r="B185" s="29"/>
      <c r="C185" s="29"/>
      <c r="D185" s="29"/>
      <c r="E185" s="29">
        <v>12500</v>
      </c>
      <c r="F185" s="29">
        <f>IF(AND(F169&gt;A185, F169&lt;=E185),F169,0)</f>
        <v>0</v>
      </c>
      <c r="G185" s="29">
        <f>0+(20/100)*(-A185+F185)</f>
        <v>0</v>
      </c>
      <c r="H185" s="29"/>
      <c r="I185" s="29"/>
      <c r="J185" s="29"/>
      <c r="K185" s="29"/>
      <c r="L185" s="29"/>
      <c r="M185" s="29"/>
    </row>
    <row r="186" spans="1:50" hidden="1" x14ac:dyDescent="0.2">
      <c r="A186" s="29">
        <f>E185</f>
        <v>12500</v>
      </c>
      <c r="B186" s="29"/>
      <c r="C186" s="29"/>
      <c r="D186" s="29"/>
      <c r="E186" s="29">
        <v>25000</v>
      </c>
      <c r="F186" s="29">
        <f>IF(AND(F169&gt;A186, F169&lt;=E186),F169,0)</f>
        <v>0</v>
      </c>
      <c r="G186" s="29">
        <f>(12500/100*20)+((25/100)*(-A186+F186))</f>
        <v>-625</v>
      </c>
      <c r="H186" s="29"/>
      <c r="I186" s="29"/>
      <c r="J186" s="29"/>
      <c r="K186" s="29"/>
      <c r="L186" s="29"/>
      <c r="M186" s="29"/>
    </row>
    <row r="187" spans="1:50" hidden="1" x14ac:dyDescent="0.2">
      <c r="A187" s="29">
        <f>E186</f>
        <v>25000</v>
      </c>
      <c r="B187" s="29"/>
      <c r="C187" s="29"/>
      <c r="D187" s="29"/>
      <c r="E187" s="29">
        <v>50000</v>
      </c>
      <c r="F187" s="29">
        <f>IF(AND(F169&gt;A187, F169&lt;=E187),F169,0)</f>
        <v>0</v>
      </c>
      <c r="G187" s="29">
        <f>(12500/100*20)+(12500/100*25)+((30/100)*(-A187+F187))</f>
        <v>-1875</v>
      </c>
      <c r="H187" s="29"/>
      <c r="I187" s="29"/>
      <c r="J187" s="29"/>
      <c r="K187" s="29"/>
      <c r="L187" s="29"/>
      <c r="M187" s="29"/>
    </row>
    <row r="188" spans="1:50" hidden="1" x14ac:dyDescent="0.2">
      <c r="A188" s="29">
        <f>E187</f>
        <v>50000</v>
      </c>
      <c r="B188" s="29"/>
      <c r="C188" s="29"/>
      <c r="D188" s="29"/>
      <c r="E188" s="29">
        <v>100000</v>
      </c>
      <c r="F188" s="29">
        <f>IF(AND(F169&gt;A188, F169&lt;=E188),F169,0)</f>
        <v>0</v>
      </c>
      <c r="G188" s="29">
        <f>(12500/100*20)+(12500/100*25)+(25000/100*30)+((40/100)*(-A188+F188))</f>
        <v>-6875</v>
      </c>
      <c r="H188" s="29"/>
      <c r="I188" s="29"/>
      <c r="J188" s="29"/>
      <c r="K188" s="29"/>
      <c r="L188" s="29"/>
      <c r="M188" s="29"/>
    </row>
    <row r="189" spans="1:50" hidden="1" x14ac:dyDescent="0.2">
      <c r="A189" s="29">
        <f>E188</f>
        <v>100000</v>
      </c>
      <c r="B189" s="29"/>
      <c r="C189" s="29"/>
      <c r="D189" s="29"/>
      <c r="E189" s="29">
        <v>175000</v>
      </c>
      <c r="F189" s="29">
        <f>IF(AND(F169&gt;A189, F169&lt;=E189),F169,0)</f>
        <v>0</v>
      </c>
      <c r="G189" s="29">
        <f>(12500/100*20)+(12500/100*25)+(25000/100*30)+(50000/100*40)+((55/100)*(-A189+F189))</f>
        <v>-21875.000000000007</v>
      </c>
      <c r="H189" s="29"/>
      <c r="I189" s="29"/>
      <c r="J189" s="29"/>
      <c r="K189" s="29"/>
      <c r="L189" s="29"/>
      <c r="M189" s="29"/>
    </row>
    <row r="190" spans="1:50" hidden="1" x14ac:dyDescent="0.2">
      <c r="A190" s="29">
        <v>175000</v>
      </c>
      <c r="B190" s="29"/>
      <c r="C190" s="29"/>
      <c r="D190" s="29"/>
      <c r="E190" s="29">
        <v>250000</v>
      </c>
      <c r="F190" s="29">
        <f>IF(AND(F169&gt;A190, F169&lt;=E190),F169,0)</f>
        <v>0</v>
      </c>
      <c r="G190" s="29">
        <f>(12500/100*20)+(12500/100*25)+(25000/100*30)+(50000/100*40)+(75000/100*55)+((60/100)*(-A190+F190))</f>
        <v>-30625</v>
      </c>
      <c r="H190" s="29"/>
      <c r="I190" s="29"/>
      <c r="J190" s="29"/>
      <c r="K190" s="29"/>
      <c r="L190" s="29"/>
      <c r="M190" s="29"/>
      <c r="P190" s="96">
        <f>IF(AND(E20="US",B21&lt;20),P128,0)</f>
        <v>0</v>
      </c>
      <c r="Q190" s="96">
        <f>IF(AND(E25="US",B26&lt;20),Q128,0)</f>
        <v>0</v>
      </c>
      <c r="R190" s="96">
        <f>IF(AND(E30="US",B31&lt;20),R128,0)</f>
        <v>0</v>
      </c>
      <c r="S190" s="96">
        <f>IF(AND(E35="US",B36&lt;20),S128,0)</f>
        <v>0</v>
      </c>
      <c r="T190" s="96">
        <f>IF(AND(E40="US",B41&lt;20),T128,0)</f>
        <v>0</v>
      </c>
      <c r="U190" s="96">
        <f>IF(AND(E45="US",B46&lt;20),U128,0)</f>
        <v>0</v>
      </c>
      <c r="V190" s="96">
        <f>IF(AND(E50="US",B51&lt;20),V128,0)</f>
        <v>0</v>
      </c>
      <c r="W190" s="96">
        <f>IF(AND(E55="US",B56&lt;20),W128,0)</f>
        <v>0</v>
      </c>
      <c r="X190" s="96">
        <f>IF(AND(E60="US",B61&lt;20),X128,0)</f>
        <v>0</v>
      </c>
    </row>
    <row r="191" spans="1:50" hidden="1" x14ac:dyDescent="0.2">
      <c r="A191" s="29">
        <f>E190</f>
        <v>250000</v>
      </c>
      <c r="B191" s="29"/>
      <c r="C191" s="29"/>
      <c r="D191" s="29"/>
      <c r="E191" s="29">
        <v>999999999</v>
      </c>
      <c r="F191" s="29">
        <f>IF(AND(F169&gt;A191, F169&lt;=E191),F169,0)</f>
        <v>0</v>
      </c>
      <c r="G191" s="29">
        <f>(12500/100*20)+(12500/100*25)+(25000/100*30)+(50000/100*40)+(75000/100*55)+(75000/100*60)+((65/100)*(-A191+F191))</f>
        <v>-43125</v>
      </c>
      <c r="H191" s="29"/>
      <c r="I191" s="29"/>
      <c r="J191" s="29"/>
      <c r="K191" s="29"/>
      <c r="L191" s="29"/>
      <c r="M191" s="29"/>
      <c r="P191" s="96"/>
      <c r="Q191" s="96"/>
      <c r="R191" s="96"/>
      <c r="S191" s="96"/>
      <c r="T191" s="96"/>
      <c r="U191" s="96"/>
      <c r="V191" s="96"/>
      <c r="W191" s="96"/>
      <c r="X191" s="96"/>
    </row>
    <row r="192" spans="1:50" hidden="1" x14ac:dyDescent="0.2">
      <c r="A192" s="54" t="s">
        <v>7</v>
      </c>
      <c r="B192" s="54"/>
      <c r="C192" s="54"/>
      <c r="D192" s="54"/>
      <c r="E192" s="29"/>
      <c r="F192" s="29"/>
      <c r="G192" s="29">
        <f>VLOOKUP(F169,F185:G191,2,FALSE)</f>
        <v>0</v>
      </c>
      <c r="H192" s="29"/>
      <c r="I192" s="29"/>
      <c r="J192" s="29"/>
      <c r="K192" s="29"/>
      <c r="L192" s="29"/>
      <c r="M192" s="29"/>
      <c r="P192" s="96">
        <f>IF(AND(E20="US",B21&gt;=20,B21&lt;=29),P130,0)</f>
        <v>0</v>
      </c>
      <c r="Q192" s="96">
        <f>IF(AND(E25="US",B26&gt;=20,B26&lt;=29),Q130,0)</f>
        <v>0</v>
      </c>
      <c r="R192" s="96">
        <f>IF(AND(E30="US",B31&gt;=20,B31&lt;=29),R130,0)</f>
        <v>0</v>
      </c>
      <c r="S192" s="96">
        <f>IF(AND(E35="US",B36&gt;=20,B36&lt;=29),S130,0)</f>
        <v>0</v>
      </c>
      <c r="T192" s="96">
        <f>IF(AND(E40="US",B41&gt;=20,B41&lt;=29),T130,0)</f>
        <v>0</v>
      </c>
      <c r="U192" s="96">
        <f>IF(AND(E45="US",B46&gt;=20,B46&lt;=29),U130,0)</f>
        <v>0</v>
      </c>
      <c r="V192" s="96">
        <f>IF(AND(E50="US",B51&gt;=20,B51&lt;=29),V130,0)</f>
        <v>0</v>
      </c>
      <c r="W192" s="96">
        <f>IF(AND(E55="US",B56&gt;=20,B56&lt;=29),W130,0)</f>
        <v>0</v>
      </c>
      <c r="X192" s="96">
        <f>IF(AND(E60="US",B61&gt;=20,B61&lt;=29),X130,0)</f>
        <v>0</v>
      </c>
    </row>
    <row r="193" spans="1:24" hidden="1" x14ac:dyDescent="0.2">
      <c r="P193" s="96"/>
      <c r="Q193" s="96"/>
      <c r="R193" s="96"/>
      <c r="S193" s="96"/>
      <c r="T193" s="96"/>
      <c r="U193" s="96"/>
      <c r="V193" s="96"/>
      <c r="W193" s="96"/>
      <c r="X193" s="96"/>
    </row>
    <row r="194" spans="1:24" hidden="1" x14ac:dyDescent="0.2">
      <c r="E194" s="29"/>
      <c r="F194" s="29"/>
      <c r="G194" s="29"/>
      <c r="H194" s="32"/>
      <c r="I194" s="29"/>
      <c r="J194" s="33"/>
      <c r="M194" s="33"/>
      <c r="O194" s="33"/>
      <c r="P194" s="96">
        <f>IF(AND(E20="US",B21&gt;=30,B21&lt;=39),P132,0)</f>
        <v>0</v>
      </c>
      <c r="Q194" s="96">
        <f>IF(AND(E25="US",B26&gt;=30,B26&lt;=39),Q132,0)</f>
        <v>0</v>
      </c>
      <c r="R194" s="96">
        <f>IF(AND(E30="US",B31&gt;=30,B31&lt;=39),R132,0)</f>
        <v>0</v>
      </c>
      <c r="S194" s="96">
        <f>IF(AND(E35="US",B36&gt;=30,B36&lt;=39),S132,0)</f>
        <v>0</v>
      </c>
      <c r="T194" s="96">
        <f>IF(AND(E40="US",B41&gt;=30,B41&lt;=39),T132,0)</f>
        <v>0</v>
      </c>
      <c r="U194" s="96">
        <f>IF(AND(E45="US",B46&gt;=30,B46&lt;=39),U132,0)</f>
        <v>0</v>
      </c>
      <c r="V194" s="96">
        <f>IF(AND(E50="US",B51&gt;=30,B51&lt;=39),V132,0)</f>
        <v>0</v>
      </c>
      <c r="W194" s="96">
        <f>IF(AND(E55="US",B56&gt;=30,B56&lt;=39),W132,0)</f>
        <v>0</v>
      </c>
      <c r="X194" s="96">
        <f>IF(AND(E60="US",B61&gt;=30,B61&lt;=39),X132,0)</f>
        <v>0</v>
      </c>
    </row>
    <row r="195" spans="1:24" hidden="1" x14ac:dyDescent="0.2">
      <c r="E195" s="29"/>
      <c r="F195" s="29"/>
      <c r="G195" s="29"/>
      <c r="H195" s="32"/>
      <c r="I195" s="29"/>
      <c r="J195" s="33"/>
      <c r="M195" s="33"/>
      <c r="O195" s="33"/>
      <c r="P195" s="96"/>
      <c r="Q195" s="96"/>
      <c r="R195" s="96"/>
      <c r="S195" s="96"/>
      <c r="T195" s="96"/>
      <c r="U195" s="96"/>
      <c r="V195" s="96"/>
      <c r="W195" s="96"/>
      <c r="X195" s="96"/>
    </row>
    <row r="196" spans="1:24" hidden="1" x14ac:dyDescent="0.2">
      <c r="E196" s="29"/>
      <c r="F196" s="29"/>
      <c r="G196" s="29"/>
      <c r="H196" s="32"/>
      <c r="I196" s="29"/>
      <c r="J196" s="33"/>
      <c r="M196" s="33"/>
      <c r="O196" s="33"/>
      <c r="P196" s="96">
        <f>IF(AND(E20="US",B21&gt;=40,B21&lt;=49),P134,0)</f>
        <v>0</v>
      </c>
      <c r="Q196" s="96">
        <f>IF(AND(E25="US",B26&gt;=40,B26&lt;=49),Q134,0)</f>
        <v>0</v>
      </c>
      <c r="R196" s="96">
        <f>IF(AND(E30="US",B31&gt;=40,B31&lt;=49),R134,0)</f>
        <v>0</v>
      </c>
      <c r="S196" s="96">
        <f>IF(AND(E35="US",B36&gt;=40,B36&lt;=49),S134,0)</f>
        <v>0</v>
      </c>
      <c r="T196" s="96">
        <f>IF(AND(E40="US",B41&gt;=40,B41&lt;=49),T134,0)</f>
        <v>0</v>
      </c>
      <c r="U196" s="96">
        <f>IF(AND(E45="US",B46&gt;=40,B46&lt;=49),U134,0)</f>
        <v>0</v>
      </c>
      <c r="V196" s="96">
        <f>IF(AND(E50="US",B51&gt;=40,B51&lt;=49),V134,0)</f>
        <v>0</v>
      </c>
      <c r="W196" s="96">
        <f>IF(AND(E55="US",B56&gt;=40,B56&lt;=49),W134,0)</f>
        <v>0</v>
      </c>
      <c r="X196" s="96">
        <f>IF(AND(E60="US",B61&gt;=40,B61&lt;=49),X134,0)</f>
        <v>0</v>
      </c>
    </row>
    <row r="197" spans="1:24" hidden="1" x14ac:dyDescent="0.2">
      <c r="A197" s="52" t="s">
        <v>26</v>
      </c>
      <c r="B197" s="52"/>
      <c r="C197" s="52"/>
      <c r="D197" s="52"/>
      <c r="E197" s="29"/>
      <c r="F197" s="29"/>
      <c r="G197" s="53" t="s">
        <v>10</v>
      </c>
      <c r="H197" s="32"/>
      <c r="I197" s="52" t="s">
        <v>27</v>
      </c>
      <c r="J197" s="29"/>
      <c r="K197" s="29"/>
      <c r="L197" s="29"/>
      <c r="M197" s="53" t="s">
        <v>11</v>
      </c>
      <c r="O197" s="33"/>
      <c r="P197" s="96"/>
      <c r="Q197" s="96"/>
      <c r="R197" s="96"/>
      <c r="S197" s="96"/>
      <c r="T197" s="96"/>
      <c r="U197" s="96"/>
      <c r="V197" s="96"/>
      <c r="W197" s="96"/>
      <c r="X197" s="96"/>
    </row>
    <row r="198" spans="1:24" hidden="1" x14ac:dyDescent="0.2">
      <c r="A198" s="29">
        <v>0</v>
      </c>
      <c r="B198" s="29"/>
      <c r="C198" s="29"/>
      <c r="D198" s="29"/>
      <c r="E198" s="29">
        <v>50000</v>
      </c>
      <c r="F198" s="29">
        <f>IF(AND(F169&gt;A198, F169&lt;=E198),F169,0)</f>
        <v>0</v>
      </c>
      <c r="G198" s="29">
        <f>0+(35/100)*(-A198+F198)</f>
        <v>0</v>
      </c>
      <c r="H198" s="32"/>
      <c r="I198" s="29">
        <v>0</v>
      </c>
      <c r="J198" s="29">
        <v>50000</v>
      </c>
      <c r="K198" s="29">
        <f>IF(AND(F169&gt;I198, F169&lt;=J198),F169,0)</f>
        <v>0</v>
      </c>
      <c r="L198" s="29"/>
      <c r="M198" s="29">
        <f>0+(40/100)*(-I198+K198)</f>
        <v>0</v>
      </c>
      <c r="O198" s="33"/>
      <c r="P198" s="96">
        <f>IF(AND(E20="US",B21&gt;=50,B21&lt;=54),P136,0)</f>
        <v>0</v>
      </c>
      <c r="Q198" s="96">
        <f>IF(AND(E25="US",B26&gt;=50,B26&lt;=54),Q136,0)</f>
        <v>0</v>
      </c>
      <c r="R198" s="96">
        <f>IF(AND(E30="US",B31&gt;=50,B31&lt;=54),R136,0)</f>
        <v>0</v>
      </c>
      <c r="S198" s="96">
        <f>IF(AND(E35="US",B36&gt;=50,B36&lt;=54),S136,0)</f>
        <v>0</v>
      </c>
      <c r="T198" s="96">
        <f>IF(AND(E40="US",B41&gt;=50,B41&lt;=54),T136,0)</f>
        <v>0</v>
      </c>
      <c r="U198" s="96">
        <f>IF(AND(E45="US",B46&gt;=50,B46&lt;=54),U136,0)</f>
        <v>0</v>
      </c>
      <c r="V198" s="96">
        <f>IF(AND(E50="US",B51&gt;=50,B51&lt;=54),V136,0)</f>
        <v>0</v>
      </c>
      <c r="W198" s="96">
        <f>IF(AND(E55="US",B56&gt;=50,B56&lt;=54),W136,0)</f>
        <v>0</v>
      </c>
      <c r="X198" s="96">
        <f>IF(AND(E60="US",B61&gt;=50,B61&lt;=54),X136,0)</f>
        <v>0</v>
      </c>
    </row>
    <row r="199" spans="1:24" hidden="1" x14ac:dyDescent="0.2">
      <c r="A199" s="29">
        <f>E198</f>
        <v>50000</v>
      </c>
      <c r="B199" s="29"/>
      <c r="C199" s="29"/>
      <c r="D199" s="29"/>
      <c r="E199" s="29">
        <v>100000</v>
      </c>
      <c r="F199" s="29">
        <f>IF(AND(F169&gt;A199, F169&lt;=E199),F169,0)</f>
        <v>0</v>
      </c>
      <c r="G199" s="29">
        <f>(50000/100*35)+((50/100)*(-A199+F199))</f>
        <v>-7500</v>
      </c>
      <c r="H199" s="32"/>
      <c r="I199" s="29">
        <f>J198</f>
        <v>50000</v>
      </c>
      <c r="J199" s="29">
        <v>75000</v>
      </c>
      <c r="K199" s="29">
        <f>IF(AND(F169&gt;I199, F169&lt;=J199),F169,0)</f>
        <v>0</v>
      </c>
      <c r="L199" s="29"/>
      <c r="M199" s="29">
        <f>(50000/100*40)+((55/100)*(-I199+K199))</f>
        <v>-7500.0000000000036</v>
      </c>
      <c r="O199" s="33"/>
      <c r="P199" s="96"/>
      <c r="Q199" s="96"/>
      <c r="R199" s="96"/>
      <c r="S199" s="96"/>
      <c r="T199" s="96"/>
      <c r="U199" s="96"/>
      <c r="V199" s="96"/>
      <c r="W199" s="96"/>
      <c r="X199" s="96"/>
    </row>
    <row r="200" spans="1:24" hidden="1" x14ac:dyDescent="0.2">
      <c r="A200" s="29">
        <f>E199</f>
        <v>100000</v>
      </c>
      <c r="B200" s="29"/>
      <c r="C200" s="29"/>
      <c r="D200" s="29"/>
      <c r="E200" s="29">
        <v>175000</v>
      </c>
      <c r="F200" s="29">
        <f>IF(AND(F169&gt;A200, F169&lt;=E200),F169,0)</f>
        <v>0</v>
      </c>
      <c r="G200" s="29">
        <f>(50000/100*35)+(50000/100*50)+((60/100)*(-A200+F200))</f>
        <v>-17500</v>
      </c>
      <c r="H200" s="32"/>
      <c r="I200" s="29">
        <f>J199</f>
        <v>75000</v>
      </c>
      <c r="J200" s="29">
        <v>175000</v>
      </c>
      <c r="K200" s="29">
        <f>IF(AND(F169&gt;I200, F169&lt;=J200),F169,0)</f>
        <v>0</v>
      </c>
      <c r="L200" s="29"/>
      <c r="M200" s="29">
        <f>(50000/100*40)+(25000/100*55)+((65/100)*(-I200+K200))</f>
        <v>-15000</v>
      </c>
      <c r="O200" s="33"/>
      <c r="P200" s="96">
        <f>IF(AND(E20="US",B21&gt;=55,B21&lt;=59),P138,0)</f>
        <v>0</v>
      </c>
      <c r="Q200" s="96">
        <f>IF(AND(E25="US",B26&gt;=55,B26&lt;=59),Q138,0)</f>
        <v>0</v>
      </c>
      <c r="R200" s="96">
        <f>IF(AND(E30="US",B31&gt;=55,B31&lt;=59),R138,0)</f>
        <v>0</v>
      </c>
      <c r="S200" s="96">
        <f>IF(AND(E35="US",B36&gt;=55,B36&lt;=59),S138,0)</f>
        <v>0</v>
      </c>
      <c r="T200" s="96">
        <f>IF(AND(E40="US",B41&gt;=55,B41&lt;=59),T138,0)</f>
        <v>0</v>
      </c>
      <c r="U200" s="96">
        <f>IF(AND(E45="US",B46&gt;=55,B46&lt;=59),U138,0)</f>
        <v>0</v>
      </c>
      <c r="V200" s="96">
        <f>IF(AND(E50="US",B51&gt;=55,B51&lt;=59),V138,0)</f>
        <v>0</v>
      </c>
      <c r="W200" s="96">
        <f>IF(AND(E55="US",B56&gt;=55,B56&lt;=59),W138,0)</f>
        <v>0</v>
      </c>
      <c r="X200" s="96">
        <f>IF(AND(E60="US",B61&gt;=55,B61&lt;=59),X138,0)</f>
        <v>0</v>
      </c>
    </row>
    <row r="201" spans="1:24" hidden="1" x14ac:dyDescent="0.2">
      <c r="A201" s="29">
        <f>E200</f>
        <v>175000</v>
      </c>
      <c r="B201" s="29"/>
      <c r="C201" s="29"/>
      <c r="D201" s="29"/>
      <c r="E201" s="29">
        <v>999999999</v>
      </c>
      <c r="F201" s="29">
        <f>IF(AND(F169&gt;A201, F169&lt;=E201),F169,0)</f>
        <v>0</v>
      </c>
      <c r="G201" s="29">
        <f>(50000/100*35)+(50000/100*50)+(75000/100*60)+((70/100)*(-A201+F201))</f>
        <v>-34999.999999999985</v>
      </c>
      <c r="H201" s="32"/>
      <c r="I201" s="29">
        <f>J200</f>
        <v>175000</v>
      </c>
      <c r="J201" s="29">
        <v>999999999</v>
      </c>
      <c r="K201" s="29">
        <f>IF(AND(F169&gt;I201, F169&lt;=J201),F169,0)</f>
        <v>0</v>
      </c>
      <c r="L201" s="29"/>
      <c r="M201" s="29">
        <f>(50000/100*40)+(25000/100*55)+(100000/100*65)+((80/100)*(-I201+K201))</f>
        <v>-41250</v>
      </c>
      <c r="O201" s="33"/>
      <c r="P201" s="96"/>
      <c r="Q201" s="96"/>
      <c r="R201" s="96"/>
      <c r="S201" s="96"/>
      <c r="T201" s="96"/>
      <c r="U201" s="96"/>
      <c r="V201" s="96"/>
      <c r="W201" s="96"/>
      <c r="X201" s="96"/>
    </row>
    <row r="202" spans="1:24" hidden="1" x14ac:dyDescent="0.2">
      <c r="A202" s="29"/>
      <c r="B202" s="29"/>
      <c r="C202" s="29"/>
      <c r="D202" s="29"/>
      <c r="E202" s="29"/>
      <c r="F202" s="29"/>
      <c r="G202" s="29"/>
      <c r="H202" s="32"/>
      <c r="I202" s="29"/>
      <c r="J202" s="29"/>
      <c r="K202" s="29"/>
      <c r="L202" s="29"/>
      <c r="M202" s="29"/>
      <c r="O202" s="33"/>
      <c r="P202" s="96">
        <f>IF(AND(E20="US",B21&gt;=60,B21&lt;=64),P140,0)</f>
        <v>0</v>
      </c>
      <c r="Q202" s="96">
        <f>IF(AND(E25="US",B26&gt;=60,B26&lt;=64),Q140,0)</f>
        <v>0</v>
      </c>
      <c r="R202" s="96">
        <f>IF(AND(E30="US",B31&gt;=60,B31&lt;=64),R140,0)</f>
        <v>0</v>
      </c>
      <c r="S202" s="96">
        <f>IF(AND(E35="US",B36&gt;=60,B36&lt;=64),S140,0)</f>
        <v>0</v>
      </c>
      <c r="T202" s="96">
        <f>IF(AND(E40="US",B41&gt;=60,B41&lt;=64),T140,0)</f>
        <v>0</v>
      </c>
      <c r="U202" s="96">
        <f>IF(AND(E45="US",B46&gt;=60,B46&lt;=64),U140,0)</f>
        <v>0</v>
      </c>
      <c r="V202" s="96">
        <f>IF(AND(E50="US",B51&gt;=60,B51&lt;=64),V140,0)</f>
        <v>0</v>
      </c>
      <c r="W202" s="96">
        <f>IF(AND(E55="US",B56&gt;=60,B56&lt;=64),W140,0)</f>
        <v>0</v>
      </c>
      <c r="X202" s="96">
        <f>IF(AND(E60="US",B61&gt;=60,B61&lt;=64),X140,0)</f>
        <v>0</v>
      </c>
    </row>
    <row r="203" spans="1:24" hidden="1" x14ac:dyDescent="0.2">
      <c r="A203" s="29"/>
      <c r="B203" s="29"/>
      <c r="C203" s="29"/>
      <c r="D203" s="29"/>
      <c r="E203" s="29"/>
      <c r="F203" s="29"/>
      <c r="G203" s="29"/>
      <c r="H203" s="32"/>
      <c r="I203" s="29"/>
      <c r="J203" s="29"/>
      <c r="K203" s="29"/>
      <c r="L203" s="29"/>
      <c r="M203" s="29"/>
      <c r="O203" s="33"/>
      <c r="P203" s="96"/>
      <c r="Q203" s="96"/>
      <c r="R203" s="96"/>
      <c r="S203" s="96"/>
      <c r="T203" s="96"/>
      <c r="U203" s="96"/>
      <c r="V203" s="96"/>
      <c r="W203" s="96"/>
      <c r="X203" s="96"/>
    </row>
    <row r="204" spans="1:24" hidden="1" x14ac:dyDescent="0.2">
      <c r="A204" s="29"/>
      <c r="B204" s="29"/>
      <c r="C204" s="29"/>
      <c r="D204" s="29"/>
      <c r="E204" s="29"/>
      <c r="F204" s="29"/>
      <c r="G204" s="29"/>
      <c r="H204" s="32"/>
      <c r="I204" s="29"/>
      <c r="J204" s="29"/>
      <c r="K204" s="29"/>
      <c r="L204" s="29"/>
      <c r="M204" s="29"/>
      <c r="O204" s="33"/>
      <c r="P204" s="96">
        <f>IF(AND(E20="US",B21&gt;=65,B21&lt;=69),P142,0)</f>
        <v>0</v>
      </c>
      <c r="Q204" s="96">
        <f>IF(AND(E25="US",B26&gt;=65,B26&lt;=69),Q142,0)</f>
        <v>0</v>
      </c>
      <c r="R204" s="96">
        <f>IF(AND(E30="US",B31&gt;=65,B31&lt;=69),R142,0)</f>
        <v>0</v>
      </c>
      <c r="S204" s="96">
        <f>IF(AND(E35="US",B36&gt;=65,B36&lt;=69),S142,0)</f>
        <v>0</v>
      </c>
      <c r="T204" s="96">
        <f>IF(AND(E40="US",B41&gt;=65,B41&lt;=69),T142,0)</f>
        <v>0</v>
      </c>
      <c r="U204" s="96">
        <f>IF(AND(E45="US",B46&gt;=65,B46&lt;=69),U142,0)</f>
        <v>0</v>
      </c>
      <c r="V204" s="96">
        <f>IF(AND(E50="US",B51&gt;=65,B51&lt;=69),V142,0)</f>
        <v>0</v>
      </c>
      <c r="W204" s="96">
        <f>IF(AND(E55="US",B56&gt;=65,B56&lt;=69),W142,0)</f>
        <v>0</v>
      </c>
      <c r="X204" s="96">
        <f>IF(AND(E60="US",B61&gt;=65,B61&lt;=69),X142,0)</f>
        <v>0</v>
      </c>
    </row>
    <row r="205" spans="1:24" hidden="1" x14ac:dyDescent="0.2">
      <c r="A205" s="54" t="s">
        <v>7</v>
      </c>
      <c r="B205" s="54"/>
      <c r="C205" s="54"/>
      <c r="D205" s="54"/>
      <c r="E205" s="29"/>
      <c r="F205" s="29"/>
      <c r="G205" s="29">
        <f>VLOOKUP(F169,F198:G201,2,FALSE)</f>
        <v>0</v>
      </c>
      <c r="H205" s="32"/>
      <c r="I205" s="54" t="s">
        <v>7</v>
      </c>
      <c r="J205" s="29"/>
      <c r="K205" s="29"/>
      <c r="L205" s="29"/>
      <c r="M205" s="29">
        <f>VLOOKUP(F169,K198:M201,3,FALSE)</f>
        <v>0</v>
      </c>
      <c r="O205" s="33"/>
      <c r="P205" s="96"/>
      <c r="Q205" s="96"/>
      <c r="R205" s="96"/>
      <c r="S205" s="96"/>
      <c r="T205" s="96"/>
      <c r="U205" s="96"/>
      <c r="V205" s="96"/>
      <c r="W205" s="96"/>
      <c r="X205" s="96"/>
    </row>
    <row r="206" spans="1:24" hidden="1" x14ac:dyDescent="0.2">
      <c r="H206" s="32"/>
      <c r="O206" s="33"/>
      <c r="P206" s="96">
        <f>IF(AND(E20="US",B21&gt;=70,B21&lt;=74),P144,0)</f>
        <v>0</v>
      </c>
      <c r="Q206" s="96">
        <f>IF(AND(E25="US",B26&gt;=70,B26&lt;=74),Q144,0)</f>
        <v>0</v>
      </c>
      <c r="R206" s="96">
        <f>IF(AND(E30="US",B31&gt;=70,B31&lt;=74),R144,0)</f>
        <v>0</v>
      </c>
      <c r="S206" s="96">
        <f>IF(AND(E35="US",B36&gt;=70,B36&lt;=74),S144,0)</f>
        <v>0</v>
      </c>
      <c r="T206" s="96">
        <f>IF(AND(E40="US",B41&gt;=70,B41&lt;=74),T144,0)</f>
        <v>0</v>
      </c>
      <c r="U206" s="96">
        <f>IF(AND(E45="US",B46&gt;=70,B46&lt;=74),U144,0)</f>
        <v>0</v>
      </c>
      <c r="V206" s="96">
        <f>IF(AND(E50="US",B51&gt;=70,B51&lt;=74),V144,0)</f>
        <v>0</v>
      </c>
      <c r="W206" s="96">
        <f>IF(AND(E55="US",B56&gt;=70,B56&lt;=74),W144,0)</f>
        <v>0</v>
      </c>
      <c r="X206" s="96">
        <f>IF(AND(E60="US",B61&gt;=70,B61&lt;=74),X144,0)</f>
        <v>0</v>
      </c>
    </row>
    <row r="207" spans="1:24" hidden="1" x14ac:dyDescent="0.2">
      <c r="E207" s="29"/>
      <c r="F207" s="29"/>
      <c r="G207" s="29"/>
      <c r="H207" s="32"/>
      <c r="J207" s="29"/>
      <c r="K207" s="29"/>
      <c r="L207" s="29"/>
      <c r="M207" s="29"/>
      <c r="O207" s="33"/>
      <c r="P207" s="96"/>
      <c r="Q207" s="96"/>
      <c r="R207" s="96"/>
      <c r="S207" s="96"/>
      <c r="T207" s="96"/>
      <c r="U207" s="96"/>
      <c r="V207" s="96"/>
      <c r="W207" s="96"/>
      <c r="X207" s="96"/>
    </row>
    <row r="208" spans="1:24" hidden="1" x14ac:dyDescent="0.2">
      <c r="E208" s="29"/>
      <c r="G208" s="29"/>
      <c r="P208" s="96">
        <f>IF(AND(E20="US",B21&gt;=75,B21&lt;=79),P146,0)</f>
        <v>0</v>
      </c>
      <c r="Q208" s="96">
        <f>IF(AND(E25="US",B26&gt;=75,B26&lt;=79),Q146,0)</f>
        <v>0</v>
      </c>
      <c r="R208" s="96">
        <f>IF(AND(E30="US",B31&gt;=75,B31&lt;=79),R146,0)</f>
        <v>0</v>
      </c>
      <c r="S208" s="96">
        <f>IF(AND(E35="US",B36&gt;=75,B36&lt;=79),S146,0)</f>
        <v>0</v>
      </c>
      <c r="T208" s="96">
        <f>IF(AND(E40="US",B41&gt;=75,B41&lt;=79),T146,0)</f>
        <v>0</v>
      </c>
      <c r="U208" s="96">
        <f>IF(AND(E45="US",B46&gt;=75,B46&lt;=79),U146,0)</f>
        <v>0</v>
      </c>
      <c r="V208" s="96">
        <f>IF(AND(E50="US",B51&gt;=75,B51&lt;=79),V146,0)</f>
        <v>0</v>
      </c>
      <c r="W208" s="96">
        <f>IF(AND(E55="US",B56&gt;=75,B56&lt;=79),W146,0)</f>
        <v>0</v>
      </c>
      <c r="X208" s="96">
        <f>IF(AND(E60="US",B61&gt;=75,B61&lt;=79),X146,0)</f>
        <v>0</v>
      </c>
    </row>
    <row r="209" spans="5:24" hidden="1" x14ac:dyDescent="0.2">
      <c r="P209" s="96"/>
      <c r="Q209" s="96"/>
      <c r="R209" s="96"/>
      <c r="S209" s="96"/>
      <c r="T209" s="96"/>
      <c r="U209" s="96"/>
      <c r="V209" s="96"/>
      <c r="W209" s="96"/>
      <c r="X209" s="96"/>
    </row>
    <row r="210" spans="5:24" hidden="1" x14ac:dyDescent="0.2">
      <c r="E210" s="9" t="s">
        <v>84</v>
      </c>
      <c r="F210" s="9" t="s">
        <v>91</v>
      </c>
      <c r="P210" s="96">
        <f>IF(AND(E20="US",B21&gt;=80),P148,0)</f>
        <v>0</v>
      </c>
      <c r="Q210" s="96">
        <f>IF(AND(E25="US",B26&gt;=80),Q148,0)</f>
        <v>0</v>
      </c>
      <c r="R210" s="96">
        <f>IF(AND(E30="US",B31&gt;=80),R148,0)</f>
        <v>0</v>
      </c>
      <c r="S210" s="96">
        <f>IF(AND(E35="US",B36&gt;=80),S148,0)</f>
        <v>0</v>
      </c>
      <c r="T210" s="96">
        <f>IF(AND(E40="US",B41&gt;=80),T148,0)</f>
        <v>0</v>
      </c>
      <c r="U210" s="96">
        <f>IF(AND(E45="US",B46&gt;=80),U148,0)</f>
        <v>0</v>
      </c>
      <c r="V210" s="96">
        <f>IF(AND(E50="US",B51&gt;=80),V148,0)</f>
        <v>0</v>
      </c>
      <c r="W210" s="96">
        <f>IF(AND(E55="US",B56&gt;=80),W148,0)</f>
        <v>0</v>
      </c>
      <c r="X210" s="96">
        <f>IF(AND(E60="US",B61&gt;=80),X148,0)</f>
        <v>0</v>
      </c>
    </row>
    <row r="211" spans="5:24" ht="13.5" hidden="1" thickBot="1" x14ac:dyDescent="0.25">
      <c r="P211" s="96"/>
      <c r="Q211" s="96"/>
      <c r="R211" s="96"/>
      <c r="S211" s="96"/>
      <c r="T211" s="96"/>
      <c r="U211" s="96"/>
      <c r="V211" s="96"/>
      <c r="W211" s="96"/>
      <c r="X211" s="96"/>
    </row>
    <row r="212" spans="5:24" ht="13.5" hidden="1" thickBot="1" x14ac:dyDescent="0.25">
      <c r="E212" s="9" t="s">
        <v>84</v>
      </c>
      <c r="F212" s="9">
        <f>IF(J20=3,M177*12%,0)</f>
        <v>0</v>
      </c>
      <c r="G212" s="9">
        <f>IF(F212&gt;372,372,F212)</f>
        <v>0</v>
      </c>
      <c r="I212" s="9" t="s">
        <v>30</v>
      </c>
      <c r="J212" s="9">
        <f>M177*6%</f>
        <v>0</v>
      </c>
      <c r="K212" s="9">
        <f>IF(J212&gt;186,186,J212)</f>
        <v>0</v>
      </c>
      <c r="L212" s="9">
        <f>IF(J20=3,K212,0)</f>
        <v>0</v>
      </c>
      <c r="P212" s="97">
        <f t="shared" ref="P212:X212" si="18">SUM(P190:P210)</f>
        <v>0</v>
      </c>
      <c r="Q212" s="96">
        <f t="shared" si="18"/>
        <v>0</v>
      </c>
      <c r="R212" s="96">
        <f t="shared" si="18"/>
        <v>0</v>
      </c>
      <c r="S212" s="96">
        <f t="shared" si="18"/>
        <v>0</v>
      </c>
      <c r="T212" s="96">
        <f t="shared" si="18"/>
        <v>0</v>
      </c>
      <c r="U212" s="96">
        <f t="shared" si="18"/>
        <v>0</v>
      </c>
      <c r="V212" s="96">
        <f t="shared" si="18"/>
        <v>0</v>
      </c>
      <c r="W212" s="96">
        <f t="shared" si="18"/>
        <v>0</v>
      </c>
      <c r="X212" s="96">
        <f t="shared" si="18"/>
        <v>0</v>
      </c>
    </row>
    <row r="213" spans="5:24" hidden="1" x14ac:dyDescent="0.2">
      <c r="F213" s="9">
        <f>IF(J20=4,M177*16%,0)</f>
        <v>0</v>
      </c>
      <c r="G213" s="9">
        <f>IF(F213&gt;496,496,F213)</f>
        <v>0</v>
      </c>
      <c r="I213" s="9" t="s">
        <v>31</v>
      </c>
      <c r="J213" s="9">
        <f>M177*8%</f>
        <v>0</v>
      </c>
      <c r="K213" s="9">
        <f>IF(J213&gt;248,248,J213)</f>
        <v>0</v>
      </c>
      <c r="L213" s="9">
        <f>IF(J20=4,K213,0)</f>
        <v>0</v>
      </c>
    </row>
    <row r="214" spans="5:24" hidden="1" x14ac:dyDescent="0.2">
      <c r="F214" s="9">
        <f>IF(J20=5,M177*20%,0)</f>
        <v>0</v>
      </c>
      <c r="G214" s="9">
        <f>IF(F214&gt;620,620,F214)</f>
        <v>0</v>
      </c>
      <c r="J214" s="9">
        <f>M177*10%</f>
        <v>0</v>
      </c>
      <c r="K214" s="9">
        <f>IF(J214&gt;310,310,J214)</f>
        <v>0</v>
      </c>
      <c r="L214" s="9">
        <f>IF(J20=5,K214,0)</f>
        <v>0</v>
      </c>
    </row>
    <row r="215" spans="5:24" hidden="1" x14ac:dyDescent="0.2">
      <c r="F215" s="9">
        <f>IF(J20=6,M177*24%,0)</f>
        <v>0</v>
      </c>
      <c r="G215" s="9">
        <f>IF(F215&gt;744,744,F215)</f>
        <v>0</v>
      </c>
      <c r="J215" s="9">
        <f>M177*12%</f>
        <v>0</v>
      </c>
      <c r="K215" s="9">
        <f>IF(J215&gt;372,372,J215)</f>
        <v>0</v>
      </c>
      <c r="L215" s="9">
        <f>IF(J20=6,K215,0)</f>
        <v>0</v>
      </c>
    </row>
    <row r="216" spans="5:24" hidden="1" x14ac:dyDescent="0.2">
      <c r="F216" s="9">
        <f>IF(J20=7,M177*28%,0)</f>
        <v>0</v>
      </c>
      <c r="G216" s="9">
        <f>IF(F216&gt;868,868,F216)</f>
        <v>0</v>
      </c>
      <c r="J216" s="9">
        <f>M177*14%</f>
        <v>0</v>
      </c>
      <c r="K216" s="9">
        <f>IF(J216&gt;434,434,J216)</f>
        <v>0</v>
      </c>
      <c r="L216" s="9">
        <f>IF(J20=7,K216,0)</f>
        <v>0</v>
      </c>
    </row>
    <row r="217" spans="5:24" hidden="1" x14ac:dyDescent="0.2">
      <c r="F217" s="9">
        <f>IF(J20=8,M177*32%,0)</f>
        <v>0</v>
      </c>
      <c r="G217" s="9">
        <f>IF(F217&gt;992,992,F217)</f>
        <v>0</v>
      </c>
      <c r="J217" s="9">
        <f>M177*16%</f>
        <v>0</v>
      </c>
      <c r="K217" s="9">
        <f>IF(J217&gt;496,496,J217)</f>
        <v>0</v>
      </c>
      <c r="L217" s="9">
        <f>IF(J20=8,K217,0)</f>
        <v>0</v>
      </c>
    </row>
    <row r="218" spans="5:24" hidden="1" x14ac:dyDescent="0.2">
      <c r="F218" s="9">
        <f>IF(J20=9,M177*36%,0)</f>
        <v>0</v>
      </c>
      <c r="G218" s="9">
        <f>IF(F218&gt;1116,1116,F218)</f>
        <v>0</v>
      </c>
      <c r="J218" s="9">
        <f>M177*18%</f>
        <v>0</v>
      </c>
      <c r="K218" s="9">
        <f>IF(J218&gt;558,558,J218)</f>
        <v>0</v>
      </c>
      <c r="L218" s="9">
        <f>IF(J20=9,K218,0)</f>
        <v>0</v>
      </c>
    </row>
    <row r="219" spans="5:24" hidden="1" x14ac:dyDescent="0.2">
      <c r="F219" s="9">
        <f>IF(J20=10,M177*40%,0)</f>
        <v>0</v>
      </c>
      <c r="G219" s="9">
        <f>IF(F219&gt;1240,1240,F219)</f>
        <v>0</v>
      </c>
      <c r="J219" s="9">
        <f>M177*20%</f>
        <v>0</v>
      </c>
      <c r="K219" s="9">
        <f>IF(J219&gt;620,620,J219)</f>
        <v>0</v>
      </c>
      <c r="L219" s="9">
        <f>IF(J20=10,K219,0)</f>
        <v>0</v>
      </c>
    </row>
    <row r="220" spans="5:24" hidden="1" x14ac:dyDescent="0.2"/>
    <row r="221" spans="5:24" hidden="1" x14ac:dyDescent="0.2">
      <c r="G221" s="9">
        <f>SUM(G212:G220)</f>
        <v>0</v>
      </c>
      <c r="L221" s="9">
        <f>SUM(L212:L220)</f>
        <v>0</v>
      </c>
    </row>
    <row r="222" spans="5:24" hidden="1" x14ac:dyDescent="0.2">
      <c r="G222" s="22"/>
    </row>
    <row r="223" spans="5:24" hidden="1" x14ac:dyDescent="0.2">
      <c r="G223" s="22"/>
    </row>
    <row r="224" spans="5:24" hidden="1" x14ac:dyDescent="0.2">
      <c r="G224" s="22"/>
    </row>
    <row r="225" spans="1:14" hidden="1" x14ac:dyDescent="0.2">
      <c r="E225" s="9" t="s">
        <v>32</v>
      </c>
      <c r="F225" s="23">
        <f>M177-G221</f>
        <v>0</v>
      </c>
      <c r="G225" s="22"/>
      <c r="H225" s="9" t="s">
        <v>33</v>
      </c>
      <c r="I225" s="56">
        <f>M177-L221</f>
        <v>0</v>
      </c>
    </row>
    <row r="226" spans="1:14" hidden="1" x14ac:dyDescent="0.2">
      <c r="E226" s="29"/>
      <c r="G226" s="29"/>
    </row>
    <row r="227" spans="1:14" hidden="1" x14ac:dyDescent="0.2">
      <c r="E227" s="29"/>
      <c r="G227" s="29"/>
    </row>
    <row r="228" spans="1:14" hidden="1" x14ac:dyDescent="0.2">
      <c r="F228" s="29"/>
      <c r="H228" s="99" t="s">
        <v>46</v>
      </c>
      <c r="I228" s="82"/>
      <c r="J228" s="82"/>
    </row>
    <row r="229" spans="1:14" hidden="1" x14ac:dyDescent="0.2">
      <c r="A229" s="91" t="s">
        <v>35</v>
      </c>
      <c r="B229" s="87"/>
      <c r="C229" s="87"/>
      <c r="D229" s="87"/>
      <c r="E229" s="89">
        <f t="shared" ref="E229:E239" si="19">IF(AND(G229&gt;0,F229&gt;0,G229&gt;=F229),F229,G229)</f>
        <v>0</v>
      </c>
      <c r="F229" s="88">
        <f>IF(AND(E9="oui",E7*18&gt;E5*80%),E5*80%*F13,G229)</f>
        <v>0</v>
      </c>
      <c r="G229" s="89">
        <f>IF(AND(E9="oui",F11&lt;20),E7*18*F13,0)</f>
        <v>0</v>
      </c>
      <c r="H229" s="29">
        <f>IF(AND(E9="oui",E7*18&gt;E5*80%),E5*80%,I229)</f>
        <v>0</v>
      </c>
      <c r="I229" s="29">
        <f>IF(AND(E9="oui",F11&lt;20),E7*18,0)</f>
        <v>0</v>
      </c>
      <c r="J229" s="89">
        <f t="shared" ref="J229:J239" si="20">IF(AND(I229&gt;0,H229&gt;0,I229&gt;=H229),H229,I229)</f>
        <v>0</v>
      </c>
      <c r="K229" s="50"/>
      <c r="L229" s="53"/>
      <c r="M229" s="53"/>
      <c r="N229" s="53"/>
    </row>
    <row r="230" spans="1:14" hidden="1" x14ac:dyDescent="0.2">
      <c r="A230" s="87"/>
      <c r="B230" s="87"/>
      <c r="C230" s="87"/>
      <c r="D230" s="87"/>
      <c r="E230" s="89">
        <f t="shared" si="19"/>
        <v>0</v>
      </c>
      <c r="F230" s="88">
        <f>IF(AND(E9="oui",E7*17&gt;E5*80%),E5*80%*F13,G230)</f>
        <v>0</v>
      </c>
      <c r="G230" s="88">
        <f>IF(AND(E9="oui",F11&gt;=20,F11&lt;=29),E7*17*F13,0)</f>
        <v>0</v>
      </c>
      <c r="H230" s="49">
        <f>IF(AND(E9="oui",E7*17&gt;E5*80%),E5*80%,I230)</f>
        <v>0</v>
      </c>
      <c r="I230" s="29">
        <f>IF(AND(E9="oui",F11&gt;=20,F11&lt;=29),E7*17,0)</f>
        <v>0</v>
      </c>
      <c r="J230" s="89">
        <f t="shared" si="20"/>
        <v>0</v>
      </c>
      <c r="K230" s="50"/>
      <c r="L230" s="29"/>
      <c r="M230" s="29"/>
      <c r="N230" s="29"/>
    </row>
    <row r="231" spans="1:14" hidden="1" x14ac:dyDescent="0.2">
      <c r="A231" s="87"/>
      <c r="B231" s="87"/>
      <c r="C231" s="87"/>
      <c r="D231" s="87"/>
      <c r="E231" s="89">
        <f t="shared" si="19"/>
        <v>0</v>
      </c>
      <c r="F231" s="88">
        <f>IF(AND(E9="oui",E7*16&gt;E5*80%),E5*80%*F13,G231)</f>
        <v>0</v>
      </c>
      <c r="G231" s="88">
        <f>IF(AND(E9="oui",F11&gt;=30,F11&lt;=39),E7*16*F13,0)</f>
        <v>0</v>
      </c>
      <c r="H231" s="29">
        <f>IF(AND(E9="oui",E7*16&gt;E5*80%),E5*80%,I231)</f>
        <v>0</v>
      </c>
      <c r="I231" s="29">
        <f>IF(AND(E9="oui",F11&gt;=30,F11&lt;=39),E7*16,0)</f>
        <v>0</v>
      </c>
      <c r="J231" s="89">
        <f t="shared" si="20"/>
        <v>0</v>
      </c>
      <c r="K231" s="50"/>
      <c r="L231" s="29"/>
      <c r="M231" s="29"/>
      <c r="N231" s="29"/>
    </row>
    <row r="232" spans="1:14" hidden="1" x14ac:dyDescent="0.2">
      <c r="A232" s="87"/>
      <c r="B232" s="87"/>
      <c r="C232" s="87"/>
      <c r="D232" s="87"/>
      <c r="E232" s="89">
        <f t="shared" si="19"/>
        <v>0</v>
      </c>
      <c r="F232" s="88">
        <f>IF(AND(E9="oui",E7*14&gt;E5*80%),E5*80%*F13,G232)</f>
        <v>0</v>
      </c>
      <c r="G232" s="88">
        <f>IF(AND(E9="oui",F11&gt;=40,F11&lt;=49),E7*14*F13,0)</f>
        <v>0</v>
      </c>
      <c r="H232" s="98">
        <f>IF(AND(E9="oui",E7*14&gt;E5*80%),E5*80%,I232)</f>
        <v>0</v>
      </c>
      <c r="I232" s="98">
        <f>IF(AND(E9="oui",F11&gt;=40,F11&lt;=49),E7*14,0)</f>
        <v>0</v>
      </c>
      <c r="J232" s="89">
        <f t="shared" si="20"/>
        <v>0</v>
      </c>
      <c r="K232" s="50"/>
      <c r="L232" s="29"/>
      <c r="M232" s="29"/>
      <c r="N232" s="29"/>
    </row>
    <row r="233" spans="1:14" hidden="1" x14ac:dyDescent="0.2">
      <c r="A233" s="87"/>
      <c r="B233" s="87"/>
      <c r="C233" s="87"/>
      <c r="D233" s="87"/>
      <c r="E233" s="89">
        <f t="shared" si="19"/>
        <v>0</v>
      </c>
      <c r="F233" s="88">
        <f>IF(AND(E9="oui",E7*13&gt;E5*80%),E5*80%*F13,G233)</f>
        <v>0</v>
      </c>
      <c r="G233" s="88">
        <f>IF(AND(E9="oui",F11&gt;=50,F11&lt;=54),E7*13*F13,0)</f>
        <v>0</v>
      </c>
      <c r="H233" s="29">
        <f>IF(AND(E9="oui",E7*13&gt;E5*80%),E5*80%,I233)</f>
        <v>0</v>
      </c>
      <c r="I233" s="29">
        <f>IF(AND(E9="oui",F11&gt;=50,F11&lt;=54),E7*13,0)</f>
        <v>0</v>
      </c>
      <c r="J233" s="89">
        <f t="shared" si="20"/>
        <v>0</v>
      </c>
      <c r="K233" s="50"/>
      <c r="L233" s="29"/>
      <c r="M233" s="29"/>
      <c r="N233" s="29"/>
    </row>
    <row r="234" spans="1:14" hidden="1" x14ac:dyDescent="0.2">
      <c r="A234" s="87"/>
      <c r="B234" s="87"/>
      <c r="C234" s="87"/>
      <c r="D234" s="87"/>
      <c r="E234" s="89">
        <f t="shared" si="19"/>
        <v>0</v>
      </c>
      <c r="F234" s="88">
        <f>IF(AND(E9="oui",E7*11&gt;E5*80%),E5*80%*F13,G234)</f>
        <v>0</v>
      </c>
      <c r="G234" s="88">
        <f>IF(AND(E9="oui",F11&gt;=55,F11&lt;=59),E7*11*F13,0)</f>
        <v>0</v>
      </c>
      <c r="H234" s="29">
        <f>IF(AND(E9="oui",E7*11&gt;E5*80%),E5*80%,I234)</f>
        <v>0</v>
      </c>
      <c r="I234" s="29">
        <f>IF(AND(E9="oui",F11&gt;=55,F11&lt;=59),E7*11,0)</f>
        <v>0</v>
      </c>
      <c r="J234" s="89">
        <f t="shared" si="20"/>
        <v>0</v>
      </c>
      <c r="K234" s="50"/>
      <c r="L234" s="29"/>
      <c r="M234" s="29"/>
      <c r="N234" s="29"/>
    </row>
    <row r="235" spans="1:14" hidden="1" x14ac:dyDescent="0.2">
      <c r="A235" s="87"/>
      <c r="B235" s="87"/>
      <c r="C235" s="87"/>
      <c r="D235" s="87"/>
      <c r="E235" s="89">
        <f t="shared" si="19"/>
        <v>0</v>
      </c>
      <c r="F235" s="88">
        <f>IF(AND(E9="oui",E7*9.5&gt;E5*80%),E5*80%*F13,G235)</f>
        <v>0</v>
      </c>
      <c r="G235" s="88">
        <f>IF(AND(E9="oui",F11&gt;=60,F11&lt;=64),E7*9.5*F13,0)</f>
        <v>0</v>
      </c>
      <c r="H235" s="29">
        <f>IF(AND(E9="oui",E7*9.5&gt;E5*80%),E5*80%,I235)</f>
        <v>0</v>
      </c>
      <c r="I235" s="29">
        <f>IF(AND(E9="oui",F11&gt;=60,F11&lt;=64),E7*9.5,0)</f>
        <v>0</v>
      </c>
      <c r="J235" s="89">
        <f t="shared" si="20"/>
        <v>0</v>
      </c>
      <c r="K235" s="50"/>
      <c r="L235" s="29"/>
      <c r="M235" s="29"/>
      <c r="N235" s="29"/>
    </row>
    <row r="236" spans="1:14" hidden="1" x14ac:dyDescent="0.2">
      <c r="A236" s="87"/>
      <c r="B236" s="87"/>
      <c r="C236" s="87"/>
      <c r="D236" s="87"/>
      <c r="E236" s="89">
        <f t="shared" si="19"/>
        <v>0</v>
      </c>
      <c r="F236" s="88">
        <f>IF(AND(E9="oui",E7*8&gt;E5*80%),E5*80%*F13,G236)</f>
        <v>0</v>
      </c>
      <c r="G236" s="88">
        <f>IF(AND(E9="oui",F11&gt;=65,F11&lt;=69),E7*8*F13,0)</f>
        <v>0</v>
      </c>
      <c r="H236" s="29">
        <f>IF(AND(E9="oui",E7*8&gt;E5*80%),E5*80%,I236)</f>
        <v>0</v>
      </c>
      <c r="I236" s="29">
        <f>IF(AND(E9="oui",F11&gt;=65,F11&lt;=69),E7*8,0)</f>
        <v>0</v>
      </c>
      <c r="J236" s="89">
        <f t="shared" si="20"/>
        <v>0</v>
      </c>
      <c r="K236" s="50"/>
      <c r="L236" s="29"/>
      <c r="M236" s="29"/>
      <c r="N236" s="29"/>
    </row>
    <row r="237" spans="1:14" hidden="1" x14ac:dyDescent="0.2">
      <c r="A237" s="87"/>
      <c r="B237" s="87"/>
      <c r="C237" s="87"/>
      <c r="D237" s="87"/>
      <c r="E237" s="89">
        <f t="shared" si="19"/>
        <v>0</v>
      </c>
      <c r="F237" s="88">
        <f>IF(AND(E9="oui",E7*6&gt;E5*80%),E5*80%*F13,G237)</f>
        <v>0</v>
      </c>
      <c r="G237" s="88">
        <f>IF(AND(E9="oui",F11&gt;=70,F11&lt;=74),E7*6*F13,0)</f>
        <v>0</v>
      </c>
      <c r="H237" s="29">
        <f>IF(AND(E9="oui",E7*6&gt;E5*80%),E5*80%,I237)</f>
        <v>0</v>
      </c>
      <c r="I237" s="29">
        <f>IF(AND(E9="oui",F11&gt;=70,F11&lt;=74),E7*6,0)</f>
        <v>0</v>
      </c>
      <c r="J237" s="89">
        <f t="shared" si="20"/>
        <v>0</v>
      </c>
      <c r="K237" s="29"/>
      <c r="L237" s="29"/>
      <c r="M237" s="29"/>
      <c r="N237" s="29"/>
    </row>
    <row r="238" spans="1:14" hidden="1" x14ac:dyDescent="0.2">
      <c r="A238" s="87"/>
      <c r="B238" s="87"/>
      <c r="C238" s="87"/>
      <c r="D238" s="87"/>
      <c r="E238" s="89">
        <f t="shared" si="19"/>
        <v>0</v>
      </c>
      <c r="F238" s="88">
        <f>IF(AND(E9="oui",E7*4&gt;E5*80%),E5*80%*F13,G238)</f>
        <v>0</v>
      </c>
      <c r="G238" s="88">
        <f>IF(AND(E9="oui",F11&gt;=75,F11&lt;=80),E7*4*F13,0)</f>
        <v>0</v>
      </c>
      <c r="H238" s="29">
        <f>IF(AND(E9="oui",E7*4&gt;E5*80%),E5*80%,I238)</f>
        <v>0</v>
      </c>
      <c r="I238" s="29">
        <f>IF(AND(E9="oui",F11&gt;=75,F11&lt;=80),E7*4,0)</f>
        <v>0</v>
      </c>
      <c r="J238" s="89">
        <f t="shared" si="20"/>
        <v>0</v>
      </c>
      <c r="K238" s="29"/>
      <c r="L238" s="29"/>
      <c r="M238" s="29"/>
      <c r="N238" s="29"/>
    </row>
    <row r="239" spans="1:14" hidden="1" x14ac:dyDescent="0.2">
      <c r="A239" s="87"/>
      <c r="B239" s="87"/>
      <c r="C239" s="87"/>
      <c r="D239" s="87"/>
      <c r="E239" s="89">
        <f t="shared" si="19"/>
        <v>0</v>
      </c>
      <c r="F239" s="88">
        <f>IF(AND(E9="oui",E7*2&gt;E5*80%),E5*80%*F13,G239)</f>
        <v>0</v>
      </c>
      <c r="G239" s="88">
        <f>IF(AND(E9="oui",F11&gt;=80),E7*2*F13,0)</f>
        <v>0</v>
      </c>
      <c r="H239" s="29">
        <f>IF(AND(E9="oui",E7*2&gt;E5*80%),E5*80%,I239)</f>
        <v>0</v>
      </c>
      <c r="I239" s="29">
        <f>IF(AND(E9="oui",F11&gt;=80),E7*2,0)</f>
        <v>0</v>
      </c>
      <c r="J239" s="89">
        <f t="shared" si="20"/>
        <v>0</v>
      </c>
      <c r="K239" s="29"/>
      <c r="L239" s="29"/>
      <c r="M239" s="29"/>
      <c r="N239" s="29"/>
    </row>
    <row r="240" spans="1:14" hidden="1" x14ac:dyDescent="0.2">
      <c r="A240" s="87"/>
      <c r="B240" s="87"/>
      <c r="C240" s="87"/>
      <c r="D240" s="87"/>
      <c r="E240" s="87"/>
      <c r="F240" s="88"/>
      <c r="G240" s="88"/>
      <c r="H240" s="29"/>
      <c r="I240" s="29"/>
      <c r="J240" s="198"/>
      <c r="K240" s="29"/>
      <c r="L240" s="29"/>
      <c r="M240" s="29"/>
      <c r="N240" s="29"/>
    </row>
    <row r="241" spans="1:15" hidden="1" x14ac:dyDescent="0.2">
      <c r="A241" s="87"/>
      <c r="B241" s="87"/>
      <c r="C241" s="87"/>
      <c r="D241" s="87"/>
      <c r="E241" s="90">
        <f>SUM(E229:E240)</f>
        <v>0</v>
      </c>
      <c r="F241" s="88"/>
      <c r="G241" s="88"/>
      <c r="H241" s="95"/>
      <c r="I241" s="29"/>
      <c r="J241" s="199">
        <f>SUM(J229:J240)</f>
        <v>0</v>
      </c>
      <c r="K241" s="29"/>
      <c r="L241" s="29"/>
      <c r="M241" s="29"/>
      <c r="N241" s="29"/>
    </row>
    <row r="242" spans="1:15" hidden="1" x14ac:dyDescent="0.2">
      <c r="E242" s="29"/>
      <c r="F242" s="29"/>
      <c r="G242" s="29"/>
      <c r="H242" s="29"/>
      <c r="I242" s="29"/>
      <c r="J242" s="29"/>
      <c r="K242" s="29"/>
      <c r="L242" s="29"/>
      <c r="M242" s="29"/>
    </row>
    <row r="243" spans="1:15" hidden="1" x14ac:dyDescent="0.2">
      <c r="E243" s="29"/>
      <c r="F243" s="29"/>
      <c r="G243" s="29"/>
      <c r="H243" s="29"/>
      <c r="I243" s="29"/>
      <c r="J243" s="29"/>
      <c r="K243" s="29"/>
      <c r="L243" s="29"/>
      <c r="M243" s="29"/>
    </row>
    <row r="244" spans="1:15" hidden="1" x14ac:dyDescent="0.2">
      <c r="E244" s="29"/>
      <c r="F244" s="29"/>
      <c r="G244" s="29"/>
      <c r="H244" s="29"/>
      <c r="I244" s="29"/>
      <c r="J244" s="29"/>
      <c r="K244" s="29"/>
      <c r="L244" s="29"/>
      <c r="M244" s="29"/>
    </row>
    <row r="245" spans="1:15" hidden="1" x14ac:dyDescent="0.2">
      <c r="A245" s="92">
        <v>1</v>
      </c>
      <c r="C245" s="86" t="s">
        <v>36</v>
      </c>
      <c r="E245" s="200" t="e">
        <f>E241/F13</f>
        <v>#DIV/0!</v>
      </c>
      <c r="F245" s="29"/>
      <c r="G245" s="53"/>
      <c r="H245" s="53"/>
      <c r="I245" s="42"/>
      <c r="J245" s="42"/>
      <c r="K245" s="42"/>
      <c r="L245" s="42"/>
      <c r="M245" s="42"/>
    </row>
    <row r="246" spans="1:15" hidden="1" x14ac:dyDescent="0.2">
      <c r="E246" s="29"/>
      <c r="F246" s="29"/>
      <c r="G246" s="29"/>
      <c r="H246" s="29"/>
      <c r="I246" s="29"/>
      <c r="J246" s="29"/>
      <c r="K246" s="29"/>
      <c r="L246" s="29"/>
      <c r="M246" s="29"/>
    </row>
    <row r="247" spans="1:15" hidden="1" x14ac:dyDescent="0.2">
      <c r="E247" s="29"/>
      <c r="F247" s="29"/>
      <c r="G247" s="29"/>
      <c r="H247" s="29"/>
      <c r="I247" s="29"/>
      <c r="J247" s="29"/>
      <c r="K247" s="29"/>
      <c r="L247" s="29"/>
      <c r="M247" s="29"/>
    </row>
    <row r="248" spans="1:15" hidden="1" x14ac:dyDescent="0.2">
      <c r="A248" s="93" t="s">
        <v>37</v>
      </c>
      <c r="C248" s="86" t="s">
        <v>36</v>
      </c>
      <c r="E248" s="95" t="e">
        <f>Blad1!P181-E245</f>
        <v>#DIV/0!</v>
      </c>
      <c r="F248" s="94" t="e">
        <f>IF(E248&gt;0,E248,0)</f>
        <v>#DIV/0!</v>
      </c>
      <c r="G248" s="201" t="e">
        <f>IF(F248=0,"",F248)</f>
        <v>#DIV/0!</v>
      </c>
      <c r="H248" s="93" t="s">
        <v>48</v>
      </c>
      <c r="J248" s="86" t="s">
        <v>36</v>
      </c>
      <c r="L248" s="95" t="e">
        <f>Blad1!AP181-E245</f>
        <v>#DIV/0!</v>
      </c>
      <c r="M248" s="94" t="e">
        <f>IF(L248&gt;0,L248,0)</f>
        <v>#DIV/0!</v>
      </c>
      <c r="N248" s="201" t="e">
        <f>IF(M248=0,"",M248)</f>
        <v>#DIV/0!</v>
      </c>
    </row>
    <row r="249" spans="1:15" hidden="1" x14ac:dyDescent="0.2">
      <c r="E249" s="29"/>
      <c r="F249" s="29"/>
      <c r="G249" s="201"/>
      <c r="L249" s="29"/>
      <c r="M249" s="29"/>
      <c r="N249" s="203"/>
    </row>
    <row r="250" spans="1:15" hidden="1" x14ac:dyDescent="0.2">
      <c r="A250" s="93" t="s">
        <v>38</v>
      </c>
      <c r="C250" s="86" t="s">
        <v>36</v>
      </c>
      <c r="E250" s="29" t="e">
        <f>Blad1!Q181-E245</f>
        <v>#DIV/0!</v>
      </c>
      <c r="F250" s="94" t="e">
        <f>IF(E250&gt;0,E250,0)</f>
        <v>#DIV/0!</v>
      </c>
      <c r="G250" s="201" t="e">
        <f>IF(F250=0,"",F250)</f>
        <v>#DIV/0!</v>
      </c>
      <c r="H250" s="93" t="s">
        <v>49</v>
      </c>
      <c r="J250" s="86" t="s">
        <v>36</v>
      </c>
      <c r="L250" s="29" t="e">
        <f>Blad1!AQ181-E245</f>
        <v>#DIV/0!</v>
      </c>
      <c r="M250" s="94" t="e">
        <f>IF(L250&gt;0,L250,0)</f>
        <v>#DIV/0!</v>
      </c>
      <c r="N250" s="201" t="e">
        <f>IF(M250=0,"",M250)</f>
        <v>#DIV/0!</v>
      </c>
    </row>
    <row r="251" spans="1:15" hidden="1" x14ac:dyDescent="0.2">
      <c r="E251" s="29"/>
      <c r="F251" s="29"/>
      <c r="G251" s="201"/>
      <c r="L251" s="29"/>
      <c r="M251" s="29"/>
      <c r="N251" s="203"/>
    </row>
    <row r="252" spans="1:15" hidden="1" x14ac:dyDescent="0.2">
      <c r="A252" s="93" t="s">
        <v>39</v>
      </c>
      <c r="C252" s="86" t="s">
        <v>36</v>
      </c>
      <c r="E252" s="29" t="e">
        <f>Blad1!R181-E245</f>
        <v>#DIV/0!</v>
      </c>
      <c r="F252" s="94" t="e">
        <f>IF(E252&gt;0,E252,0)</f>
        <v>#DIV/0!</v>
      </c>
      <c r="G252" s="201" t="e">
        <f>IF(F252=0,"",F252)</f>
        <v>#DIV/0!</v>
      </c>
      <c r="H252" s="93" t="s">
        <v>50</v>
      </c>
      <c r="J252" s="86" t="s">
        <v>36</v>
      </c>
      <c r="L252" s="29" t="e">
        <f>Blad1!AR181-E245</f>
        <v>#DIV/0!</v>
      </c>
      <c r="M252" s="94" t="e">
        <f>IF(L252&gt;0,L252,0)</f>
        <v>#DIV/0!</v>
      </c>
      <c r="N252" s="201" t="e">
        <f>IF(M252=0,"",M252)</f>
        <v>#DIV/0!</v>
      </c>
    </row>
    <row r="253" spans="1:15" hidden="1" x14ac:dyDescent="0.2">
      <c r="E253" s="29"/>
      <c r="F253" s="29"/>
      <c r="G253" s="201"/>
      <c r="L253" s="29"/>
      <c r="M253" s="29"/>
      <c r="N253" s="203"/>
    </row>
    <row r="254" spans="1:15" hidden="1" x14ac:dyDescent="0.2">
      <c r="A254" s="93" t="s">
        <v>40</v>
      </c>
      <c r="C254" s="86" t="s">
        <v>36</v>
      </c>
      <c r="E254" s="38" t="e">
        <f>Blad1!S181-E245</f>
        <v>#DIV/0!</v>
      </c>
      <c r="F254" s="94" t="e">
        <f>IF(E254&gt;0,E254,0)</f>
        <v>#DIV/0!</v>
      </c>
      <c r="G254" s="201" t="e">
        <f>IF(F254=0,"",F254)</f>
        <v>#DIV/0!</v>
      </c>
      <c r="H254" s="93" t="s">
        <v>51</v>
      </c>
      <c r="J254" s="86" t="s">
        <v>36</v>
      </c>
      <c r="L254" s="38" t="e">
        <f>Blad1!AS181-E245</f>
        <v>#DIV/0!</v>
      </c>
      <c r="M254" s="94" t="e">
        <f>IF(L254&gt;0,L254,0)</f>
        <v>#DIV/0!</v>
      </c>
      <c r="N254" s="201" t="e">
        <f>IF(M254=0,"",M254)</f>
        <v>#DIV/0!</v>
      </c>
    </row>
    <row r="255" spans="1:15" hidden="1" x14ac:dyDescent="0.2">
      <c r="E255" s="29"/>
      <c r="F255" s="29"/>
      <c r="G255" s="201"/>
      <c r="L255" s="29"/>
      <c r="M255" s="29"/>
      <c r="N255" s="203"/>
      <c r="O255" s="33"/>
    </row>
    <row r="256" spans="1:15" hidden="1" x14ac:dyDescent="0.2">
      <c r="A256" s="93" t="s">
        <v>41</v>
      </c>
      <c r="C256" s="86" t="s">
        <v>36</v>
      </c>
      <c r="E256" s="29" t="e">
        <f>Blad1!T181-E245</f>
        <v>#DIV/0!</v>
      </c>
      <c r="F256" s="94" t="e">
        <f>IF(E256&gt;0,E256,0)</f>
        <v>#DIV/0!</v>
      </c>
      <c r="G256" s="201" t="e">
        <f>IF(F256=0,"",F256)</f>
        <v>#DIV/0!</v>
      </c>
      <c r="H256" s="93" t="s">
        <v>52</v>
      </c>
      <c r="J256" s="86" t="s">
        <v>36</v>
      </c>
      <c r="L256" s="29" t="e">
        <f>Blad1!AT181-E245</f>
        <v>#DIV/0!</v>
      </c>
      <c r="M256" s="94" t="e">
        <f>IF(L256&gt;0,L256,0)</f>
        <v>#DIV/0!</v>
      </c>
      <c r="N256" s="201" t="e">
        <f>IF(M256=0,"",M256)</f>
        <v>#DIV/0!</v>
      </c>
      <c r="O256" s="33"/>
    </row>
    <row r="257" spans="1:15" hidden="1" x14ac:dyDescent="0.2">
      <c r="E257" s="29"/>
      <c r="F257" s="29"/>
      <c r="G257" s="201"/>
      <c r="L257" s="29"/>
      <c r="M257" s="29"/>
      <c r="N257" s="203"/>
      <c r="O257" s="33"/>
    </row>
    <row r="258" spans="1:15" hidden="1" x14ac:dyDescent="0.2">
      <c r="A258" s="93" t="s">
        <v>42</v>
      </c>
      <c r="C258" s="86" t="s">
        <v>36</v>
      </c>
      <c r="E258" s="29" t="e">
        <f>Blad1!U181-E245</f>
        <v>#DIV/0!</v>
      </c>
      <c r="F258" s="94" t="e">
        <f>IF(E258&gt;0,E258,0)</f>
        <v>#DIV/0!</v>
      </c>
      <c r="G258" s="201" t="e">
        <f>IF(F258=0,"",F258)</f>
        <v>#DIV/0!</v>
      </c>
      <c r="H258" s="93" t="s">
        <v>53</v>
      </c>
      <c r="J258" s="86" t="s">
        <v>36</v>
      </c>
      <c r="L258" s="29" t="e">
        <f>Blad1!AU181-E245</f>
        <v>#DIV/0!</v>
      </c>
      <c r="M258" s="94" t="e">
        <f>IF(L258&gt;0,L258,0)</f>
        <v>#DIV/0!</v>
      </c>
      <c r="N258" s="201" t="e">
        <f>IF(M258=0,"",M258)</f>
        <v>#DIV/0!</v>
      </c>
      <c r="O258" s="33"/>
    </row>
    <row r="259" spans="1:15" hidden="1" x14ac:dyDescent="0.2">
      <c r="E259" s="29"/>
      <c r="F259" s="29"/>
      <c r="G259" s="201"/>
      <c r="L259" s="29"/>
      <c r="M259" s="29"/>
      <c r="N259" s="203"/>
      <c r="O259" s="33"/>
    </row>
    <row r="260" spans="1:15" hidden="1" x14ac:dyDescent="0.2">
      <c r="A260" s="93" t="s">
        <v>43</v>
      </c>
      <c r="C260" s="86" t="s">
        <v>36</v>
      </c>
      <c r="E260" s="29" t="e">
        <f>Blad1!V181-E245</f>
        <v>#DIV/0!</v>
      </c>
      <c r="F260" s="94" t="e">
        <f>IF(E260&gt;0,E260,0)</f>
        <v>#DIV/0!</v>
      </c>
      <c r="G260" s="201" t="e">
        <f>IF(F260=0,"",F260)</f>
        <v>#DIV/0!</v>
      </c>
      <c r="H260" s="93" t="s">
        <v>54</v>
      </c>
      <c r="J260" s="86" t="s">
        <v>36</v>
      </c>
      <c r="L260" s="29" t="e">
        <f>Blad1!AV181-E245</f>
        <v>#DIV/0!</v>
      </c>
      <c r="M260" s="94" t="e">
        <f>IF(L260&gt;0,L260,0)</f>
        <v>#DIV/0!</v>
      </c>
      <c r="N260" s="201" t="e">
        <f>IF(M260=0,"",M260)</f>
        <v>#DIV/0!</v>
      </c>
      <c r="O260" s="33"/>
    </row>
    <row r="261" spans="1:15" hidden="1" x14ac:dyDescent="0.2">
      <c r="E261" s="29"/>
      <c r="F261" s="29"/>
      <c r="G261" s="201"/>
      <c r="L261" s="29"/>
      <c r="M261" s="29"/>
      <c r="N261" s="203"/>
      <c r="O261" s="33"/>
    </row>
    <row r="262" spans="1:15" hidden="1" x14ac:dyDescent="0.2">
      <c r="A262" s="93" t="s">
        <v>44</v>
      </c>
      <c r="C262" s="86" t="s">
        <v>36</v>
      </c>
      <c r="E262" s="29" t="e">
        <f>Blad1!W181-E245</f>
        <v>#DIV/0!</v>
      </c>
      <c r="F262" s="94" t="e">
        <f>IF(E262&gt;0,E262,0)</f>
        <v>#DIV/0!</v>
      </c>
      <c r="G262" s="201" t="e">
        <f>IF(F262=0,"",F262)</f>
        <v>#DIV/0!</v>
      </c>
      <c r="H262" s="93" t="s">
        <v>55</v>
      </c>
      <c r="J262" s="86" t="s">
        <v>36</v>
      </c>
      <c r="L262" s="29" t="e">
        <f>Blad1!AW181-E245</f>
        <v>#DIV/0!</v>
      </c>
      <c r="M262" s="94" t="e">
        <f>IF(L262&gt;0,L262,0)</f>
        <v>#DIV/0!</v>
      </c>
      <c r="N262" s="201" t="e">
        <f>IF(M262=0,"",M262)</f>
        <v>#DIV/0!</v>
      </c>
      <c r="O262" s="33"/>
    </row>
    <row r="263" spans="1:15" hidden="1" x14ac:dyDescent="0.2">
      <c r="E263" s="29"/>
      <c r="F263" s="29"/>
      <c r="G263" s="201"/>
      <c r="L263" s="29"/>
      <c r="M263" s="29"/>
      <c r="N263" s="203"/>
      <c r="O263" s="33"/>
    </row>
    <row r="264" spans="1:15" hidden="1" x14ac:dyDescent="0.2">
      <c r="A264" s="93" t="s">
        <v>45</v>
      </c>
      <c r="C264" s="86" t="s">
        <v>36</v>
      </c>
      <c r="E264" s="29" t="e">
        <f>Blad1!X181-E245</f>
        <v>#DIV/0!</v>
      </c>
      <c r="F264" s="94" t="e">
        <f>IF(E264&gt;0,E264,0)</f>
        <v>#DIV/0!</v>
      </c>
      <c r="G264" s="201" t="e">
        <f>IF(F264=0,"",F264)</f>
        <v>#DIV/0!</v>
      </c>
      <c r="H264" s="93" t="s">
        <v>56</v>
      </c>
      <c r="J264" s="86" t="s">
        <v>36</v>
      </c>
      <c r="L264" s="29" t="e">
        <f>Blad1!AX181-E245</f>
        <v>#DIV/0!</v>
      </c>
      <c r="M264" s="94" t="e">
        <f>IF(L264&gt;0,L264,0)</f>
        <v>#DIV/0!</v>
      </c>
      <c r="N264" s="201" t="e">
        <f>IF(M264=0,"",M264)</f>
        <v>#DIV/0!</v>
      </c>
      <c r="O264" s="33"/>
    </row>
    <row r="265" spans="1:15" hidden="1" x14ac:dyDescent="0.2">
      <c r="E265" s="29"/>
      <c r="F265" s="29"/>
      <c r="G265" s="29"/>
      <c r="H265" s="32"/>
      <c r="I265" s="29"/>
      <c r="J265" s="29"/>
      <c r="K265" s="29"/>
      <c r="L265" s="29"/>
      <c r="M265" s="29"/>
      <c r="O265" s="33"/>
    </row>
    <row r="266" spans="1:15" hidden="1" x14ac:dyDescent="0.2">
      <c r="E266" s="29"/>
      <c r="F266" s="29"/>
      <c r="G266" s="29"/>
      <c r="H266" s="32"/>
      <c r="I266" s="54"/>
      <c r="J266" s="29"/>
      <c r="K266" s="29"/>
      <c r="L266" s="29"/>
      <c r="M266" s="29"/>
      <c r="O266" s="33"/>
    </row>
    <row r="267" spans="1:15" hidden="1" x14ac:dyDescent="0.2">
      <c r="H267" s="202">
        <f>O157+O163+AM157+AM163+F15</f>
        <v>0</v>
      </c>
      <c r="O267" s="33"/>
    </row>
    <row r="268" spans="1:15" hidden="1" x14ac:dyDescent="0.2">
      <c r="E268" s="29"/>
      <c r="F268" s="29"/>
      <c r="G268" s="29"/>
      <c r="H268" s="32"/>
      <c r="J268" s="29"/>
      <c r="K268" s="29"/>
      <c r="L268" s="29"/>
      <c r="M268" s="29"/>
      <c r="O268" s="33"/>
    </row>
    <row r="269" spans="1:15" hidden="1" x14ac:dyDescent="0.2">
      <c r="E269" s="29"/>
      <c r="G269" s="29"/>
    </row>
    <row r="270" spans="1:15" ht="13.5" hidden="1" thickBot="1" x14ac:dyDescent="0.25">
      <c r="F270" s="204">
        <f>E5-H267</f>
        <v>0</v>
      </c>
      <c r="M270" s="204">
        <f>E5-H267</f>
        <v>0</v>
      </c>
    </row>
    <row r="271" spans="1:15" ht="13.5" hidden="1" thickTop="1" x14ac:dyDescent="0.2">
      <c r="A271" s="42"/>
      <c r="B271" s="42"/>
      <c r="C271" s="42"/>
      <c r="D271" s="42"/>
      <c r="E271" s="43"/>
      <c r="F271" s="44"/>
      <c r="G271" s="43"/>
      <c r="H271" s="43"/>
      <c r="I271" s="45"/>
      <c r="J271" s="46"/>
      <c r="K271" s="45"/>
      <c r="L271" s="45"/>
      <c r="M271" s="45"/>
      <c r="N271" s="47"/>
      <c r="O271" s="48"/>
    </row>
    <row r="272" spans="1:15" hidden="1" x14ac:dyDescent="0.2">
      <c r="A272" s="29" t="s">
        <v>4</v>
      </c>
      <c r="B272" s="29"/>
      <c r="C272" s="29"/>
      <c r="D272" s="29"/>
      <c r="E272" s="29"/>
      <c r="F272" s="29">
        <f>G25</f>
        <v>0</v>
      </c>
      <c r="G272" s="49"/>
      <c r="H272" s="29"/>
      <c r="I272" s="29"/>
      <c r="J272" s="50"/>
      <c r="K272" s="29"/>
      <c r="L272" s="29"/>
      <c r="M272" s="29">
        <f>IF(AND(I25="oui",F25="ligne directe"),H284,0)</f>
        <v>0</v>
      </c>
      <c r="O272" s="51"/>
    </row>
    <row r="273" spans="1:15" hidden="1" x14ac:dyDescent="0.2">
      <c r="A273" s="29"/>
      <c r="B273" s="29"/>
      <c r="C273" s="29"/>
      <c r="D273" s="29"/>
      <c r="E273" s="29"/>
      <c r="F273" s="29"/>
      <c r="G273" s="29"/>
      <c r="H273" s="29"/>
      <c r="I273" s="29"/>
      <c r="J273" s="50"/>
      <c r="K273" s="29"/>
      <c r="L273" s="29"/>
      <c r="M273" s="29">
        <f>IF(AND(I25="oui",F25="épou(x)(se)"),H284,0)</f>
        <v>0</v>
      </c>
      <c r="O273" s="51"/>
    </row>
    <row r="274" spans="1:15" hidden="1" x14ac:dyDescent="0.2">
      <c r="A274" s="52" t="s">
        <v>5</v>
      </c>
      <c r="B274" s="52"/>
      <c r="C274" s="52"/>
      <c r="D274" s="52"/>
      <c r="E274" s="29"/>
      <c r="F274" s="29"/>
      <c r="G274" s="53" t="s">
        <v>6</v>
      </c>
      <c r="H274" s="53" t="s">
        <v>25</v>
      </c>
      <c r="I274" s="29"/>
      <c r="J274" s="50"/>
      <c r="K274" s="29"/>
      <c r="L274" s="29"/>
      <c r="M274" s="29">
        <f>IF(AND(I25="non",F25="ligne directe"),G284,0)</f>
        <v>0</v>
      </c>
      <c r="O274" s="51"/>
    </row>
    <row r="275" spans="1:15" hidden="1" x14ac:dyDescent="0.2">
      <c r="A275" s="29">
        <v>0</v>
      </c>
      <c r="B275" s="29"/>
      <c r="C275" s="29"/>
      <c r="D275" s="29"/>
      <c r="E275" s="29">
        <v>50000</v>
      </c>
      <c r="F275" s="29">
        <f>IF(AND(F272&gt;A275, F272&lt;=E275),F272,0)</f>
        <v>0</v>
      </c>
      <c r="G275" s="29">
        <f>0+(3/100)*(-A275+F275)</f>
        <v>0</v>
      </c>
      <c r="H275" s="29">
        <f>0+(2/100)*(-A275+F275)</f>
        <v>0</v>
      </c>
      <c r="I275" s="29"/>
      <c r="J275" s="50"/>
      <c r="K275" s="29"/>
      <c r="L275" s="29"/>
      <c r="M275" s="29">
        <f>IF(AND(I25="non",F25="épou(x)(se)"),G284,0)</f>
        <v>0</v>
      </c>
      <c r="O275" s="51"/>
    </row>
    <row r="276" spans="1:15" hidden="1" x14ac:dyDescent="0.2">
      <c r="A276" s="29">
        <f>E275</f>
        <v>50000</v>
      </c>
      <c r="B276" s="29"/>
      <c r="C276" s="29"/>
      <c r="D276" s="29"/>
      <c r="E276" s="29">
        <v>100000</v>
      </c>
      <c r="F276" s="29">
        <f>IF(AND(F272&gt;A276, F272&lt;=E276),F272,0)</f>
        <v>0</v>
      </c>
      <c r="G276" s="29">
        <f>(50000/100*3)+(8/100)*(-A276+F276)</f>
        <v>-2500</v>
      </c>
      <c r="H276" s="29">
        <f>(50000/100*2)+(5.3/100)*(-A276+F276)</f>
        <v>-1650</v>
      </c>
      <c r="I276" s="29"/>
      <c r="J276" s="50"/>
      <c r="K276" s="29"/>
      <c r="L276" s="29"/>
      <c r="M276" s="29">
        <f>IF(F25="frère/soeur",G295,0)</f>
        <v>0</v>
      </c>
      <c r="O276" s="51"/>
    </row>
    <row r="277" spans="1:15" hidden="1" x14ac:dyDescent="0.2">
      <c r="A277" s="29">
        <f>E276</f>
        <v>100000</v>
      </c>
      <c r="B277" s="29"/>
      <c r="C277" s="29"/>
      <c r="D277" s="29"/>
      <c r="E277" s="29">
        <v>175000</v>
      </c>
      <c r="F277" s="29">
        <f>IF(AND(F272&gt;A277, F272&lt;=E277),F272,0)</f>
        <v>0</v>
      </c>
      <c r="G277" s="29">
        <f>(50000/100*3)+(50000/100*8)+((9/100)*(-A277+F277))</f>
        <v>-3500</v>
      </c>
      <c r="H277" s="29">
        <f>(50000/100*2)+(50000/100*5.3)+((6/100)*(-A277+F277))</f>
        <v>-2350</v>
      </c>
      <c r="I277" s="29"/>
      <c r="J277" s="50"/>
      <c r="K277" s="29"/>
      <c r="L277" s="29"/>
      <c r="M277" s="29">
        <f>IF(F25="oncle-tante/neveu-nièce",G308,0)</f>
        <v>0</v>
      </c>
      <c r="O277" s="51"/>
    </row>
    <row r="278" spans="1:15" hidden="1" x14ac:dyDescent="0.2">
      <c r="A278" s="29">
        <f>E277</f>
        <v>175000</v>
      </c>
      <c r="B278" s="29"/>
      <c r="C278" s="29"/>
      <c r="D278" s="29"/>
      <c r="E278" s="29">
        <v>250000</v>
      </c>
      <c r="F278" s="29">
        <f>IF(AND(F272&gt;A278, F272&lt;=E278),F272,0)</f>
        <v>0</v>
      </c>
      <c r="G278" s="29">
        <f>(50000/100*3)+(50000/100*8)+(75000/100*9)+((18/100)*(-A278+F278))</f>
        <v>-19250</v>
      </c>
      <c r="H278" s="29">
        <f>(50000/100*2)+(50000/100*5.3)+(75000/100*6)+((12/100)*(-A278+F278))</f>
        <v>-12850</v>
      </c>
      <c r="I278" s="29"/>
      <c r="J278" s="50"/>
      <c r="K278" s="29"/>
      <c r="L278" s="29"/>
      <c r="M278" s="29">
        <f>IF(F25="étrangers",M308,0)</f>
        <v>0</v>
      </c>
      <c r="O278" s="51"/>
    </row>
    <row r="279" spans="1:15" hidden="1" x14ac:dyDescent="0.2">
      <c r="A279" s="29">
        <f>E278</f>
        <v>250000</v>
      </c>
      <c r="B279" s="29"/>
      <c r="C279" s="29"/>
      <c r="D279" s="29"/>
      <c r="E279" s="29">
        <v>500000</v>
      </c>
      <c r="F279" s="29">
        <f>IF(AND(F272&gt;A279, F272&lt;=E279),F272,0)</f>
        <v>0</v>
      </c>
      <c r="G279" s="29">
        <f>(50000/100*3)+(50000/100*8)+(75000/100*9)+(75000/100*18)+((24/100)*(-A279+F279))</f>
        <v>-34250</v>
      </c>
      <c r="H279" s="29">
        <f>(50000/100*2)+(50000/100*5.3)+(75000/100*6)+(75000/100*12)+((24/100)*(-A279+F279))</f>
        <v>-42850</v>
      </c>
      <c r="I279" s="29"/>
      <c r="J279" s="29"/>
      <c r="K279" s="29"/>
      <c r="L279" s="29"/>
      <c r="M279" s="29"/>
      <c r="O279" s="51"/>
    </row>
    <row r="280" spans="1:15" hidden="1" x14ac:dyDescent="0.2">
      <c r="A280" s="29">
        <f>E279</f>
        <v>500000</v>
      </c>
      <c r="B280" s="29"/>
      <c r="C280" s="29"/>
      <c r="D280" s="29"/>
      <c r="E280" s="29">
        <v>999999999</v>
      </c>
      <c r="F280" s="29">
        <f>IF(AND(F272&gt;A280, F272&lt;=E280),F272,0)</f>
        <v>0</v>
      </c>
      <c r="G280" s="29">
        <f>(50000/100*3)+(50000/100*8)+(75000/100*9)+(75000/100*18)+(250000/100*24)+((30/100)*(-A280+F280))</f>
        <v>-64250</v>
      </c>
      <c r="H280" s="29">
        <f>(50000/100*2)+(50000/100*5.3)+(75000/100*6)+(75000/100*12)+(250000/100*24)+((30/100)*(-A280+F280))</f>
        <v>-72850</v>
      </c>
      <c r="I280" s="29"/>
      <c r="J280" s="29"/>
      <c r="K280" s="29"/>
      <c r="L280" s="29"/>
      <c r="M280" s="29">
        <f>SUM(M272:M279)</f>
        <v>0</v>
      </c>
      <c r="O280" s="51"/>
    </row>
    <row r="281" spans="1:15" hidden="1" x14ac:dyDescent="0.2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O281" s="51"/>
    </row>
    <row r="282" spans="1:15" hidden="1" x14ac:dyDescent="0.2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O282" s="51"/>
    </row>
    <row r="283" spans="1:15" hidden="1" x14ac:dyDescent="0.2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O283" s="51"/>
    </row>
    <row r="284" spans="1:15" hidden="1" x14ac:dyDescent="0.2">
      <c r="A284" s="54" t="s">
        <v>7</v>
      </c>
      <c r="B284" s="54"/>
      <c r="C284" s="54"/>
      <c r="D284" s="54"/>
      <c r="E284" s="29"/>
      <c r="F284" s="29"/>
      <c r="G284" s="29">
        <f>VLOOKUP(F272,F275:G280,2,FALSE)</f>
        <v>0</v>
      </c>
      <c r="H284" s="29">
        <f>VLOOKUP(F272,F275:H280,3,FALSE)</f>
        <v>0</v>
      </c>
      <c r="I284" s="29"/>
      <c r="J284" s="29"/>
      <c r="K284" s="29"/>
      <c r="L284" s="29"/>
      <c r="M284" s="29"/>
      <c r="O284" s="51"/>
    </row>
    <row r="285" spans="1:15" hidden="1" x14ac:dyDescent="0.2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O285" s="51"/>
    </row>
    <row r="286" spans="1:15" hidden="1" x14ac:dyDescent="0.2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O286" s="51"/>
    </row>
    <row r="287" spans="1:15" hidden="1" x14ac:dyDescent="0.2">
      <c r="A287" s="52" t="s">
        <v>8</v>
      </c>
      <c r="B287" s="52"/>
      <c r="C287" s="52"/>
      <c r="D287" s="52"/>
      <c r="E287" s="29"/>
      <c r="F287" s="29"/>
      <c r="G287" s="53" t="s">
        <v>9</v>
      </c>
      <c r="H287" s="53"/>
      <c r="I287" s="42"/>
      <c r="J287" s="42"/>
      <c r="K287" s="42"/>
      <c r="L287" s="42"/>
      <c r="M287" s="42"/>
    </row>
    <row r="288" spans="1:15" hidden="1" x14ac:dyDescent="0.2">
      <c r="A288" s="29">
        <v>0</v>
      </c>
      <c r="B288" s="29"/>
      <c r="C288" s="29"/>
      <c r="D288" s="29"/>
      <c r="E288" s="29">
        <v>12500</v>
      </c>
      <c r="F288" s="29">
        <f>IF(AND(F272&gt;A288, F272&lt;=E288),F272,0)</f>
        <v>0</v>
      </c>
      <c r="G288" s="29">
        <f>0+(20/100)*(-A288+F288)</f>
        <v>0</v>
      </c>
      <c r="H288" s="29"/>
      <c r="I288" s="29"/>
      <c r="J288" s="29"/>
      <c r="K288" s="29"/>
      <c r="L288" s="29"/>
      <c r="M288" s="29"/>
    </row>
    <row r="289" spans="1:15" hidden="1" x14ac:dyDescent="0.2">
      <c r="A289" s="29">
        <f>E288</f>
        <v>12500</v>
      </c>
      <c r="B289" s="29"/>
      <c r="C289" s="29"/>
      <c r="D289" s="29"/>
      <c r="E289" s="29">
        <v>25000</v>
      </c>
      <c r="F289" s="29">
        <f>IF(AND(F272&gt;A289, F272&lt;=E289),F272,0)</f>
        <v>0</v>
      </c>
      <c r="G289" s="29">
        <f>(12500/100*20)+((25/100)*(-A289+F289))</f>
        <v>-625</v>
      </c>
      <c r="H289" s="29"/>
      <c r="I289" s="29"/>
      <c r="J289" s="29"/>
      <c r="K289" s="29"/>
      <c r="L289" s="29"/>
      <c r="M289" s="29"/>
    </row>
    <row r="290" spans="1:15" hidden="1" x14ac:dyDescent="0.2">
      <c r="A290" s="29">
        <f>E289</f>
        <v>25000</v>
      </c>
      <c r="B290" s="29"/>
      <c r="C290" s="29"/>
      <c r="D290" s="29"/>
      <c r="E290" s="29">
        <v>50000</v>
      </c>
      <c r="F290" s="29">
        <f>IF(AND(F272&gt;A290, F272&lt;=E290),F272,0)</f>
        <v>0</v>
      </c>
      <c r="G290" s="29">
        <f>(12500/100*20)+(12500/100*25)+((30/100)*(-A290+F290))</f>
        <v>-1875</v>
      </c>
      <c r="H290" s="29"/>
      <c r="I290" s="29"/>
      <c r="J290" s="29"/>
      <c r="K290" s="29"/>
      <c r="L290" s="29"/>
      <c r="M290" s="29"/>
    </row>
    <row r="291" spans="1:15" hidden="1" x14ac:dyDescent="0.2">
      <c r="A291" s="29">
        <f>E290</f>
        <v>50000</v>
      </c>
      <c r="B291" s="29"/>
      <c r="C291" s="29"/>
      <c r="D291" s="29"/>
      <c r="E291" s="29">
        <v>100000</v>
      </c>
      <c r="F291" s="29">
        <f>IF(AND(F272&gt;A291, F272&lt;=E291),F272,0)</f>
        <v>0</v>
      </c>
      <c r="G291" s="29">
        <f>(12500/100*20)+(12500/100*25)+(25000/100*30)+((40/100)*(-A291+F291))</f>
        <v>-6875</v>
      </c>
      <c r="H291" s="29"/>
      <c r="I291" s="29"/>
      <c r="J291" s="29"/>
      <c r="K291" s="29"/>
      <c r="L291" s="29"/>
      <c r="M291" s="29"/>
    </row>
    <row r="292" spans="1:15" hidden="1" x14ac:dyDescent="0.2">
      <c r="A292" s="29">
        <f>E291</f>
        <v>100000</v>
      </c>
      <c r="B292" s="29"/>
      <c r="C292" s="29"/>
      <c r="D292" s="29"/>
      <c r="E292" s="29">
        <v>175000</v>
      </c>
      <c r="F292" s="29">
        <f>IF(AND(F272&gt;A292, F272&lt;=E292),F272,0)</f>
        <v>0</v>
      </c>
      <c r="G292" s="29">
        <f>(12500/100*20)+(12500/100*25)+(25000/100*30)+(50000/100*40)+((55/100)*(-A292+F292))</f>
        <v>-21875.000000000007</v>
      </c>
      <c r="H292" s="29"/>
      <c r="I292" s="29"/>
      <c r="J292" s="29"/>
      <c r="K292" s="29"/>
      <c r="L292" s="29"/>
      <c r="M292" s="29"/>
    </row>
    <row r="293" spans="1:15" hidden="1" x14ac:dyDescent="0.2">
      <c r="A293" s="29">
        <v>175000</v>
      </c>
      <c r="B293" s="29"/>
      <c r="C293" s="29"/>
      <c r="D293" s="29"/>
      <c r="E293" s="29">
        <v>250000</v>
      </c>
      <c r="F293" s="29">
        <f>IF(AND(F272&gt;A293, F272&lt;=E293),F272,0)</f>
        <v>0</v>
      </c>
      <c r="G293" s="29">
        <f>(12500/100*20)+(12500/100*25)+(25000/100*30)+(50000/100*40)+(75000/100*55)+((60/100)*(-A293+F293))</f>
        <v>-30625</v>
      </c>
      <c r="H293" s="29"/>
      <c r="I293" s="29"/>
      <c r="J293" s="29"/>
      <c r="K293" s="29"/>
      <c r="L293" s="29"/>
      <c r="M293" s="29"/>
    </row>
    <row r="294" spans="1:15" hidden="1" x14ac:dyDescent="0.2">
      <c r="A294" s="29">
        <f>E293</f>
        <v>250000</v>
      </c>
      <c r="B294" s="29"/>
      <c r="C294" s="29"/>
      <c r="D294" s="29"/>
      <c r="E294" s="29">
        <v>999999999</v>
      </c>
      <c r="F294" s="29">
        <f>IF(AND(F272&gt;A294, F272&lt;=E294),F272,0)</f>
        <v>0</v>
      </c>
      <c r="G294" s="29">
        <f>(12500/100*20)+(12500/100*25)+(25000/100*30)+(50000/100*40)+(75000/100*55)+(75000/100*60)+((65/100)*(-A294+F294))</f>
        <v>-43125</v>
      </c>
      <c r="H294" s="29"/>
      <c r="I294" s="29"/>
      <c r="J294" s="29"/>
      <c r="K294" s="29"/>
      <c r="L294" s="29"/>
      <c r="M294" s="29"/>
    </row>
    <row r="295" spans="1:15" hidden="1" x14ac:dyDescent="0.2">
      <c r="A295" s="54" t="s">
        <v>7</v>
      </c>
      <c r="B295" s="54"/>
      <c r="C295" s="54"/>
      <c r="D295" s="54"/>
      <c r="E295" s="29"/>
      <c r="F295" s="29"/>
      <c r="G295" s="29">
        <f>VLOOKUP(F272,F288:G294,2,FALSE)</f>
        <v>0</v>
      </c>
      <c r="H295" s="29"/>
      <c r="I295" s="29"/>
      <c r="J295" s="29"/>
      <c r="K295" s="29"/>
      <c r="L295" s="29"/>
      <c r="M295" s="29"/>
    </row>
    <row r="296" spans="1:15" hidden="1" x14ac:dyDescent="0.2"/>
    <row r="297" spans="1:15" hidden="1" x14ac:dyDescent="0.2">
      <c r="E297" s="29"/>
      <c r="F297" s="29"/>
      <c r="G297" s="29"/>
      <c r="H297" s="32"/>
      <c r="I297" s="29"/>
      <c r="J297" s="33"/>
      <c r="M297" s="33"/>
      <c r="O297" s="33"/>
    </row>
    <row r="298" spans="1:15" hidden="1" x14ac:dyDescent="0.2">
      <c r="E298" s="29"/>
      <c r="F298" s="29"/>
      <c r="G298" s="29"/>
      <c r="H298" s="32"/>
      <c r="I298" s="29"/>
      <c r="J298" s="33"/>
      <c r="M298" s="33"/>
      <c r="O298" s="33"/>
    </row>
    <row r="299" spans="1:15" hidden="1" x14ac:dyDescent="0.2">
      <c r="E299" s="29"/>
      <c r="F299" s="29"/>
      <c r="G299" s="29"/>
      <c r="H299" s="32"/>
      <c r="I299" s="29"/>
      <c r="J299" s="33"/>
      <c r="M299" s="33"/>
      <c r="O299" s="33"/>
    </row>
    <row r="300" spans="1:15" hidden="1" x14ac:dyDescent="0.2">
      <c r="A300" s="52" t="s">
        <v>26</v>
      </c>
      <c r="B300" s="52"/>
      <c r="C300" s="52"/>
      <c r="D300" s="52"/>
      <c r="E300" s="29"/>
      <c r="F300" s="29"/>
      <c r="G300" s="53" t="s">
        <v>10</v>
      </c>
      <c r="H300" s="32"/>
      <c r="I300" s="52" t="s">
        <v>27</v>
      </c>
      <c r="J300" s="29"/>
      <c r="K300" s="29"/>
      <c r="L300" s="29"/>
      <c r="M300" s="53" t="s">
        <v>11</v>
      </c>
      <c r="O300" s="33"/>
    </row>
    <row r="301" spans="1:15" hidden="1" x14ac:dyDescent="0.2">
      <c r="A301" s="29">
        <v>0</v>
      </c>
      <c r="B301" s="29"/>
      <c r="C301" s="29"/>
      <c r="D301" s="29"/>
      <c r="E301" s="29">
        <v>50000</v>
      </c>
      <c r="F301" s="29">
        <f>IF(AND(F272&gt;A301, F272&lt;=E301),F272,0)</f>
        <v>0</v>
      </c>
      <c r="G301" s="29">
        <f>0+(35/100)*(-A301+F301)</f>
        <v>0</v>
      </c>
      <c r="H301" s="32"/>
      <c r="I301" s="29">
        <v>0</v>
      </c>
      <c r="J301" s="29">
        <v>50000</v>
      </c>
      <c r="K301" s="29">
        <f>IF(AND(F272&gt;I301, F272&lt;=J301),F272,0)</f>
        <v>0</v>
      </c>
      <c r="L301" s="29"/>
      <c r="M301" s="29">
        <f>0+(40/100)*(-I301+K301)</f>
        <v>0</v>
      </c>
      <c r="O301" s="33"/>
    </row>
    <row r="302" spans="1:15" hidden="1" x14ac:dyDescent="0.2">
      <c r="A302" s="29">
        <f>E301</f>
        <v>50000</v>
      </c>
      <c r="B302" s="29"/>
      <c r="C302" s="29"/>
      <c r="D302" s="29"/>
      <c r="E302" s="29">
        <v>100000</v>
      </c>
      <c r="F302" s="29">
        <f>IF(AND(F272&gt;A302, F272&lt;=E302),F272,0)</f>
        <v>0</v>
      </c>
      <c r="G302" s="29">
        <f>(50000/100*35)+((50/100)*(-A302+F302))</f>
        <v>-7500</v>
      </c>
      <c r="H302" s="32"/>
      <c r="I302" s="29">
        <f>J301</f>
        <v>50000</v>
      </c>
      <c r="J302" s="29">
        <v>75000</v>
      </c>
      <c r="K302" s="29">
        <f>IF(AND(F272&gt;I302, F272&lt;=J302),F272,0)</f>
        <v>0</v>
      </c>
      <c r="L302" s="29"/>
      <c r="M302" s="29">
        <f>(50000/100*40)+((55/100)*(-I302+K302))</f>
        <v>-7500.0000000000036</v>
      </c>
      <c r="O302" s="33"/>
    </row>
    <row r="303" spans="1:15" hidden="1" x14ac:dyDescent="0.2">
      <c r="A303" s="29">
        <f>E302</f>
        <v>100000</v>
      </c>
      <c r="B303" s="29"/>
      <c r="C303" s="29"/>
      <c r="D303" s="29"/>
      <c r="E303" s="29">
        <v>175000</v>
      </c>
      <c r="F303" s="29">
        <f>IF(AND(F272&gt;A303, F272&lt;=E303),F272,0)</f>
        <v>0</v>
      </c>
      <c r="G303" s="29">
        <f>(50000/100*35)+(50000/100*50)+((60/100)*(-A303+F303))</f>
        <v>-17500</v>
      </c>
      <c r="H303" s="32"/>
      <c r="I303" s="29">
        <f>J302</f>
        <v>75000</v>
      </c>
      <c r="J303" s="29">
        <v>175000</v>
      </c>
      <c r="K303" s="29">
        <f>IF(AND(F272&gt;I303, F272&lt;=J303),F272,0)</f>
        <v>0</v>
      </c>
      <c r="L303" s="29"/>
      <c r="M303" s="29">
        <f>(50000/100*40)+(25000/100*55)+((65/100)*(-I303+K303))</f>
        <v>-15000</v>
      </c>
      <c r="O303" s="33"/>
    </row>
    <row r="304" spans="1:15" hidden="1" x14ac:dyDescent="0.2">
      <c r="A304" s="29">
        <f>E303</f>
        <v>175000</v>
      </c>
      <c r="B304" s="29"/>
      <c r="C304" s="29"/>
      <c r="D304" s="29"/>
      <c r="E304" s="29">
        <v>999999999</v>
      </c>
      <c r="F304" s="29">
        <f>IF(AND(F272&gt;A304, F272&lt;=E304),F272,0)</f>
        <v>0</v>
      </c>
      <c r="G304" s="29">
        <f>(50000/100*35)+(50000/100*50)+(75000/100*60)+((70/100)*(-A304+F304))</f>
        <v>-34999.999999999985</v>
      </c>
      <c r="H304" s="32"/>
      <c r="I304" s="29">
        <f>J303</f>
        <v>175000</v>
      </c>
      <c r="J304" s="29">
        <v>999999999</v>
      </c>
      <c r="K304" s="29">
        <f>IF(AND(F272&gt;I304, F272&lt;=J304),F272,0)</f>
        <v>0</v>
      </c>
      <c r="L304" s="29"/>
      <c r="M304" s="29">
        <f>(50000/100*40)+(25000/100*55)+(100000/100*65)+((80/100)*(-I304+K304))</f>
        <v>-41250</v>
      </c>
      <c r="O304" s="33"/>
    </row>
    <row r="305" spans="1:15" hidden="1" x14ac:dyDescent="0.2">
      <c r="A305" s="29"/>
      <c r="B305" s="29"/>
      <c r="C305" s="29"/>
      <c r="D305" s="29"/>
      <c r="E305" s="29"/>
      <c r="F305" s="29"/>
      <c r="G305" s="29"/>
      <c r="H305" s="32"/>
      <c r="I305" s="29"/>
      <c r="J305" s="29"/>
      <c r="K305" s="29"/>
      <c r="L305" s="29"/>
      <c r="M305" s="29"/>
      <c r="O305" s="33"/>
    </row>
    <row r="306" spans="1:15" hidden="1" x14ac:dyDescent="0.2">
      <c r="A306" s="29"/>
      <c r="B306" s="29"/>
      <c r="C306" s="29"/>
      <c r="D306" s="29"/>
      <c r="E306" s="29"/>
      <c r="F306" s="29"/>
      <c r="G306" s="29"/>
      <c r="H306" s="32"/>
      <c r="I306" s="29"/>
      <c r="J306" s="29"/>
      <c r="K306" s="29"/>
      <c r="L306" s="29"/>
      <c r="M306" s="29"/>
      <c r="O306" s="33"/>
    </row>
    <row r="307" spans="1:15" hidden="1" x14ac:dyDescent="0.2">
      <c r="A307" s="29"/>
      <c r="B307" s="29"/>
      <c r="C307" s="29"/>
      <c r="D307" s="29"/>
      <c r="E307" s="29"/>
      <c r="F307" s="29"/>
      <c r="G307" s="29"/>
      <c r="H307" s="32"/>
      <c r="I307" s="29"/>
      <c r="J307" s="29"/>
      <c r="K307" s="29"/>
      <c r="L307" s="29"/>
      <c r="M307" s="29"/>
      <c r="O307" s="33"/>
    </row>
    <row r="308" spans="1:15" hidden="1" x14ac:dyDescent="0.2">
      <c r="A308" s="54" t="s">
        <v>7</v>
      </c>
      <c r="B308" s="54"/>
      <c r="C308" s="54"/>
      <c r="D308" s="54"/>
      <c r="E308" s="29"/>
      <c r="F308" s="29"/>
      <c r="G308" s="29">
        <f>VLOOKUP(F272,F301:G304,2,FALSE)</f>
        <v>0</v>
      </c>
      <c r="H308" s="32"/>
      <c r="I308" s="54" t="s">
        <v>7</v>
      </c>
      <c r="J308" s="29"/>
      <c r="K308" s="29"/>
      <c r="L308" s="29"/>
      <c r="M308" s="29">
        <f>VLOOKUP(F272,K301:M304,3,FALSE)</f>
        <v>0</v>
      </c>
      <c r="O308" s="33"/>
    </row>
    <row r="309" spans="1:15" hidden="1" x14ac:dyDescent="0.2">
      <c r="H309" s="32"/>
      <c r="O309" s="33"/>
    </row>
    <row r="310" spans="1:15" hidden="1" x14ac:dyDescent="0.2">
      <c r="E310" s="29"/>
      <c r="F310" s="29"/>
      <c r="G310" s="29"/>
      <c r="H310" s="32"/>
      <c r="J310" s="29"/>
      <c r="K310" s="29"/>
      <c r="L310" s="29"/>
      <c r="M310" s="29"/>
      <c r="O310" s="33"/>
    </row>
    <row r="311" spans="1:15" hidden="1" x14ac:dyDescent="0.2">
      <c r="E311" s="29"/>
      <c r="G311" s="29"/>
    </row>
    <row r="312" spans="1:15" hidden="1" x14ac:dyDescent="0.2"/>
    <row r="313" spans="1:15" hidden="1" x14ac:dyDescent="0.2">
      <c r="E313" s="9" t="s">
        <v>84</v>
      </c>
      <c r="F313" s="9" t="s">
        <v>91</v>
      </c>
    </row>
    <row r="314" spans="1:15" hidden="1" x14ac:dyDescent="0.2"/>
    <row r="315" spans="1:15" hidden="1" x14ac:dyDescent="0.2">
      <c r="E315" s="9" t="s">
        <v>84</v>
      </c>
      <c r="F315" s="9">
        <f>IF(J25=3,M280*12%,0)</f>
        <v>0</v>
      </c>
      <c r="G315" s="9">
        <f>IF(F315&gt;372,372,F315)</f>
        <v>0</v>
      </c>
      <c r="I315" s="9" t="s">
        <v>30</v>
      </c>
      <c r="J315" s="9">
        <f>M280*6%</f>
        <v>0</v>
      </c>
      <c r="K315" s="9">
        <f>IF(J315&gt;186,186,J315)</f>
        <v>0</v>
      </c>
      <c r="L315" s="9">
        <f>IF(J25=3,K315,0)</f>
        <v>0</v>
      </c>
    </row>
    <row r="316" spans="1:15" hidden="1" x14ac:dyDescent="0.2">
      <c r="F316" s="9">
        <f>IF(J25=4,M280*16%,0)</f>
        <v>0</v>
      </c>
      <c r="G316" s="9">
        <f>IF(F316&gt;496,496,F316)</f>
        <v>0</v>
      </c>
      <c r="I316" s="9" t="s">
        <v>31</v>
      </c>
      <c r="J316" s="9">
        <f>M280*8%</f>
        <v>0</v>
      </c>
      <c r="K316" s="9">
        <f>IF(J316&gt;248,248,J316)</f>
        <v>0</v>
      </c>
      <c r="L316" s="9">
        <f>IF(J25=4,K316,0)</f>
        <v>0</v>
      </c>
    </row>
    <row r="317" spans="1:15" hidden="1" x14ac:dyDescent="0.2">
      <c r="F317" s="9">
        <f>IF(J25=5,M280*20%,0)</f>
        <v>0</v>
      </c>
      <c r="G317" s="9">
        <f>IF(F317&gt;620,620,F317)</f>
        <v>0</v>
      </c>
      <c r="J317" s="9">
        <f>M280*10%</f>
        <v>0</v>
      </c>
      <c r="K317" s="9">
        <f>IF(J317&gt;310,310,J317)</f>
        <v>0</v>
      </c>
      <c r="L317" s="9">
        <f>IF(J25=5,K317,0)</f>
        <v>0</v>
      </c>
    </row>
    <row r="318" spans="1:15" hidden="1" x14ac:dyDescent="0.2">
      <c r="F318" s="9">
        <f>IF(J25=6,M280*24%,0)</f>
        <v>0</v>
      </c>
      <c r="G318" s="9">
        <f>IF(F318&gt;744,744,F318)</f>
        <v>0</v>
      </c>
      <c r="J318" s="9">
        <f>M280*12%</f>
        <v>0</v>
      </c>
      <c r="K318" s="9">
        <f>IF(J318&gt;372,372,J318)</f>
        <v>0</v>
      </c>
      <c r="L318" s="9">
        <f>IF(J25=6,K318,0)</f>
        <v>0</v>
      </c>
    </row>
    <row r="319" spans="1:15" hidden="1" x14ac:dyDescent="0.2">
      <c r="F319" s="9">
        <f>IF(J25=7,M280*28%,0)</f>
        <v>0</v>
      </c>
      <c r="G319" s="9">
        <f>IF(F319&gt;868,868,F319)</f>
        <v>0</v>
      </c>
      <c r="J319" s="9">
        <f>M280*14%</f>
        <v>0</v>
      </c>
      <c r="K319" s="9">
        <f>IF(J319&gt;434,434,J319)</f>
        <v>0</v>
      </c>
      <c r="L319" s="9">
        <f>IF(J25=7,K319,0)</f>
        <v>0</v>
      </c>
    </row>
    <row r="320" spans="1:15" hidden="1" x14ac:dyDescent="0.2">
      <c r="F320" s="9">
        <f>IF(J25=8,M280*32%,0)</f>
        <v>0</v>
      </c>
      <c r="G320" s="9">
        <f>IF(F320&gt;992,992,F320)</f>
        <v>0</v>
      </c>
      <c r="J320" s="9">
        <f>M280*16%</f>
        <v>0</v>
      </c>
      <c r="K320" s="9">
        <f>IF(J320&gt;496,496,J320)</f>
        <v>0</v>
      </c>
      <c r="L320" s="9">
        <f>IF(J25=8,K320,0)</f>
        <v>0</v>
      </c>
    </row>
    <row r="321" spans="5:12" hidden="1" x14ac:dyDescent="0.2">
      <c r="F321" s="9">
        <f>IF(J25=9,M280*36%,0)</f>
        <v>0</v>
      </c>
      <c r="G321" s="9">
        <f>IF(F321&gt;1116,1116,F321)</f>
        <v>0</v>
      </c>
      <c r="J321" s="9">
        <f>M280*18%</f>
        <v>0</v>
      </c>
      <c r="K321" s="9">
        <f>IF(J321&gt;558,558,J321)</f>
        <v>0</v>
      </c>
      <c r="L321" s="9">
        <f>IF(J25=9,K321,0)</f>
        <v>0</v>
      </c>
    </row>
    <row r="322" spans="5:12" hidden="1" x14ac:dyDescent="0.2">
      <c r="F322" s="9">
        <f>IF(J25=10,M280*40%,0)</f>
        <v>0</v>
      </c>
      <c r="G322" s="9">
        <f>IF(F322&gt;1240,1240,F322)</f>
        <v>0</v>
      </c>
      <c r="J322" s="9">
        <f>M280*20%</f>
        <v>0</v>
      </c>
      <c r="K322" s="9">
        <f>IF(J322&gt;620,620,J322)</f>
        <v>0</v>
      </c>
      <c r="L322" s="9">
        <f>IF(J25=10,K322,0)</f>
        <v>0</v>
      </c>
    </row>
    <row r="323" spans="5:12" hidden="1" x14ac:dyDescent="0.2"/>
    <row r="324" spans="5:12" hidden="1" x14ac:dyDescent="0.2">
      <c r="G324" s="9">
        <f>SUM(G315:G323)</f>
        <v>0</v>
      </c>
      <c r="L324" s="9">
        <f>SUM(L315:L323)</f>
        <v>0</v>
      </c>
    </row>
    <row r="325" spans="5:12" hidden="1" x14ac:dyDescent="0.2">
      <c r="G325" s="22"/>
    </row>
    <row r="326" spans="5:12" hidden="1" x14ac:dyDescent="0.2">
      <c r="G326" s="22"/>
    </row>
    <row r="327" spans="5:12" hidden="1" x14ac:dyDescent="0.2">
      <c r="G327" s="22"/>
    </row>
    <row r="328" spans="5:12" hidden="1" x14ac:dyDescent="0.2">
      <c r="E328" s="9" t="s">
        <v>32</v>
      </c>
      <c r="F328" s="23">
        <f>M280-G324</f>
        <v>0</v>
      </c>
      <c r="G328" s="22"/>
      <c r="H328" s="9" t="s">
        <v>33</v>
      </c>
      <c r="I328" s="56">
        <f>M280-L324</f>
        <v>0</v>
      </c>
    </row>
    <row r="329" spans="5:12" hidden="1" x14ac:dyDescent="0.2">
      <c r="E329" s="29"/>
      <c r="G329" s="29"/>
    </row>
    <row r="330" spans="5:12" hidden="1" x14ac:dyDescent="0.2">
      <c r="E330" s="29"/>
      <c r="G330" s="29"/>
    </row>
    <row r="331" spans="5:12" hidden="1" x14ac:dyDescent="0.2">
      <c r="E331" s="29"/>
      <c r="G331" s="29"/>
    </row>
    <row r="332" spans="5:12" hidden="1" x14ac:dyDescent="0.2">
      <c r="E332" s="29"/>
      <c r="G332" s="29"/>
    </row>
    <row r="333" spans="5:12" hidden="1" x14ac:dyDescent="0.2">
      <c r="E333" s="29"/>
      <c r="G333" s="29"/>
    </row>
    <row r="334" spans="5:12" hidden="1" x14ac:dyDescent="0.2">
      <c r="E334" s="29"/>
      <c r="G334" s="29"/>
    </row>
    <row r="335" spans="5:12" hidden="1" x14ac:dyDescent="0.2">
      <c r="E335" s="29"/>
      <c r="G335" s="29"/>
    </row>
    <row r="336" spans="5:12" hidden="1" x14ac:dyDescent="0.2">
      <c r="E336" s="29"/>
      <c r="G336" s="29"/>
    </row>
    <row r="337" spans="5:7" hidden="1" x14ac:dyDescent="0.2">
      <c r="E337" s="29"/>
      <c r="G337" s="29"/>
    </row>
    <row r="338" spans="5:7" hidden="1" x14ac:dyDescent="0.2">
      <c r="E338" s="29"/>
      <c r="G338" s="29"/>
    </row>
    <row r="339" spans="5:7" hidden="1" x14ac:dyDescent="0.2">
      <c r="E339" s="29"/>
      <c r="G339" s="29"/>
    </row>
    <row r="340" spans="5:7" hidden="1" x14ac:dyDescent="0.2">
      <c r="E340" s="29"/>
      <c r="G340" s="29"/>
    </row>
    <row r="341" spans="5:7" hidden="1" x14ac:dyDescent="0.2">
      <c r="E341" s="29"/>
      <c r="G341" s="29"/>
    </row>
    <row r="342" spans="5:7" hidden="1" x14ac:dyDescent="0.2">
      <c r="E342" s="29"/>
      <c r="G342" s="29"/>
    </row>
    <row r="343" spans="5:7" hidden="1" x14ac:dyDescent="0.2">
      <c r="E343" s="29"/>
      <c r="G343" s="29"/>
    </row>
    <row r="344" spans="5:7" hidden="1" x14ac:dyDescent="0.2">
      <c r="E344" s="29"/>
      <c r="G344" s="29"/>
    </row>
    <row r="345" spans="5:7" hidden="1" x14ac:dyDescent="0.2">
      <c r="E345" s="29"/>
      <c r="G345" s="29"/>
    </row>
    <row r="346" spans="5:7" hidden="1" x14ac:dyDescent="0.2">
      <c r="E346" s="29"/>
      <c r="G346" s="29"/>
    </row>
    <row r="347" spans="5:7" hidden="1" x14ac:dyDescent="0.2">
      <c r="E347" s="29"/>
      <c r="G347" s="29"/>
    </row>
    <row r="348" spans="5:7" hidden="1" x14ac:dyDescent="0.2">
      <c r="E348" s="29"/>
      <c r="G348" s="29"/>
    </row>
    <row r="349" spans="5:7" hidden="1" x14ac:dyDescent="0.2">
      <c r="E349" s="29"/>
      <c r="G349" s="29"/>
    </row>
    <row r="350" spans="5:7" hidden="1" x14ac:dyDescent="0.2">
      <c r="E350" s="29"/>
      <c r="G350" s="29"/>
    </row>
    <row r="351" spans="5:7" hidden="1" x14ac:dyDescent="0.2">
      <c r="E351" s="29"/>
      <c r="G351" s="29"/>
    </row>
    <row r="352" spans="5:7" hidden="1" x14ac:dyDescent="0.2">
      <c r="E352" s="29"/>
      <c r="G352" s="29"/>
    </row>
    <row r="353" spans="5:7" hidden="1" x14ac:dyDescent="0.2">
      <c r="E353" s="29"/>
      <c r="G353" s="29"/>
    </row>
    <row r="354" spans="5:7" hidden="1" x14ac:dyDescent="0.2">
      <c r="E354" s="29"/>
      <c r="G354" s="29"/>
    </row>
    <row r="355" spans="5:7" hidden="1" x14ac:dyDescent="0.2">
      <c r="E355" s="29"/>
      <c r="G355" s="29"/>
    </row>
    <row r="356" spans="5:7" hidden="1" x14ac:dyDescent="0.2">
      <c r="E356" s="29"/>
      <c r="G356" s="29"/>
    </row>
    <row r="357" spans="5:7" hidden="1" x14ac:dyDescent="0.2">
      <c r="E357" s="29"/>
      <c r="G357" s="29"/>
    </row>
    <row r="358" spans="5:7" hidden="1" x14ac:dyDescent="0.2">
      <c r="E358" s="29"/>
      <c r="G358" s="29"/>
    </row>
    <row r="359" spans="5:7" hidden="1" x14ac:dyDescent="0.2">
      <c r="E359" s="29"/>
      <c r="G359" s="29"/>
    </row>
    <row r="360" spans="5:7" hidden="1" x14ac:dyDescent="0.2">
      <c r="E360" s="29"/>
      <c r="G360" s="29"/>
    </row>
    <row r="361" spans="5:7" hidden="1" x14ac:dyDescent="0.2">
      <c r="E361" s="29"/>
      <c r="G361" s="29"/>
    </row>
    <row r="362" spans="5:7" hidden="1" x14ac:dyDescent="0.2">
      <c r="E362" s="29"/>
      <c r="G362" s="29"/>
    </row>
    <row r="363" spans="5:7" hidden="1" x14ac:dyDescent="0.2">
      <c r="E363" s="29"/>
      <c r="G363" s="29"/>
    </row>
    <row r="364" spans="5:7" hidden="1" x14ac:dyDescent="0.2">
      <c r="E364" s="29"/>
      <c r="G364" s="29"/>
    </row>
    <row r="365" spans="5:7" hidden="1" x14ac:dyDescent="0.2">
      <c r="E365" s="29"/>
      <c r="G365" s="29"/>
    </row>
    <row r="366" spans="5:7" hidden="1" x14ac:dyDescent="0.2">
      <c r="E366" s="29"/>
      <c r="G366" s="29"/>
    </row>
    <row r="367" spans="5:7" hidden="1" x14ac:dyDescent="0.2">
      <c r="E367" s="29"/>
      <c r="G367" s="29"/>
    </row>
    <row r="368" spans="5:7" hidden="1" x14ac:dyDescent="0.2">
      <c r="E368" s="29"/>
      <c r="G368" s="29"/>
    </row>
    <row r="369" spans="1:15" hidden="1" x14ac:dyDescent="0.2">
      <c r="E369" s="29"/>
      <c r="G369" s="29"/>
    </row>
    <row r="370" spans="1:15" hidden="1" x14ac:dyDescent="0.2">
      <c r="E370" s="29"/>
      <c r="G370" s="29"/>
    </row>
    <row r="371" spans="1:15" hidden="1" x14ac:dyDescent="0.2">
      <c r="E371" s="29"/>
      <c r="G371" s="29"/>
    </row>
    <row r="372" spans="1:15" hidden="1" x14ac:dyDescent="0.2">
      <c r="E372" s="29"/>
      <c r="G372" s="29"/>
    </row>
    <row r="373" spans="1:15" ht="13.5" hidden="1" thickBot="1" x14ac:dyDescent="0.25">
      <c r="E373" s="29"/>
      <c r="G373" s="29"/>
    </row>
    <row r="374" spans="1:15" ht="13.5" hidden="1" thickTop="1" x14ac:dyDescent="0.2">
      <c r="A374" s="42"/>
      <c r="B374" s="42"/>
      <c r="C374" s="42"/>
      <c r="D374" s="42"/>
      <c r="E374" s="43"/>
      <c r="F374" s="44"/>
      <c r="G374" s="43"/>
      <c r="H374" s="43"/>
      <c r="I374" s="45"/>
      <c r="J374" s="46"/>
      <c r="K374" s="45"/>
      <c r="L374" s="45"/>
      <c r="M374" s="45"/>
      <c r="N374" s="47"/>
      <c r="O374" s="48"/>
    </row>
    <row r="375" spans="1:15" hidden="1" x14ac:dyDescent="0.2">
      <c r="A375" s="29" t="s">
        <v>4</v>
      </c>
      <c r="B375" s="29"/>
      <c r="C375" s="29"/>
      <c r="D375" s="29"/>
      <c r="E375" s="29"/>
      <c r="F375" s="29">
        <f>G30</f>
        <v>0</v>
      </c>
      <c r="G375" s="49"/>
      <c r="H375" s="29"/>
      <c r="I375" s="29"/>
      <c r="J375" s="50"/>
      <c r="K375" s="29"/>
      <c r="L375" s="29"/>
      <c r="M375" s="29">
        <f>IF(AND(I30="oui",F30="ligne directe"),H387,0)</f>
        <v>0</v>
      </c>
      <c r="O375" s="51"/>
    </row>
    <row r="376" spans="1:15" hidden="1" x14ac:dyDescent="0.2">
      <c r="A376" s="29"/>
      <c r="B376" s="29"/>
      <c r="C376" s="29"/>
      <c r="D376" s="29"/>
      <c r="E376" s="29"/>
      <c r="F376" s="29"/>
      <c r="G376" s="29"/>
      <c r="H376" s="29"/>
      <c r="I376" s="29"/>
      <c r="J376" s="50"/>
      <c r="K376" s="29"/>
      <c r="L376" s="29"/>
      <c r="M376" s="29">
        <f>IF(AND(I30="oui",F30="épou(x)(se)"),H387,0)</f>
        <v>0</v>
      </c>
      <c r="O376" s="51"/>
    </row>
    <row r="377" spans="1:15" hidden="1" x14ac:dyDescent="0.2">
      <c r="A377" s="52" t="s">
        <v>5</v>
      </c>
      <c r="B377" s="52"/>
      <c r="C377" s="52"/>
      <c r="D377" s="52"/>
      <c r="E377" s="29"/>
      <c r="F377" s="29"/>
      <c r="G377" s="53" t="s">
        <v>6</v>
      </c>
      <c r="H377" s="53" t="s">
        <v>25</v>
      </c>
      <c r="I377" s="29"/>
      <c r="J377" s="50"/>
      <c r="K377" s="29"/>
      <c r="L377" s="29"/>
      <c r="M377" s="29">
        <f>IF(AND(I30="non",F30="ligne directe"),G387,0)</f>
        <v>0</v>
      </c>
      <c r="O377" s="51"/>
    </row>
    <row r="378" spans="1:15" hidden="1" x14ac:dyDescent="0.2">
      <c r="A378" s="29">
        <v>0</v>
      </c>
      <c r="B378" s="29"/>
      <c r="C378" s="29"/>
      <c r="D378" s="29"/>
      <c r="E378" s="29">
        <v>50000</v>
      </c>
      <c r="F378" s="29">
        <f>IF(AND(F375&gt;A378, F375&lt;=E378),F375,0)</f>
        <v>0</v>
      </c>
      <c r="G378" s="29">
        <f>0+(3/100)*(-A378+F378)</f>
        <v>0</v>
      </c>
      <c r="H378" s="29">
        <f>0+(2/100)*(-A378+F378)</f>
        <v>0</v>
      </c>
      <c r="I378" s="29"/>
      <c r="J378" s="50"/>
      <c r="K378" s="29"/>
      <c r="L378" s="29"/>
      <c r="M378" s="29">
        <f>IF(AND(I30="non",F30="épou(x)(se)"),G387,0)</f>
        <v>0</v>
      </c>
      <c r="O378" s="51"/>
    </row>
    <row r="379" spans="1:15" hidden="1" x14ac:dyDescent="0.2">
      <c r="A379" s="29">
        <f>E378</f>
        <v>50000</v>
      </c>
      <c r="B379" s="29"/>
      <c r="C379" s="29"/>
      <c r="D379" s="29"/>
      <c r="E379" s="29">
        <v>100000</v>
      </c>
      <c r="F379" s="29">
        <f>IF(AND(F375&gt;A379, F375&lt;=E379),F375,0)</f>
        <v>0</v>
      </c>
      <c r="G379" s="29">
        <f>(50000/100*3)+(8/100)*(-A379+F379)</f>
        <v>-2500</v>
      </c>
      <c r="H379" s="29">
        <f>(50000/100*2)+(5.3/100)*(-A379+F379)</f>
        <v>-1650</v>
      </c>
      <c r="I379" s="29"/>
      <c r="J379" s="50"/>
      <c r="K379" s="29"/>
      <c r="L379" s="29"/>
      <c r="M379" s="29">
        <f>IF(F30="frère/soeur",G398,0)</f>
        <v>0</v>
      </c>
      <c r="O379" s="51"/>
    </row>
    <row r="380" spans="1:15" hidden="1" x14ac:dyDescent="0.2">
      <c r="A380" s="29">
        <f>E379</f>
        <v>100000</v>
      </c>
      <c r="B380" s="29"/>
      <c r="C380" s="29"/>
      <c r="D380" s="29"/>
      <c r="E380" s="29">
        <v>175000</v>
      </c>
      <c r="F380" s="29">
        <f>IF(AND(F375&gt;A380, F375&lt;=E380),F375,0)</f>
        <v>0</v>
      </c>
      <c r="G380" s="29">
        <f>(50000/100*3)+(50000/100*8)+((9/100)*(-A380+F380))</f>
        <v>-3500</v>
      </c>
      <c r="H380" s="29">
        <f>(50000/100*2)+(50000/100*5.3)+((6/100)*(-A380+F380))</f>
        <v>-2350</v>
      </c>
      <c r="I380" s="29"/>
      <c r="J380" s="50"/>
      <c r="K380" s="29"/>
      <c r="L380" s="29"/>
      <c r="M380" s="29">
        <f>IF(F30="oncle-tante/neveu-nièce",G411,0)</f>
        <v>0</v>
      </c>
      <c r="O380" s="51"/>
    </row>
    <row r="381" spans="1:15" hidden="1" x14ac:dyDescent="0.2">
      <c r="A381" s="29">
        <f>E380</f>
        <v>175000</v>
      </c>
      <c r="B381" s="29"/>
      <c r="C381" s="29"/>
      <c r="D381" s="29"/>
      <c r="E381" s="29">
        <v>250000</v>
      </c>
      <c r="F381" s="29">
        <f>IF(AND(F375&gt;A381, F375&lt;=E381),F375,0)</f>
        <v>0</v>
      </c>
      <c r="G381" s="29">
        <f>(50000/100*3)+(50000/100*8)+(75000/100*9)+((18/100)*(-A381+F381))</f>
        <v>-19250</v>
      </c>
      <c r="H381" s="29">
        <f>(50000/100*2)+(50000/100*5.3)+(75000/100*6)+((12/100)*(-A381+F381))</f>
        <v>-12850</v>
      </c>
      <c r="I381" s="29"/>
      <c r="J381" s="50"/>
      <c r="K381" s="29"/>
      <c r="L381" s="29"/>
      <c r="M381" s="29">
        <f>IF(F30="étrangers",M411,0)</f>
        <v>0</v>
      </c>
      <c r="O381" s="51"/>
    </row>
    <row r="382" spans="1:15" hidden="1" x14ac:dyDescent="0.2">
      <c r="A382" s="29">
        <f>E381</f>
        <v>250000</v>
      </c>
      <c r="B382" s="29"/>
      <c r="C382" s="29"/>
      <c r="D382" s="29"/>
      <c r="E382" s="29">
        <v>500000</v>
      </c>
      <c r="F382" s="29">
        <f>IF(AND(F375&gt;A382, F375&lt;=E382),F375,0)</f>
        <v>0</v>
      </c>
      <c r="G382" s="29">
        <f>(50000/100*3)+(50000/100*8)+(75000/100*9)+(75000/100*18)+((24/100)*(-A382+F382))</f>
        <v>-34250</v>
      </c>
      <c r="H382" s="29">
        <f>(50000/100*2)+(50000/100*5.3)+(75000/100*6)+(75000/100*12)+((24/100)*(-A382+F382))</f>
        <v>-42850</v>
      </c>
      <c r="I382" s="29"/>
      <c r="J382" s="29"/>
      <c r="K382" s="29"/>
      <c r="L382" s="29"/>
      <c r="M382" s="29"/>
      <c r="O382" s="51"/>
    </row>
    <row r="383" spans="1:15" hidden="1" x14ac:dyDescent="0.2">
      <c r="A383" s="29">
        <f>E382</f>
        <v>500000</v>
      </c>
      <c r="B383" s="29"/>
      <c r="C383" s="29"/>
      <c r="D383" s="29"/>
      <c r="E383" s="29">
        <v>999999999</v>
      </c>
      <c r="F383" s="29">
        <f>IF(AND(F375&gt;A383, F375&lt;=E383),F375,0)</f>
        <v>0</v>
      </c>
      <c r="G383" s="29">
        <f>(50000/100*3)+(50000/100*8)+(75000/100*9)+(75000/100*18)+(250000/100*24)+((30/100)*(-A383+F383))</f>
        <v>-64250</v>
      </c>
      <c r="H383" s="29">
        <f>(50000/100*2)+(50000/100*5.3)+(75000/100*6)+(75000/100*12)+(250000/100*24)+((30/100)*(-A383+F383))</f>
        <v>-72850</v>
      </c>
      <c r="I383" s="29"/>
      <c r="J383" s="29"/>
      <c r="K383" s="29"/>
      <c r="L383" s="29"/>
      <c r="M383" s="29">
        <f>SUM(M375:M382)</f>
        <v>0</v>
      </c>
      <c r="O383" s="51"/>
    </row>
    <row r="384" spans="1:15" hidden="1" x14ac:dyDescent="0.2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O384" s="51"/>
    </row>
    <row r="385" spans="1:15" hidden="1" x14ac:dyDescent="0.2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O385" s="51"/>
    </row>
    <row r="386" spans="1:15" hidden="1" x14ac:dyDescent="0.2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O386" s="51"/>
    </row>
    <row r="387" spans="1:15" hidden="1" x14ac:dyDescent="0.2">
      <c r="A387" s="54" t="s">
        <v>7</v>
      </c>
      <c r="B387" s="54"/>
      <c r="C387" s="54"/>
      <c r="D387" s="54"/>
      <c r="E387" s="29"/>
      <c r="F387" s="29"/>
      <c r="G387" s="29">
        <f>VLOOKUP(F375,F378:G383,2,FALSE)</f>
        <v>0</v>
      </c>
      <c r="H387" s="29">
        <f>VLOOKUP(F375,F378:H383,3,FALSE)</f>
        <v>0</v>
      </c>
      <c r="I387" s="29"/>
      <c r="J387" s="29"/>
      <c r="K387" s="29"/>
      <c r="L387" s="29"/>
      <c r="M387" s="29"/>
      <c r="O387" s="51"/>
    </row>
    <row r="388" spans="1:15" hidden="1" x14ac:dyDescent="0.2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O388" s="51"/>
    </row>
    <row r="389" spans="1:15" hidden="1" x14ac:dyDescent="0.2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O389" s="51"/>
    </row>
    <row r="390" spans="1:15" hidden="1" x14ac:dyDescent="0.2">
      <c r="A390" s="52" t="s">
        <v>8</v>
      </c>
      <c r="B390" s="52"/>
      <c r="C390" s="52"/>
      <c r="D390" s="52"/>
      <c r="E390" s="29"/>
      <c r="F390" s="29"/>
      <c r="G390" s="53" t="s">
        <v>9</v>
      </c>
      <c r="H390" s="53"/>
      <c r="I390" s="42"/>
      <c r="J390" s="42"/>
      <c r="K390" s="42"/>
      <c r="L390" s="42"/>
      <c r="M390" s="42"/>
    </row>
    <row r="391" spans="1:15" hidden="1" x14ac:dyDescent="0.2">
      <c r="A391" s="29">
        <v>0</v>
      </c>
      <c r="B391" s="29"/>
      <c r="C391" s="29"/>
      <c r="D391" s="29"/>
      <c r="E391" s="29">
        <v>12500</v>
      </c>
      <c r="F391" s="29">
        <f>IF(AND(F375&gt;A391, F375&lt;=E391),F375,0)</f>
        <v>0</v>
      </c>
      <c r="G391" s="29">
        <f>0+(20/100)*(-A391+F391)</f>
        <v>0</v>
      </c>
      <c r="H391" s="29"/>
      <c r="I391" s="29"/>
      <c r="J391" s="29"/>
      <c r="K391" s="29"/>
      <c r="L391" s="29"/>
      <c r="M391" s="29"/>
    </row>
    <row r="392" spans="1:15" hidden="1" x14ac:dyDescent="0.2">
      <c r="A392" s="29">
        <f>E391</f>
        <v>12500</v>
      </c>
      <c r="B392" s="29"/>
      <c r="C392" s="29"/>
      <c r="D392" s="29"/>
      <c r="E392" s="29">
        <v>25000</v>
      </c>
      <c r="F392" s="29">
        <f>IF(AND(F375&gt;A392, F375&lt;=E392),F375,0)</f>
        <v>0</v>
      </c>
      <c r="G392" s="29">
        <f>(12500/100*20)+((25/100)*(-A392+F392))</f>
        <v>-625</v>
      </c>
      <c r="H392" s="29"/>
      <c r="I392" s="29"/>
      <c r="J392" s="29"/>
      <c r="K392" s="29"/>
      <c r="L392" s="29"/>
      <c r="M392" s="29"/>
    </row>
    <row r="393" spans="1:15" hidden="1" x14ac:dyDescent="0.2">
      <c r="A393" s="29">
        <f>E392</f>
        <v>25000</v>
      </c>
      <c r="B393" s="29"/>
      <c r="C393" s="29"/>
      <c r="D393" s="29"/>
      <c r="E393" s="29">
        <v>50000</v>
      </c>
      <c r="F393" s="29">
        <f>IF(AND(F375&gt;A393, F375&lt;=E393),F375,0)</f>
        <v>0</v>
      </c>
      <c r="G393" s="29">
        <f>(12500/100*20)+(12500/100*25)+((30/100)*(-A393+F393))</f>
        <v>-1875</v>
      </c>
      <c r="H393" s="29"/>
      <c r="I393" s="29"/>
      <c r="J393" s="29"/>
      <c r="K393" s="29"/>
      <c r="L393" s="29"/>
      <c r="M393" s="29"/>
    </row>
    <row r="394" spans="1:15" hidden="1" x14ac:dyDescent="0.2">
      <c r="A394" s="29">
        <f>E393</f>
        <v>50000</v>
      </c>
      <c r="B394" s="29"/>
      <c r="C394" s="29"/>
      <c r="D394" s="29"/>
      <c r="E394" s="29">
        <v>100000</v>
      </c>
      <c r="F394" s="29">
        <f>IF(AND(F375&gt;A394, F375&lt;=E394),F375,0)</f>
        <v>0</v>
      </c>
      <c r="G394" s="29">
        <f>(12500/100*20)+(12500/100*25)+(25000/100*30)+((40/100)*(-A394+F394))</f>
        <v>-6875</v>
      </c>
      <c r="H394" s="29"/>
      <c r="I394" s="29"/>
      <c r="J394" s="29"/>
      <c r="K394" s="29"/>
      <c r="L394" s="29"/>
      <c r="M394" s="29"/>
    </row>
    <row r="395" spans="1:15" hidden="1" x14ac:dyDescent="0.2">
      <c r="A395" s="29">
        <f>E394</f>
        <v>100000</v>
      </c>
      <c r="B395" s="29"/>
      <c r="C395" s="29"/>
      <c r="D395" s="29"/>
      <c r="E395" s="29">
        <v>175000</v>
      </c>
      <c r="F395" s="29">
        <f>IF(AND(F375&gt;A395, F375&lt;=E395),F375,0)</f>
        <v>0</v>
      </c>
      <c r="G395" s="29">
        <f>(12500/100*20)+(12500/100*25)+(25000/100*30)+(50000/100*40)+((55/100)*(-A395+F395))</f>
        <v>-21875.000000000007</v>
      </c>
      <c r="H395" s="29"/>
      <c r="I395" s="29"/>
      <c r="J395" s="29"/>
      <c r="K395" s="29"/>
      <c r="L395" s="29"/>
      <c r="M395" s="29"/>
    </row>
    <row r="396" spans="1:15" hidden="1" x14ac:dyDescent="0.2">
      <c r="A396" s="29">
        <v>175000</v>
      </c>
      <c r="B396" s="29"/>
      <c r="C396" s="29"/>
      <c r="D396" s="29"/>
      <c r="E396" s="29">
        <v>250000</v>
      </c>
      <c r="F396" s="29">
        <f>IF(AND(F375&gt;A396, F375&lt;=E396),F375,0)</f>
        <v>0</v>
      </c>
      <c r="G396" s="29">
        <f>(12500/100*20)+(12500/100*25)+(25000/100*30)+(50000/100*40)+(75000/100*55)+((60/100)*(-A396+F396))</f>
        <v>-30625</v>
      </c>
      <c r="H396" s="29"/>
      <c r="I396" s="29"/>
      <c r="J396" s="29"/>
      <c r="K396" s="29"/>
      <c r="L396" s="29"/>
      <c r="M396" s="29"/>
    </row>
    <row r="397" spans="1:15" hidden="1" x14ac:dyDescent="0.2">
      <c r="A397" s="29">
        <f>E396</f>
        <v>250000</v>
      </c>
      <c r="B397" s="29"/>
      <c r="C397" s="29"/>
      <c r="D397" s="29"/>
      <c r="E397" s="29">
        <v>999999999</v>
      </c>
      <c r="F397" s="29">
        <f>IF(AND(F375&gt;A397, F375&lt;=E397),F375,0)</f>
        <v>0</v>
      </c>
      <c r="G397" s="29">
        <f>(12500/100*20)+(12500/100*25)+(25000/100*30)+(50000/100*40)+(75000/100*55)+(75000/100*60)+((65/100)*(-A397+F397))</f>
        <v>-43125</v>
      </c>
      <c r="H397" s="29"/>
      <c r="I397" s="29"/>
      <c r="J397" s="29"/>
      <c r="K397" s="29"/>
      <c r="L397" s="29"/>
      <c r="M397" s="29"/>
    </row>
    <row r="398" spans="1:15" hidden="1" x14ac:dyDescent="0.2">
      <c r="A398" s="54" t="s">
        <v>7</v>
      </c>
      <c r="B398" s="54"/>
      <c r="C398" s="54"/>
      <c r="D398" s="54"/>
      <c r="E398" s="29"/>
      <c r="F398" s="29"/>
      <c r="G398" s="29">
        <f>VLOOKUP(F375,F391:G397,2,FALSE)</f>
        <v>0</v>
      </c>
      <c r="H398" s="29"/>
      <c r="I398" s="29"/>
      <c r="J398" s="29"/>
      <c r="K398" s="29"/>
      <c r="L398" s="29"/>
      <c r="M398" s="29"/>
    </row>
    <row r="399" spans="1:15" hidden="1" x14ac:dyDescent="0.2"/>
    <row r="400" spans="1:15" hidden="1" x14ac:dyDescent="0.2">
      <c r="E400" s="29"/>
      <c r="F400" s="29"/>
      <c r="G400" s="29"/>
      <c r="H400" s="32"/>
      <c r="I400" s="29"/>
      <c r="J400" s="33"/>
      <c r="M400" s="33"/>
      <c r="O400" s="33"/>
    </row>
    <row r="401" spans="1:15" hidden="1" x14ac:dyDescent="0.2">
      <c r="E401" s="29"/>
      <c r="F401" s="29"/>
      <c r="G401" s="29"/>
      <c r="H401" s="32"/>
      <c r="I401" s="29"/>
      <c r="J401" s="33"/>
      <c r="M401" s="33"/>
      <c r="O401" s="33"/>
    </row>
    <row r="402" spans="1:15" hidden="1" x14ac:dyDescent="0.2">
      <c r="E402" s="29"/>
      <c r="F402" s="29"/>
      <c r="G402" s="29"/>
      <c r="H402" s="32"/>
      <c r="I402" s="29"/>
      <c r="J402" s="33"/>
      <c r="M402" s="33"/>
      <c r="O402" s="33"/>
    </row>
    <row r="403" spans="1:15" hidden="1" x14ac:dyDescent="0.2">
      <c r="A403" s="52" t="s">
        <v>26</v>
      </c>
      <c r="B403" s="52"/>
      <c r="C403" s="52"/>
      <c r="D403" s="52"/>
      <c r="E403" s="29"/>
      <c r="F403" s="29"/>
      <c r="G403" s="53" t="s">
        <v>10</v>
      </c>
      <c r="H403" s="32"/>
      <c r="I403" s="52" t="s">
        <v>27</v>
      </c>
      <c r="J403" s="29"/>
      <c r="K403" s="29"/>
      <c r="L403" s="29"/>
      <c r="M403" s="53" t="s">
        <v>11</v>
      </c>
      <c r="O403" s="33"/>
    </row>
    <row r="404" spans="1:15" hidden="1" x14ac:dyDescent="0.2">
      <c r="A404" s="29">
        <v>0</v>
      </c>
      <c r="B404" s="29"/>
      <c r="C404" s="29"/>
      <c r="D404" s="29"/>
      <c r="E404" s="29">
        <v>50000</v>
      </c>
      <c r="F404" s="29">
        <f>IF(AND(F375&gt;A404, F375&lt;=E404),F375,0)</f>
        <v>0</v>
      </c>
      <c r="G404" s="29">
        <f>0+(35/100)*(-A404+F404)</f>
        <v>0</v>
      </c>
      <c r="H404" s="32"/>
      <c r="I404" s="29">
        <v>0</v>
      </c>
      <c r="J404" s="29">
        <v>50000</v>
      </c>
      <c r="K404" s="29">
        <f>IF(AND(F375&gt;I404, F375&lt;=J404),F375,0)</f>
        <v>0</v>
      </c>
      <c r="L404" s="29"/>
      <c r="M404" s="29">
        <f>0+(40/100)*(-I404+K404)</f>
        <v>0</v>
      </c>
      <c r="O404" s="33"/>
    </row>
    <row r="405" spans="1:15" hidden="1" x14ac:dyDescent="0.2">
      <c r="A405" s="29">
        <f>E404</f>
        <v>50000</v>
      </c>
      <c r="B405" s="29"/>
      <c r="C405" s="29"/>
      <c r="D405" s="29"/>
      <c r="E405" s="29">
        <v>100000</v>
      </c>
      <c r="F405" s="29">
        <f>IF(AND(F375&gt;A405, F375&lt;=E405),F375,0)</f>
        <v>0</v>
      </c>
      <c r="G405" s="29">
        <f>(50000/100*35)+((50/100)*(-A405+F405))</f>
        <v>-7500</v>
      </c>
      <c r="H405" s="32"/>
      <c r="I405" s="29">
        <f>J404</f>
        <v>50000</v>
      </c>
      <c r="J405" s="29">
        <v>75000</v>
      </c>
      <c r="K405" s="29">
        <f>IF(AND(F375&gt;I405, F375&lt;=J405),F375,0)</f>
        <v>0</v>
      </c>
      <c r="L405" s="29"/>
      <c r="M405" s="29">
        <f>(50000/100*40)+((55/100)*(-I405+K405))</f>
        <v>-7500.0000000000036</v>
      </c>
      <c r="O405" s="33"/>
    </row>
    <row r="406" spans="1:15" hidden="1" x14ac:dyDescent="0.2">
      <c r="A406" s="29">
        <f>E405</f>
        <v>100000</v>
      </c>
      <c r="B406" s="29"/>
      <c r="C406" s="29"/>
      <c r="D406" s="29"/>
      <c r="E406" s="29">
        <v>175000</v>
      </c>
      <c r="F406" s="29">
        <f>IF(AND(F375&gt;A406, F375&lt;=E406),F375,0)</f>
        <v>0</v>
      </c>
      <c r="G406" s="29">
        <f>(50000/100*35)+(50000/100*50)+((60/100)*(-A406+F406))</f>
        <v>-17500</v>
      </c>
      <c r="H406" s="32"/>
      <c r="I406" s="29">
        <f>J405</f>
        <v>75000</v>
      </c>
      <c r="J406" s="29">
        <v>175000</v>
      </c>
      <c r="K406" s="29">
        <f>IF(AND(F375&gt;I406, F375&lt;=J406),F375,0)</f>
        <v>0</v>
      </c>
      <c r="L406" s="29"/>
      <c r="M406" s="29">
        <f>(50000/100*40)+(25000/100*55)+((65/100)*(-I406+K406))</f>
        <v>-15000</v>
      </c>
      <c r="O406" s="33"/>
    </row>
    <row r="407" spans="1:15" hidden="1" x14ac:dyDescent="0.2">
      <c r="A407" s="29">
        <f>E406</f>
        <v>175000</v>
      </c>
      <c r="B407" s="29"/>
      <c r="C407" s="29"/>
      <c r="D407" s="29"/>
      <c r="E407" s="29">
        <v>999999999</v>
      </c>
      <c r="F407" s="29">
        <f>IF(AND(F375&gt;A407, F375&lt;=E407),F375,0)</f>
        <v>0</v>
      </c>
      <c r="G407" s="29">
        <f>(50000/100*35)+(50000/100*50)+(75000/100*60)+((70/100)*(-A407+F407))</f>
        <v>-34999.999999999985</v>
      </c>
      <c r="H407" s="32"/>
      <c r="I407" s="29">
        <f>J406</f>
        <v>175000</v>
      </c>
      <c r="J407" s="29">
        <v>999999999</v>
      </c>
      <c r="K407" s="29">
        <f>IF(AND(F375&gt;I407, F375&lt;=J407),F375,0)</f>
        <v>0</v>
      </c>
      <c r="L407" s="29"/>
      <c r="M407" s="29">
        <f>(50000/100*40)+(25000/100*55)+(100000/100*65)+((80/100)*(-I407+K407))</f>
        <v>-41250</v>
      </c>
      <c r="O407" s="33"/>
    </row>
    <row r="408" spans="1:15" hidden="1" x14ac:dyDescent="0.2">
      <c r="A408" s="29"/>
      <c r="B408" s="29"/>
      <c r="C408" s="29"/>
      <c r="D408" s="29"/>
      <c r="E408" s="29"/>
      <c r="F408" s="29"/>
      <c r="G408" s="29"/>
      <c r="H408" s="32"/>
      <c r="I408" s="29"/>
      <c r="J408" s="29"/>
      <c r="K408" s="29"/>
      <c r="L408" s="29"/>
      <c r="M408" s="29"/>
      <c r="O408" s="33"/>
    </row>
    <row r="409" spans="1:15" hidden="1" x14ac:dyDescent="0.2">
      <c r="A409" s="29"/>
      <c r="B409" s="29"/>
      <c r="C409" s="29"/>
      <c r="D409" s="29"/>
      <c r="E409" s="29"/>
      <c r="F409" s="29"/>
      <c r="G409" s="29"/>
      <c r="H409" s="32"/>
      <c r="I409" s="29"/>
      <c r="J409" s="29"/>
      <c r="K409" s="29"/>
      <c r="L409" s="29"/>
      <c r="M409" s="29"/>
      <c r="O409" s="33"/>
    </row>
    <row r="410" spans="1:15" hidden="1" x14ac:dyDescent="0.2">
      <c r="A410" s="29"/>
      <c r="B410" s="29"/>
      <c r="C410" s="29"/>
      <c r="D410" s="29"/>
      <c r="E410" s="29"/>
      <c r="F410" s="29"/>
      <c r="G410" s="29"/>
      <c r="H410" s="32"/>
      <c r="I410" s="29"/>
      <c r="J410" s="29"/>
      <c r="K410" s="29"/>
      <c r="L410" s="29"/>
      <c r="M410" s="29"/>
      <c r="O410" s="33"/>
    </row>
    <row r="411" spans="1:15" hidden="1" x14ac:dyDescent="0.2">
      <c r="A411" s="54" t="s">
        <v>7</v>
      </c>
      <c r="B411" s="54"/>
      <c r="C411" s="54"/>
      <c r="D411" s="54"/>
      <c r="E411" s="29"/>
      <c r="F411" s="29"/>
      <c r="G411" s="29">
        <f>VLOOKUP(F375,F404:G407,2,FALSE)</f>
        <v>0</v>
      </c>
      <c r="H411" s="32"/>
      <c r="I411" s="54" t="s">
        <v>7</v>
      </c>
      <c r="J411" s="29"/>
      <c r="K411" s="29"/>
      <c r="L411" s="29"/>
      <c r="M411" s="29">
        <f>VLOOKUP(F375,K404:M407,3,FALSE)</f>
        <v>0</v>
      </c>
      <c r="O411" s="33"/>
    </row>
    <row r="412" spans="1:15" hidden="1" x14ac:dyDescent="0.2">
      <c r="H412" s="32"/>
      <c r="O412" s="33"/>
    </row>
    <row r="413" spans="1:15" hidden="1" x14ac:dyDescent="0.2">
      <c r="E413" s="29"/>
      <c r="F413" s="29"/>
      <c r="G413" s="29"/>
      <c r="H413" s="32"/>
      <c r="J413" s="29"/>
      <c r="K413" s="29"/>
      <c r="L413" s="29"/>
      <c r="M413" s="29"/>
      <c r="O413" s="33"/>
    </row>
    <row r="414" spans="1:15" hidden="1" x14ac:dyDescent="0.2">
      <c r="E414" s="29"/>
      <c r="G414" s="29"/>
    </row>
    <row r="415" spans="1:15" hidden="1" x14ac:dyDescent="0.2"/>
    <row r="416" spans="1:15" hidden="1" x14ac:dyDescent="0.2">
      <c r="E416" s="9" t="s">
        <v>84</v>
      </c>
      <c r="F416" s="9" t="s">
        <v>91</v>
      </c>
    </row>
    <row r="417" spans="5:12" hidden="1" x14ac:dyDescent="0.2"/>
    <row r="418" spans="5:12" hidden="1" x14ac:dyDescent="0.2">
      <c r="E418" s="9" t="s">
        <v>84</v>
      </c>
      <c r="F418" s="9">
        <f>IF(J30=3,M383*12%,0)</f>
        <v>0</v>
      </c>
      <c r="G418" s="9">
        <f>IF(F418&gt;372,372,F418)</f>
        <v>0</v>
      </c>
      <c r="I418" s="9" t="s">
        <v>30</v>
      </c>
      <c r="J418" s="9">
        <f>M383*6%</f>
        <v>0</v>
      </c>
      <c r="K418" s="9">
        <f>IF(J418&gt;186,186,J418)</f>
        <v>0</v>
      </c>
      <c r="L418" s="9">
        <f>IF(J30=3,K418,0)</f>
        <v>0</v>
      </c>
    </row>
    <row r="419" spans="5:12" hidden="1" x14ac:dyDescent="0.2">
      <c r="F419" s="9">
        <f>IF(J30=4,M383*16%,0)</f>
        <v>0</v>
      </c>
      <c r="G419" s="9">
        <f>IF(F419&gt;496,496,F419)</f>
        <v>0</v>
      </c>
      <c r="I419" s="9" t="s">
        <v>31</v>
      </c>
      <c r="J419" s="9">
        <f>M383*8%</f>
        <v>0</v>
      </c>
      <c r="K419" s="9">
        <f>IF(J419&gt;248,248,J419)</f>
        <v>0</v>
      </c>
      <c r="L419" s="9">
        <f>IF(J30=4,K419,0)</f>
        <v>0</v>
      </c>
    </row>
    <row r="420" spans="5:12" hidden="1" x14ac:dyDescent="0.2">
      <c r="F420" s="9">
        <f>IF(J30=5,M383*20%,0)</f>
        <v>0</v>
      </c>
      <c r="G420" s="9">
        <f>IF(F420&gt;620,620,F420)</f>
        <v>0</v>
      </c>
      <c r="J420" s="9">
        <f>M383*10%</f>
        <v>0</v>
      </c>
      <c r="K420" s="9">
        <f>IF(J420&gt;310,310,J420)</f>
        <v>0</v>
      </c>
      <c r="L420" s="9">
        <f>IF(J30=5,K420,0)</f>
        <v>0</v>
      </c>
    </row>
    <row r="421" spans="5:12" hidden="1" x14ac:dyDescent="0.2">
      <c r="F421" s="9">
        <f>IF(J30=6,M383*24%,0)</f>
        <v>0</v>
      </c>
      <c r="G421" s="9">
        <f>IF(F421&gt;744,744,F421)</f>
        <v>0</v>
      </c>
      <c r="J421" s="9">
        <f>M383*12%</f>
        <v>0</v>
      </c>
      <c r="K421" s="9">
        <f>IF(J421&gt;372,372,J421)</f>
        <v>0</v>
      </c>
      <c r="L421" s="9">
        <f>IF(J30=6,K421,0)</f>
        <v>0</v>
      </c>
    </row>
    <row r="422" spans="5:12" hidden="1" x14ac:dyDescent="0.2">
      <c r="F422" s="9">
        <f>IF(J30=7,M383*28%,0)</f>
        <v>0</v>
      </c>
      <c r="G422" s="9">
        <f>IF(F422&gt;868,868,F422)</f>
        <v>0</v>
      </c>
      <c r="J422" s="9">
        <f>M383*14%</f>
        <v>0</v>
      </c>
      <c r="K422" s="9">
        <f>IF(J422&gt;434,434,J422)</f>
        <v>0</v>
      </c>
      <c r="L422" s="9">
        <f>IF(J30=7,K422,0)</f>
        <v>0</v>
      </c>
    </row>
    <row r="423" spans="5:12" hidden="1" x14ac:dyDescent="0.2">
      <c r="F423" s="9">
        <f>IF(J30=8,M383*32%,0)</f>
        <v>0</v>
      </c>
      <c r="G423" s="9">
        <f>IF(F423&gt;992,992,F423)</f>
        <v>0</v>
      </c>
      <c r="J423" s="9">
        <f>M383*16%</f>
        <v>0</v>
      </c>
      <c r="K423" s="9">
        <f>IF(J423&gt;496,496,J423)</f>
        <v>0</v>
      </c>
      <c r="L423" s="9">
        <f>IF(J30=8,K423,0)</f>
        <v>0</v>
      </c>
    </row>
    <row r="424" spans="5:12" hidden="1" x14ac:dyDescent="0.2">
      <c r="F424" s="9">
        <f>IF(J30=9,M383*36%,0)</f>
        <v>0</v>
      </c>
      <c r="G424" s="9">
        <f>IF(F424&gt;1116,1116,F424)</f>
        <v>0</v>
      </c>
      <c r="J424" s="9">
        <f>M383*18%</f>
        <v>0</v>
      </c>
      <c r="K424" s="9">
        <f>IF(J424&gt;558,558,J424)</f>
        <v>0</v>
      </c>
      <c r="L424" s="9">
        <f>IF(J30=9,K424,0)</f>
        <v>0</v>
      </c>
    </row>
    <row r="425" spans="5:12" hidden="1" x14ac:dyDescent="0.2">
      <c r="F425" s="9">
        <f>IF(J30=10,M383*40%,0)</f>
        <v>0</v>
      </c>
      <c r="G425" s="9">
        <f>IF(F425&gt;1240,1240,F425)</f>
        <v>0</v>
      </c>
      <c r="J425" s="9">
        <f>M383*20%</f>
        <v>0</v>
      </c>
      <c r="K425" s="9">
        <f>IF(J425&gt;620,620,J425)</f>
        <v>0</v>
      </c>
      <c r="L425" s="9">
        <f>IF(J30=10,K425,0)</f>
        <v>0</v>
      </c>
    </row>
    <row r="426" spans="5:12" hidden="1" x14ac:dyDescent="0.2"/>
    <row r="427" spans="5:12" hidden="1" x14ac:dyDescent="0.2">
      <c r="G427" s="9">
        <f>SUM(G418:G426)</f>
        <v>0</v>
      </c>
      <c r="L427" s="9">
        <f>SUM(L418:L426)</f>
        <v>0</v>
      </c>
    </row>
    <row r="428" spans="5:12" hidden="1" x14ac:dyDescent="0.2">
      <c r="G428" s="22"/>
    </row>
    <row r="429" spans="5:12" hidden="1" x14ac:dyDescent="0.2">
      <c r="G429" s="22"/>
    </row>
    <row r="430" spans="5:12" hidden="1" x14ac:dyDescent="0.2">
      <c r="G430" s="22"/>
    </row>
    <row r="431" spans="5:12" hidden="1" x14ac:dyDescent="0.2">
      <c r="E431" s="9" t="s">
        <v>32</v>
      </c>
      <c r="F431" s="23">
        <f>M383-G427</f>
        <v>0</v>
      </c>
      <c r="G431" s="22"/>
      <c r="H431" s="9" t="s">
        <v>33</v>
      </c>
      <c r="I431" s="56">
        <f>M383-L427</f>
        <v>0</v>
      </c>
    </row>
    <row r="432" spans="5:12" hidden="1" x14ac:dyDescent="0.2">
      <c r="E432" s="29"/>
      <c r="G432" s="29"/>
    </row>
    <row r="433" spans="5:7" hidden="1" x14ac:dyDescent="0.2">
      <c r="E433" s="29"/>
      <c r="G433" s="29"/>
    </row>
    <row r="434" spans="5:7" hidden="1" x14ac:dyDescent="0.2">
      <c r="E434" s="29"/>
      <c r="G434" s="29"/>
    </row>
    <row r="435" spans="5:7" hidden="1" x14ac:dyDescent="0.2">
      <c r="E435" s="29"/>
      <c r="G435" s="29"/>
    </row>
    <row r="436" spans="5:7" hidden="1" x14ac:dyDescent="0.2">
      <c r="E436" s="29"/>
      <c r="G436" s="29"/>
    </row>
    <row r="437" spans="5:7" hidden="1" x14ac:dyDescent="0.2">
      <c r="E437" s="29"/>
      <c r="G437" s="29"/>
    </row>
    <row r="438" spans="5:7" hidden="1" x14ac:dyDescent="0.2">
      <c r="E438" s="29"/>
      <c r="G438" s="29"/>
    </row>
    <row r="439" spans="5:7" hidden="1" x14ac:dyDescent="0.2">
      <c r="E439" s="29"/>
      <c r="G439" s="29"/>
    </row>
    <row r="440" spans="5:7" hidden="1" x14ac:dyDescent="0.2">
      <c r="E440" s="29"/>
      <c r="G440" s="29"/>
    </row>
    <row r="441" spans="5:7" hidden="1" x14ac:dyDescent="0.2">
      <c r="E441" s="29"/>
      <c r="G441" s="29"/>
    </row>
    <row r="442" spans="5:7" hidden="1" x14ac:dyDescent="0.2">
      <c r="E442" s="29"/>
      <c r="G442" s="29"/>
    </row>
    <row r="443" spans="5:7" hidden="1" x14ac:dyDescent="0.2">
      <c r="E443" s="29"/>
      <c r="G443" s="29"/>
    </row>
    <row r="444" spans="5:7" hidden="1" x14ac:dyDescent="0.2">
      <c r="E444" s="29"/>
      <c r="G444" s="29"/>
    </row>
    <row r="445" spans="5:7" hidden="1" x14ac:dyDescent="0.2">
      <c r="E445" s="29"/>
      <c r="G445" s="29"/>
    </row>
    <row r="446" spans="5:7" hidden="1" x14ac:dyDescent="0.2">
      <c r="E446" s="29"/>
      <c r="G446" s="29"/>
    </row>
    <row r="447" spans="5:7" hidden="1" x14ac:dyDescent="0.2">
      <c r="E447" s="29"/>
      <c r="G447" s="29"/>
    </row>
    <row r="448" spans="5:7" hidden="1" x14ac:dyDescent="0.2">
      <c r="E448" s="29"/>
      <c r="G448" s="29"/>
    </row>
    <row r="449" spans="5:7" hidden="1" x14ac:dyDescent="0.2">
      <c r="E449" s="29"/>
      <c r="G449" s="29"/>
    </row>
    <row r="450" spans="5:7" hidden="1" x14ac:dyDescent="0.2">
      <c r="E450" s="29"/>
      <c r="G450" s="29"/>
    </row>
    <row r="451" spans="5:7" hidden="1" x14ac:dyDescent="0.2">
      <c r="E451" s="29"/>
      <c r="G451" s="29"/>
    </row>
    <row r="452" spans="5:7" hidden="1" x14ac:dyDescent="0.2">
      <c r="E452" s="29"/>
      <c r="G452" s="29"/>
    </row>
    <row r="453" spans="5:7" hidden="1" x14ac:dyDescent="0.2">
      <c r="E453" s="29"/>
      <c r="G453" s="29"/>
    </row>
    <row r="454" spans="5:7" hidden="1" x14ac:dyDescent="0.2">
      <c r="E454" s="29"/>
      <c r="G454" s="29"/>
    </row>
    <row r="455" spans="5:7" hidden="1" x14ac:dyDescent="0.2">
      <c r="E455" s="29"/>
      <c r="G455" s="29"/>
    </row>
    <row r="456" spans="5:7" hidden="1" x14ac:dyDescent="0.2">
      <c r="E456" s="29"/>
      <c r="G456" s="29"/>
    </row>
    <row r="457" spans="5:7" hidden="1" x14ac:dyDescent="0.2">
      <c r="E457" s="29"/>
      <c r="G457" s="29"/>
    </row>
    <row r="458" spans="5:7" hidden="1" x14ac:dyDescent="0.2">
      <c r="E458" s="29"/>
      <c r="G458" s="29"/>
    </row>
    <row r="459" spans="5:7" hidden="1" x14ac:dyDescent="0.2">
      <c r="E459" s="29"/>
      <c r="G459" s="29"/>
    </row>
    <row r="460" spans="5:7" hidden="1" x14ac:dyDescent="0.2">
      <c r="E460" s="29"/>
      <c r="G460" s="29"/>
    </row>
    <row r="461" spans="5:7" hidden="1" x14ac:dyDescent="0.2">
      <c r="E461" s="29"/>
      <c r="G461" s="29"/>
    </row>
    <row r="462" spans="5:7" hidden="1" x14ac:dyDescent="0.2">
      <c r="E462" s="29"/>
      <c r="G462" s="29"/>
    </row>
    <row r="463" spans="5:7" hidden="1" x14ac:dyDescent="0.2">
      <c r="E463" s="29"/>
      <c r="G463" s="29"/>
    </row>
    <row r="464" spans="5:7" hidden="1" x14ac:dyDescent="0.2">
      <c r="E464" s="29"/>
      <c r="G464" s="29"/>
    </row>
    <row r="465" spans="1:15" hidden="1" x14ac:dyDescent="0.2">
      <c r="E465" s="29"/>
      <c r="G465" s="29"/>
    </row>
    <row r="466" spans="1:15" hidden="1" x14ac:dyDescent="0.2">
      <c r="E466" s="29"/>
      <c r="G466" s="29"/>
    </row>
    <row r="467" spans="1:15" hidden="1" x14ac:dyDescent="0.2">
      <c r="E467" s="29"/>
      <c r="G467" s="29"/>
    </row>
    <row r="468" spans="1:15" hidden="1" x14ac:dyDescent="0.2">
      <c r="E468" s="29"/>
      <c r="G468" s="29"/>
    </row>
    <row r="469" spans="1:15" hidden="1" x14ac:dyDescent="0.2">
      <c r="E469" s="29"/>
      <c r="G469" s="29"/>
    </row>
    <row r="470" spans="1:15" hidden="1" x14ac:dyDescent="0.2">
      <c r="E470" s="29"/>
      <c r="G470" s="29"/>
    </row>
    <row r="471" spans="1:15" hidden="1" x14ac:dyDescent="0.2">
      <c r="E471" s="29"/>
      <c r="G471" s="29"/>
    </row>
    <row r="472" spans="1:15" hidden="1" x14ac:dyDescent="0.2">
      <c r="E472" s="29"/>
      <c r="G472" s="29"/>
    </row>
    <row r="473" spans="1:15" hidden="1" x14ac:dyDescent="0.2">
      <c r="E473" s="29"/>
      <c r="G473" s="29"/>
    </row>
    <row r="474" spans="1:15" hidden="1" x14ac:dyDescent="0.2">
      <c r="E474" s="29"/>
      <c r="G474" s="29"/>
    </row>
    <row r="475" spans="1:15" hidden="1" x14ac:dyDescent="0.2">
      <c r="E475" s="29"/>
      <c r="G475" s="29"/>
    </row>
    <row r="476" spans="1:15" ht="13.5" hidden="1" thickBot="1" x14ac:dyDescent="0.25">
      <c r="E476" s="29"/>
      <c r="G476" s="29"/>
    </row>
    <row r="477" spans="1:15" ht="13.5" hidden="1" thickTop="1" x14ac:dyDescent="0.2">
      <c r="A477" s="42"/>
      <c r="B477" s="42"/>
      <c r="C477" s="42"/>
      <c r="D477" s="42"/>
      <c r="E477" s="43"/>
      <c r="F477" s="44"/>
      <c r="G477" s="43"/>
      <c r="H477" s="43"/>
      <c r="I477" s="45"/>
      <c r="J477" s="46"/>
      <c r="K477" s="45"/>
      <c r="L477" s="45"/>
      <c r="M477" s="45"/>
      <c r="N477" s="47"/>
      <c r="O477" s="48"/>
    </row>
    <row r="478" spans="1:15" hidden="1" x14ac:dyDescent="0.2">
      <c r="A478" s="29" t="s">
        <v>4</v>
      </c>
      <c r="B478" s="29"/>
      <c r="C478" s="29"/>
      <c r="D478" s="29"/>
      <c r="E478" s="29"/>
      <c r="F478" s="29">
        <f>G35</f>
        <v>0</v>
      </c>
      <c r="G478" s="49"/>
      <c r="H478" s="29"/>
      <c r="I478" s="29"/>
      <c r="J478" s="50"/>
      <c r="K478" s="29"/>
      <c r="L478" s="29"/>
      <c r="M478" s="29">
        <f>IF(AND(I35="oui",F35="ligne directe"),H490,0)</f>
        <v>0</v>
      </c>
      <c r="O478" s="51"/>
    </row>
    <row r="479" spans="1:15" hidden="1" x14ac:dyDescent="0.2">
      <c r="A479" s="29"/>
      <c r="B479" s="29"/>
      <c r="C479" s="29"/>
      <c r="D479" s="29"/>
      <c r="E479" s="29"/>
      <c r="F479" s="29"/>
      <c r="G479" s="29"/>
      <c r="H479" s="29"/>
      <c r="I479" s="29"/>
      <c r="J479" s="50"/>
      <c r="K479" s="29"/>
      <c r="L479" s="29"/>
      <c r="M479" s="29">
        <f>IF(AND(I35="oui",F35="épou(x)(se)"),H490,0)</f>
        <v>0</v>
      </c>
      <c r="O479" s="51"/>
    </row>
    <row r="480" spans="1:15" hidden="1" x14ac:dyDescent="0.2">
      <c r="A480" s="52" t="s">
        <v>5</v>
      </c>
      <c r="B480" s="52"/>
      <c r="C480" s="52"/>
      <c r="D480" s="52"/>
      <c r="E480" s="29"/>
      <c r="F480" s="29"/>
      <c r="G480" s="53" t="s">
        <v>6</v>
      </c>
      <c r="H480" s="53" t="s">
        <v>25</v>
      </c>
      <c r="I480" s="29"/>
      <c r="J480" s="50"/>
      <c r="K480" s="29"/>
      <c r="L480" s="29"/>
      <c r="M480" s="29">
        <f>IF(AND(I35="non",F35="ligne directe"),G490,0)</f>
        <v>0</v>
      </c>
      <c r="O480" s="51"/>
    </row>
    <row r="481" spans="1:15" hidden="1" x14ac:dyDescent="0.2">
      <c r="A481" s="29">
        <v>0</v>
      </c>
      <c r="B481" s="29"/>
      <c r="C481" s="29"/>
      <c r="D481" s="29"/>
      <c r="E481" s="29">
        <v>50000</v>
      </c>
      <c r="F481" s="29">
        <f>IF(AND(F478&gt;A481, F478&lt;=E481),F478,0)</f>
        <v>0</v>
      </c>
      <c r="G481" s="29">
        <f>0+(3/100)*(-A481+F481)</f>
        <v>0</v>
      </c>
      <c r="H481" s="29">
        <f>0+(2/100)*(-A481+F481)</f>
        <v>0</v>
      </c>
      <c r="I481" s="29"/>
      <c r="J481" s="50"/>
      <c r="K481" s="29"/>
      <c r="L481" s="29"/>
      <c r="M481" s="29">
        <f>IF(AND(I35="non",F35="épou(x)(se)"),G490,0)</f>
        <v>0</v>
      </c>
      <c r="O481" s="51"/>
    </row>
    <row r="482" spans="1:15" hidden="1" x14ac:dyDescent="0.2">
      <c r="A482" s="29">
        <f>E481</f>
        <v>50000</v>
      </c>
      <c r="B482" s="29"/>
      <c r="C482" s="29"/>
      <c r="D482" s="29"/>
      <c r="E482" s="29">
        <v>100000</v>
      </c>
      <c r="F482" s="29">
        <f>IF(AND(F478&gt;A482, F478&lt;=E482),F478,0)</f>
        <v>0</v>
      </c>
      <c r="G482" s="29">
        <f>(50000/100*3)+(8/100)*(-A482+F482)</f>
        <v>-2500</v>
      </c>
      <c r="H482" s="29">
        <f>(50000/100*2)+(5.3/100)*(-A482+F482)</f>
        <v>-1650</v>
      </c>
      <c r="I482" s="29"/>
      <c r="J482" s="50"/>
      <c r="K482" s="29"/>
      <c r="L482" s="29"/>
      <c r="M482" s="29">
        <f>IF(F35="frère/soeur",G501,0)</f>
        <v>0</v>
      </c>
      <c r="O482" s="51"/>
    </row>
    <row r="483" spans="1:15" hidden="1" x14ac:dyDescent="0.2">
      <c r="A483" s="29">
        <f>E482</f>
        <v>100000</v>
      </c>
      <c r="B483" s="29"/>
      <c r="C483" s="29"/>
      <c r="D483" s="29"/>
      <c r="E483" s="29">
        <v>175000</v>
      </c>
      <c r="F483" s="29">
        <f>IF(AND(F478&gt;A483, F478&lt;=E483),F478,0)</f>
        <v>0</v>
      </c>
      <c r="G483" s="29">
        <f>(50000/100*3)+(50000/100*8)+((9/100)*(-A483+F483))</f>
        <v>-3500</v>
      </c>
      <c r="H483" s="29">
        <f>(50000/100*2)+(50000/100*5.3)+((6/100)*(-A483+F483))</f>
        <v>-2350</v>
      </c>
      <c r="I483" s="29"/>
      <c r="J483" s="50"/>
      <c r="K483" s="29"/>
      <c r="L483" s="29"/>
      <c r="M483" s="29">
        <f>IF(F35="oncle-tante/neveu-nièce",G514,0)</f>
        <v>0</v>
      </c>
      <c r="O483" s="51"/>
    </row>
    <row r="484" spans="1:15" hidden="1" x14ac:dyDescent="0.2">
      <c r="A484" s="29">
        <f>E483</f>
        <v>175000</v>
      </c>
      <c r="B484" s="29"/>
      <c r="C484" s="29"/>
      <c r="D484" s="29"/>
      <c r="E484" s="29">
        <v>250000</v>
      </c>
      <c r="F484" s="29">
        <f>IF(AND(F478&gt;A484, F478&lt;=E484),F478,0)</f>
        <v>0</v>
      </c>
      <c r="G484" s="29">
        <f>(50000/100*3)+(50000/100*8)+(75000/100*9)+((18/100)*(-A484+F484))</f>
        <v>-19250</v>
      </c>
      <c r="H484" s="29">
        <f>(50000/100*2)+(50000/100*5.3)+(75000/100*6)+((12/100)*(-A484+F484))</f>
        <v>-12850</v>
      </c>
      <c r="I484" s="29"/>
      <c r="J484" s="50"/>
      <c r="K484" s="29"/>
      <c r="L484" s="29"/>
      <c r="M484" s="29">
        <f>IF(F35="étrangers",M514,0)</f>
        <v>0</v>
      </c>
      <c r="O484" s="51"/>
    </row>
    <row r="485" spans="1:15" hidden="1" x14ac:dyDescent="0.2">
      <c r="A485" s="29">
        <f>E484</f>
        <v>250000</v>
      </c>
      <c r="B485" s="29"/>
      <c r="C485" s="29"/>
      <c r="D485" s="29"/>
      <c r="E485" s="29">
        <v>500000</v>
      </c>
      <c r="F485" s="29">
        <f>IF(AND(F478&gt;A485, F478&lt;=E485),F478,0)</f>
        <v>0</v>
      </c>
      <c r="G485" s="29">
        <f>(50000/100*3)+(50000/100*8)+(75000/100*9)+(75000/100*18)+((24/100)*(-A485+F485))</f>
        <v>-34250</v>
      </c>
      <c r="H485" s="29">
        <f>(50000/100*2)+(50000/100*5.3)+(75000/100*6)+(75000/100*12)+((24/100)*(-A485+F485))</f>
        <v>-42850</v>
      </c>
      <c r="I485" s="29"/>
      <c r="J485" s="29"/>
      <c r="K485" s="29"/>
      <c r="L485" s="29"/>
      <c r="M485" s="29"/>
      <c r="O485" s="51"/>
    </row>
    <row r="486" spans="1:15" hidden="1" x14ac:dyDescent="0.2">
      <c r="A486" s="29">
        <f>E485</f>
        <v>500000</v>
      </c>
      <c r="B486" s="29"/>
      <c r="C486" s="29"/>
      <c r="D486" s="29"/>
      <c r="E486" s="29">
        <v>999999999</v>
      </c>
      <c r="F486" s="29">
        <f>IF(AND(F478&gt;A486, F478&lt;=E486),F478,0)</f>
        <v>0</v>
      </c>
      <c r="G486" s="29">
        <f>(50000/100*3)+(50000/100*8)+(75000/100*9)+(75000/100*18)+(250000/100*24)+((30/100)*(-A486+F486))</f>
        <v>-64250</v>
      </c>
      <c r="H486" s="29">
        <f>(50000/100*2)+(50000/100*5.3)+(75000/100*6)+(75000/100*12)+(250000/100*24)+((30/100)*(-A486+F486))</f>
        <v>-72850</v>
      </c>
      <c r="I486" s="29"/>
      <c r="J486" s="29"/>
      <c r="K486" s="29"/>
      <c r="L486" s="29"/>
      <c r="M486" s="29">
        <f>SUM(M478:M485)</f>
        <v>0</v>
      </c>
      <c r="O486" s="51"/>
    </row>
    <row r="487" spans="1:15" hidden="1" x14ac:dyDescent="0.2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O487" s="51"/>
    </row>
    <row r="488" spans="1:15" hidden="1" x14ac:dyDescent="0.2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O488" s="51"/>
    </row>
    <row r="489" spans="1:15" hidden="1" x14ac:dyDescent="0.2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O489" s="51"/>
    </row>
    <row r="490" spans="1:15" hidden="1" x14ac:dyDescent="0.2">
      <c r="A490" s="54" t="s">
        <v>7</v>
      </c>
      <c r="B490" s="54"/>
      <c r="C490" s="54"/>
      <c r="D490" s="54"/>
      <c r="E490" s="29"/>
      <c r="F490" s="29"/>
      <c r="G490" s="29">
        <f>VLOOKUP(F478,F481:G486,2,FALSE)</f>
        <v>0</v>
      </c>
      <c r="H490" s="29">
        <f>VLOOKUP(F478,F481:H486,3,FALSE)</f>
        <v>0</v>
      </c>
      <c r="I490" s="29"/>
      <c r="J490" s="29"/>
      <c r="K490" s="29"/>
      <c r="L490" s="29"/>
      <c r="M490" s="29"/>
      <c r="O490" s="51"/>
    </row>
    <row r="491" spans="1:15" hidden="1" x14ac:dyDescent="0.2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O491" s="51"/>
    </row>
    <row r="492" spans="1:15" hidden="1" x14ac:dyDescent="0.2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O492" s="51"/>
    </row>
    <row r="493" spans="1:15" hidden="1" x14ac:dyDescent="0.2">
      <c r="A493" s="52" t="s">
        <v>8</v>
      </c>
      <c r="B493" s="52"/>
      <c r="C493" s="52"/>
      <c r="D493" s="52"/>
      <c r="E493" s="29"/>
      <c r="F493" s="29"/>
      <c r="G493" s="53" t="s">
        <v>9</v>
      </c>
      <c r="H493" s="53"/>
      <c r="I493" s="42"/>
      <c r="J493" s="42"/>
      <c r="K493" s="42"/>
      <c r="L493" s="42"/>
      <c r="M493" s="42"/>
    </row>
    <row r="494" spans="1:15" hidden="1" x14ac:dyDescent="0.2">
      <c r="A494" s="29">
        <v>0</v>
      </c>
      <c r="B494" s="29"/>
      <c r="C494" s="29"/>
      <c r="D494" s="29"/>
      <c r="E494" s="29">
        <v>12500</v>
      </c>
      <c r="F494" s="29">
        <f>IF(AND(F478&gt;A494, F478&lt;=E494),F478,0)</f>
        <v>0</v>
      </c>
      <c r="G494" s="29">
        <f>0+(20/100)*(-A494+F494)</f>
        <v>0</v>
      </c>
      <c r="H494" s="29"/>
      <c r="I494" s="29"/>
      <c r="J494" s="29"/>
      <c r="K494" s="29"/>
      <c r="L494" s="29"/>
      <c r="M494" s="29"/>
    </row>
    <row r="495" spans="1:15" hidden="1" x14ac:dyDescent="0.2">
      <c r="A495" s="29">
        <f>E494</f>
        <v>12500</v>
      </c>
      <c r="B495" s="29"/>
      <c r="C495" s="29"/>
      <c r="D495" s="29"/>
      <c r="E495" s="29">
        <v>25000</v>
      </c>
      <c r="F495" s="29">
        <f>IF(AND(F478&gt;A495, F478&lt;=E495),F478,0)</f>
        <v>0</v>
      </c>
      <c r="G495" s="29">
        <f>(12500/100*20)+((25/100)*(-A495+F495))</f>
        <v>-625</v>
      </c>
      <c r="H495" s="29"/>
      <c r="I495" s="29"/>
      <c r="J495" s="29"/>
      <c r="K495" s="29"/>
      <c r="L495" s="29"/>
      <c r="M495" s="29"/>
    </row>
    <row r="496" spans="1:15" hidden="1" x14ac:dyDescent="0.2">
      <c r="A496" s="29">
        <f>E495</f>
        <v>25000</v>
      </c>
      <c r="B496" s="29"/>
      <c r="C496" s="29"/>
      <c r="D496" s="29"/>
      <c r="E496" s="29">
        <v>50000</v>
      </c>
      <c r="F496" s="29">
        <f>IF(AND(F478&gt;A496, F478&lt;=E496),F478,0)</f>
        <v>0</v>
      </c>
      <c r="G496" s="29">
        <f>(12500/100*20)+(12500/100*25)+((30/100)*(-A496+F496))</f>
        <v>-1875</v>
      </c>
      <c r="H496" s="29"/>
      <c r="I496" s="29"/>
      <c r="J496" s="29"/>
      <c r="K496" s="29"/>
      <c r="L496" s="29"/>
      <c r="M496" s="29"/>
    </row>
    <row r="497" spans="1:15" hidden="1" x14ac:dyDescent="0.2">
      <c r="A497" s="29">
        <f>E496</f>
        <v>50000</v>
      </c>
      <c r="B497" s="29"/>
      <c r="C497" s="29"/>
      <c r="D497" s="29"/>
      <c r="E497" s="29">
        <v>100000</v>
      </c>
      <c r="F497" s="29">
        <f>IF(AND(F478&gt;A497, F478&lt;=E497),F478,0)</f>
        <v>0</v>
      </c>
      <c r="G497" s="29">
        <f>(12500/100*20)+(12500/100*25)+(25000/100*30)+((40/100)*(-A497+F497))</f>
        <v>-6875</v>
      </c>
      <c r="H497" s="29"/>
      <c r="I497" s="29"/>
      <c r="J497" s="29"/>
      <c r="K497" s="29"/>
      <c r="L497" s="29"/>
      <c r="M497" s="29"/>
    </row>
    <row r="498" spans="1:15" hidden="1" x14ac:dyDescent="0.2">
      <c r="A498" s="29">
        <f>E497</f>
        <v>100000</v>
      </c>
      <c r="B498" s="29"/>
      <c r="C498" s="29"/>
      <c r="D498" s="29"/>
      <c r="E498" s="29">
        <v>175000</v>
      </c>
      <c r="F498" s="29">
        <f>IF(AND(F478&gt;A498, F478&lt;=E498),F478,0)</f>
        <v>0</v>
      </c>
      <c r="G498" s="29">
        <f>(12500/100*20)+(12500/100*25)+(25000/100*30)+(50000/100*40)+((55/100)*(-A498+F498))</f>
        <v>-21875.000000000007</v>
      </c>
      <c r="H498" s="29"/>
      <c r="I498" s="29"/>
      <c r="J498" s="29"/>
      <c r="K498" s="29"/>
      <c r="L498" s="29"/>
      <c r="M498" s="29"/>
    </row>
    <row r="499" spans="1:15" hidden="1" x14ac:dyDescent="0.2">
      <c r="A499" s="29">
        <v>175000</v>
      </c>
      <c r="B499" s="29"/>
      <c r="C499" s="29"/>
      <c r="D499" s="29"/>
      <c r="E499" s="29">
        <v>250000</v>
      </c>
      <c r="F499" s="29">
        <f>IF(AND(F478&gt;A499, F478&lt;=E499),F478,0)</f>
        <v>0</v>
      </c>
      <c r="G499" s="29">
        <f>(12500/100*20)+(12500/100*25)+(25000/100*30)+(50000/100*40)+(75000/100*55)+((60/100)*(-A499+F499))</f>
        <v>-30625</v>
      </c>
      <c r="H499" s="29"/>
      <c r="I499" s="29"/>
      <c r="J499" s="29"/>
      <c r="K499" s="29"/>
      <c r="L499" s="29"/>
      <c r="M499" s="29"/>
    </row>
    <row r="500" spans="1:15" hidden="1" x14ac:dyDescent="0.2">
      <c r="A500" s="29">
        <f>E499</f>
        <v>250000</v>
      </c>
      <c r="B500" s="29"/>
      <c r="C500" s="29"/>
      <c r="D500" s="29"/>
      <c r="E500" s="29">
        <v>999999999</v>
      </c>
      <c r="F500" s="29">
        <f>IF(AND(F478&gt;A500, F478&lt;=E500),F478,0)</f>
        <v>0</v>
      </c>
      <c r="G500" s="29">
        <f>(12500/100*20)+(12500/100*25)+(25000/100*30)+(50000/100*40)+(75000/100*55)+(75000/100*60)+((65/100)*(-A500+F500))</f>
        <v>-43125</v>
      </c>
      <c r="H500" s="29"/>
      <c r="I500" s="29"/>
      <c r="J500" s="29"/>
      <c r="K500" s="29"/>
      <c r="L500" s="29"/>
      <c r="M500" s="29"/>
    </row>
    <row r="501" spans="1:15" hidden="1" x14ac:dyDescent="0.2">
      <c r="A501" s="54" t="s">
        <v>7</v>
      </c>
      <c r="B501" s="54"/>
      <c r="C501" s="54"/>
      <c r="D501" s="54"/>
      <c r="E501" s="29"/>
      <c r="F501" s="29"/>
      <c r="G501" s="29">
        <f>VLOOKUP(F478,F494:G500,2,FALSE)</f>
        <v>0</v>
      </c>
      <c r="H501" s="29"/>
      <c r="I501" s="29"/>
      <c r="J501" s="29"/>
      <c r="K501" s="29"/>
      <c r="L501" s="29"/>
      <c r="M501" s="29"/>
    </row>
    <row r="502" spans="1:15" hidden="1" x14ac:dyDescent="0.2"/>
    <row r="503" spans="1:15" hidden="1" x14ac:dyDescent="0.2">
      <c r="E503" s="29"/>
      <c r="F503" s="29"/>
      <c r="G503" s="29"/>
      <c r="H503" s="32"/>
      <c r="I503" s="29"/>
      <c r="J503" s="33"/>
      <c r="M503" s="33"/>
      <c r="O503" s="33"/>
    </row>
    <row r="504" spans="1:15" hidden="1" x14ac:dyDescent="0.2">
      <c r="E504" s="29"/>
      <c r="F504" s="29"/>
      <c r="G504" s="29"/>
      <c r="H504" s="32"/>
      <c r="I504" s="29"/>
      <c r="J504" s="33"/>
      <c r="M504" s="33"/>
      <c r="O504" s="33"/>
    </row>
    <row r="505" spans="1:15" hidden="1" x14ac:dyDescent="0.2">
      <c r="E505" s="29"/>
      <c r="F505" s="29"/>
      <c r="G505" s="29"/>
      <c r="H505" s="32"/>
      <c r="I505" s="29"/>
      <c r="J505" s="33"/>
      <c r="M505" s="33"/>
      <c r="O505" s="33"/>
    </row>
    <row r="506" spans="1:15" hidden="1" x14ac:dyDescent="0.2">
      <c r="A506" s="52" t="s">
        <v>26</v>
      </c>
      <c r="B506" s="52"/>
      <c r="C506" s="52"/>
      <c r="D506" s="52"/>
      <c r="E506" s="29"/>
      <c r="F506" s="29"/>
      <c r="G506" s="53" t="s">
        <v>10</v>
      </c>
      <c r="H506" s="32"/>
      <c r="I506" s="52" t="s">
        <v>27</v>
      </c>
      <c r="J506" s="29"/>
      <c r="K506" s="29"/>
      <c r="L506" s="29"/>
      <c r="M506" s="53" t="s">
        <v>11</v>
      </c>
      <c r="O506" s="33"/>
    </row>
    <row r="507" spans="1:15" hidden="1" x14ac:dyDescent="0.2">
      <c r="A507" s="29">
        <v>0</v>
      </c>
      <c r="B507" s="29"/>
      <c r="C507" s="29"/>
      <c r="D507" s="29"/>
      <c r="E507" s="29">
        <v>50000</v>
      </c>
      <c r="F507" s="29">
        <f>IF(AND(F478&gt;A507, F478&lt;=E507),F478,0)</f>
        <v>0</v>
      </c>
      <c r="G507" s="29">
        <f>0+(35/100)*(-A507+F507)</f>
        <v>0</v>
      </c>
      <c r="H507" s="32"/>
      <c r="I507" s="29">
        <v>0</v>
      </c>
      <c r="J507" s="29">
        <v>50000</v>
      </c>
      <c r="K507" s="29">
        <f>IF(AND(F478&gt;I507, F478&lt;=J507),F478,0)</f>
        <v>0</v>
      </c>
      <c r="L507" s="29"/>
      <c r="M507" s="29">
        <f>0+(40/100)*(-I507+K507)</f>
        <v>0</v>
      </c>
      <c r="O507" s="33"/>
    </row>
    <row r="508" spans="1:15" hidden="1" x14ac:dyDescent="0.2">
      <c r="A508" s="29">
        <f>E507</f>
        <v>50000</v>
      </c>
      <c r="B508" s="29"/>
      <c r="C508" s="29"/>
      <c r="D508" s="29"/>
      <c r="E508" s="29">
        <v>100000</v>
      </c>
      <c r="F508" s="29">
        <f>IF(AND(F478&gt;A508, F478&lt;=E508),F478,0)</f>
        <v>0</v>
      </c>
      <c r="G508" s="29">
        <f>(50000/100*35)+((50/100)*(-A508+F508))</f>
        <v>-7500</v>
      </c>
      <c r="H508" s="32"/>
      <c r="I508" s="29">
        <f>J507</f>
        <v>50000</v>
      </c>
      <c r="J508" s="29">
        <v>75000</v>
      </c>
      <c r="K508" s="29">
        <f>IF(AND(F478&gt;I508, F478&lt;=J508),F478,0)</f>
        <v>0</v>
      </c>
      <c r="L508" s="29"/>
      <c r="M508" s="29">
        <f>(50000/100*40)+((55/100)*(-I508+K508))</f>
        <v>-7500.0000000000036</v>
      </c>
      <c r="O508" s="33"/>
    </row>
    <row r="509" spans="1:15" hidden="1" x14ac:dyDescent="0.2">
      <c r="A509" s="29">
        <f>E508</f>
        <v>100000</v>
      </c>
      <c r="B509" s="29"/>
      <c r="C509" s="29"/>
      <c r="D509" s="29"/>
      <c r="E509" s="29">
        <v>175000</v>
      </c>
      <c r="F509" s="29">
        <f>IF(AND(F478&gt;A509, F478&lt;=E509),F478,0)</f>
        <v>0</v>
      </c>
      <c r="G509" s="29">
        <f>(50000/100*35)+(50000/100*50)+((60/100)*(-A509+F509))</f>
        <v>-17500</v>
      </c>
      <c r="H509" s="32"/>
      <c r="I509" s="29">
        <f>J508</f>
        <v>75000</v>
      </c>
      <c r="J509" s="29">
        <v>175000</v>
      </c>
      <c r="K509" s="29">
        <f>IF(AND(F478&gt;I509, F478&lt;=J509),F478,0)</f>
        <v>0</v>
      </c>
      <c r="L509" s="29"/>
      <c r="M509" s="29">
        <f>(50000/100*40)+(25000/100*55)+((65/100)*(-I509+K509))</f>
        <v>-15000</v>
      </c>
      <c r="O509" s="33"/>
    </row>
    <row r="510" spans="1:15" hidden="1" x14ac:dyDescent="0.2">
      <c r="A510" s="29">
        <f>E509</f>
        <v>175000</v>
      </c>
      <c r="B510" s="29"/>
      <c r="C510" s="29"/>
      <c r="D510" s="29"/>
      <c r="E510" s="29">
        <v>999999999</v>
      </c>
      <c r="F510" s="29">
        <f>IF(AND(F478&gt;A510, F478&lt;=E510),F478,0)</f>
        <v>0</v>
      </c>
      <c r="G510" s="29">
        <f>(50000/100*35)+(50000/100*50)+(75000/100*60)+((70/100)*(-A510+F510))</f>
        <v>-34999.999999999985</v>
      </c>
      <c r="H510" s="32"/>
      <c r="I510" s="29">
        <f>J509</f>
        <v>175000</v>
      </c>
      <c r="J510" s="29">
        <v>999999999</v>
      </c>
      <c r="K510" s="29">
        <f>IF(AND(F478&gt;I510, F478&lt;=J510),F478,0)</f>
        <v>0</v>
      </c>
      <c r="L510" s="29"/>
      <c r="M510" s="29">
        <f>(50000/100*40)+(25000/100*55)+(100000/100*65)+((80/100)*(-I510+K510))</f>
        <v>-41250</v>
      </c>
      <c r="O510" s="33"/>
    </row>
    <row r="511" spans="1:15" hidden="1" x14ac:dyDescent="0.2">
      <c r="A511" s="29"/>
      <c r="B511" s="29"/>
      <c r="C511" s="29"/>
      <c r="D511" s="29"/>
      <c r="E511" s="29"/>
      <c r="F511" s="29"/>
      <c r="G511" s="29"/>
      <c r="H511" s="32"/>
      <c r="I511" s="29"/>
      <c r="J511" s="29"/>
      <c r="K511" s="29"/>
      <c r="L511" s="29"/>
      <c r="M511" s="29"/>
      <c r="O511" s="33"/>
    </row>
    <row r="512" spans="1:15" hidden="1" x14ac:dyDescent="0.2">
      <c r="A512" s="29"/>
      <c r="B512" s="29"/>
      <c r="C512" s="29"/>
      <c r="D512" s="29"/>
      <c r="E512" s="29"/>
      <c r="F512" s="29"/>
      <c r="G512" s="29"/>
      <c r="H512" s="32"/>
      <c r="I512" s="29"/>
      <c r="J512" s="29"/>
      <c r="K512" s="29"/>
      <c r="L512" s="29"/>
      <c r="M512" s="29"/>
      <c r="O512" s="33"/>
    </row>
    <row r="513" spans="1:15" hidden="1" x14ac:dyDescent="0.2">
      <c r="A513" s="29"/>
      <c r="B513" s="29"/>
      <c r="C513" s="29"/>
      <c r="D513" s="29"/>
      <c r="E513" s="29"/>
      <c r="F513" s="29"/>
      <c r="G513" s="29"/>
      <c r="H513" s="32"/>
      <c r="I513" s="29"/>
      <c r="J513" s="29"/>
      <c r="K513" s="29"/>
      <c r="L513" s="29"/>
      <c r="M513" s="29"/>
      <c r="O513" s="33"/>
    </row>
    <row r="514" spans="1:15" hidden="1" x14ac:dyDescent="0.2">
      <c r="A514" s="54" t="s">
        <v>7</v>
      </c>
      <c r="B514" s="54"/>
      <c r="C514" s="54"/>
      <c r="D514" s="54"/>
      <c r="E514" s="29"/>
      <c r="F514" s="29"/>
      <c r="G514" s="29">
        <f>VLOOKUP(F478,F507:G510,2,FALSE)</f>
        <v>0</v>
      </c>
      <c r="H514" s="32"/>
      <c r="I514" s="54" t="s">
        <v>7</v>
      </c>
      <c r="J514" s="29"/>
      <c r="K514" s="29"/>
      <c r="L514" s="29"/>
      <c r="M514" s="29">
        <f>VLOOKUP(F478,K507:M510,3,FALSE)</f>
        <v>0</v>
      </c>
      <c r="O514" s="33"/>
    </row>
    <row r="515" spans="1:15" hidden="1" x14ac:dyDescent="0.2">
      <c r="H515" s="32"/>
      <c r="O515" s="33"/>
    </row>
    <row r="516" spans="1:15" hidden="1" x14ac:dyDescent="0.2">
      <c r="E516" s="29"/>
      <c r="F516" s="29"/>
      <c r="G516" s="29"/>
      <c r="H516" s="32"/>
      <c r="J516" s="29"/>
      <c r="K516" s="29"/>
      <c r="L516" s="29"/>
      <c r="M516" s="29"/>
      <c r="O516" s="33"/>
    </row>
    <row r="517" spans="1:15" hidden="1" x14ac:dyDescent="0.2">
      <c r="E517" s="29"/>
      <c r="G517" s="29"/>
    </row>
    <row r="518" spans="1:15" hidden="1" x14ac:dyDescent="0.2"/>
    <row r="519" spans="1:15" hidden="1" x14ac:dyDescent="0.2">
      <c r="E519" s="9" t="s">
        <v>84</v>
      </c>
      <c r="F519" s="9" t="s">
        <v>91</v>
      </c>
    </row>
    <row r="520" spans="1:15" hidden="1" x14ac:dyDescent="0.2"/>
    <row r="521" spans="1:15" hidden="1" x14ac:dyDescent="0.2">
      <c r="E521" s="9" t="s">
        <v>84</v>
      </c>
      <c r="F521" s="9">
        <f>IF(J35=3,M486*12%,0)</f>
        <v>0</v>
      </c>
      <c r="G521" s="9">
        <f>IF(F521&gt;372,372,F521)</f>
        <v>0</v>
      </c>
      <c r="I521" s="9" t="s">
        <v>30</v>
      </c>
      <c r="J521" s="9">
        <f>M486*6%</f>
        <v>0</v>
      </c>
      <c r="K521" s="9">
        <f>IF(J521&gt;186,186,J521)</f>
        <v>0</v>
      </c>
      <c r="L521" s="9">
        <f>IF(J35=3,K521,0)</f>
        <v>0</v>
      </c>
    </row>
    <row r="522" spans="1:15" hidden="1" x14ac:dyDescent="0.2">
      <c r="F522" s="9">
        <f>IF(J35=4,M486*16%,0)</f>
        <v>0</v>
      </c>
      <c r="G522" s="9">
        <f>IF(F522&gt;496,496,F522)</f>
        <v>0</v>
      </c>
      <c r="I522" s="9" t="s">
        <v>31</v>
      </c>
      <c r="J522" s="9">
        <f>M486*8%</f>
        <v>0</v>
      </c>
      <c r="K522" s="9">
        <f>IF(J522&gt;248,248,J522)</f>
        <v>0</v>
      </c>
      <c r="L522" s="9">
        <f>IF(J35=4,K522,0)</f>
        <v>0</v>
      </c>
    </row>
    <row r="523" spans="1:15" hidden="1" x14ac:dyDescent="0.2">
      <c r="F523" s="9">
        <f>IF(J35=5,M486*20%,0)</f>
        <v>0</v>
      </c>
      <c r="G523" s="9">
        <f>IF(F523&gt;620,620,F523)</f>
        <v>0</v>
      </c>
      <c r="J523" s="9">
        <f>M486*10%</f>
        <v>0</v>
      </c>
      <c r="K523" s="9">
        <f>IF(J523&gt;310,310,J523)</f>
        <v>0</v>
      </c>
      <c r="L523" s="9">
        <f>IF(J35=5,K523,0)</f>
        <v>0</v>
      </c>
    </row>
    <row r="524" spans="1:15" hidden="1" x14ac:dyDescent="0.2">
      <c r="F524" s="9">
        <f>IF(J35=6,M486*24%,0)</f>
        <v>0</v>
      </c>
      <c r="G524" s="9">
        <f>IF(F524&gt;744,744,F524)</f>
        <v>0</v>
      </c>
      <c r="J524" s="9">
        <f>M486*12%</f>
        <v>0</v>
      </c>
      <c r="K524" s="9">
        <f>IF(J524&gt;372,372,J524)</f>
        <v>0</v>
      </c>
      <c r="L524" s="9">
        <f>IF(J35=6,K524,0)</f>
        <v>0</v>
      </c>
    </row>
    <row r="525" spans="1:15" hidden="1" x14ac:dyDescent="0.2">
      <c r="F525" s="9">
        <f>IF(J35=7,M486*28%,0)</f>
        <v>0</v>
      </c>
      <c r="G525" s="9">
        <f>IF(F525&gt;868,868,F525)</f>
        <v>0</v>
      </c>
      <c r="J525" s="9">
        <f>M486*14%</f>
        <v>0</v>
      </c>
      <c r="K525" s="9">
        <f>IF(J525&gt;434,434,J525)</f>
        <v>0</v>
      </c>
      <c r="L525" s="9">
        <f>IF(J35=7,K525,0)</f>
        <v>0</v>
      </c>
    </row>
    <row r="526" spans="1:15" hidden="1" x14ac:dyDescent="0.2">
      <c r="F526" s="9">
        <f>IF(J35=8,M486*32%,0)</f>
        <v>0</v>
      </c>
      <c r="G526" s="9">
        <f>IF(F526&gt;992,992,F526)</f>
        <v>0</v>
      </c>
      <c r="J526" s="9">
        <f>M486*16%</f>
        <v>0</v>
      </c>
      <c r="K526" s="9">
        <f>IF(J526&gt;496,496,J526)</f>
        <v>0</v>
      </c>
      <c r="L526" s="9">
        <f>IF(J35=8,K526,0)</f>
        <v>0</v>
      </c>
    </row>
    <row r="527" spans="1:15" hidden="1" x14ac:dyDescent="0.2">
      <c r="F527" s="9">
        <f>IF(J35=9,M486*36%,0)</f>
        <v>0</v>
      </c>
      <c r="G527" s="9">
        <f>IF(F527&gt;1116,1116,F527)</f>
        <v>0</v>
      </c>
      <c r="J527" s="9">
        <f>M486*18%</f>
        <v>0</v>
      </c>
      <c r="K527" s="9">
        <f>IF(J527&gt;558,558,J527)</f>
        <v>0</v>
      </c>
      <c r="L527" s="9">
        <f>IF(J35=9,K527,0)</f>
        <v>0</v>
      </c>
    </row>
    <row r="528" spans="1:15" hidden="1" x14ac:dyDescent="0.2">
      <c r="F528" s="9">
        <f>IF(J35=10,M486*40%,0)</f>
        <v>0</v>
      </c>
      <c r="G528" s="9">
        <f>IF(F528&gt;1240,1240,F528)</f>
        <v>0</v>
      </c>
      <c r="J528" s="9">
        <f>M486*20%</f>
        <v>0</v>
      </c>
      <c r="K528" s="9">
        <f>IF(J528&gt;620,620,J528)</f>
        <v>0</v>
      </c>
      <c r="L528" s="9">
        <f>IF(J35=10,K528,0)</f>
        <v>0</v>
      </c>
    </row>
    <row r="529" spans="5:12" hidden="1" x14ac:dyDescent="0.2"/>
    <row r="530" spans="5:12" hidden="1" x14ac:dyDescent="0.2">
      <c r="G530" s="9">
        <f>SUM(G521:G529)</f>
        <v>0</v>
      </c>
      <c r="L530" s="9">
        <f>SUM(L521:L529)</f>
        <v>0</v>
      </c>
    </row>
    <row r="531" spans="5:12" hidden="1" x14ac:dyDescent="0.2">
      <c r="G531" s="22"/>
    </row>
    <row r="532" spans="5:12" hidden="1" x14ac:dyDescent="0.2">
      <c r="G532" s="22"/>
    </row>
    <row r="533" spans="5:12" hidden="1" x14ac:dyDescent="0.2">
      <c r="G533" s="22"/>
    </row>
    <row r="534" spans="5:12" hidden="1" x14ac:dyDescent="0.2">
      <c r="E534" s="9" t="s">
        <v>32</v>
      </c>
      <c r="F534" s="23">
        <f>M486-G530</f>
        <v>0</v>
      </c>
      <c r="G534" s="22"/>
      <c r="H534" s="9" t="s">
        <v>33</v>
      </c>
      <c r="I534" s="56">
        <f>M486-L530</f>
        <v>0</v>
      </c>
    </row>
    <row r="535" spans="5:12" hidden="1" x14ac:dyDescent="0.2">
      <c r="E535" s="29"/>
      <c r="G535" s="29"/>
    </row>
    <row r="536" spans="5:12" hidden="1" x14ac:dyDescent="0.2">
      <c r="E536" s="29"/>
      <c r="G536" s="29"/>
    </row>
    <row r="537" spans="5:12" hidden="1" x14ac:dyDescent="0.2">
      <c r="E537" s="29"/>
      <c r="G537" s="29"/>
    </row>
    <row r="538" spans="5:12" hidden="1" x14ac:dyDescent="0.2">
      <c r="E538" s="29"/>
      <c r="G538" s="29"/>
    </row>
    <row r="539" spans="5:12" hidden="1" x14ac:dyDescent="0.2">
      <c r="E539" s="29"/>
      <c r="G539" s="29"/>
    </row>
    <row r="540" spans="5:12" hidden="1" x14ac:dyDescent="0.2">
      <c r="E540" s="29"/>
      <c r="G540" s="29"/>
    </row>
    <row r="541" spans="5:12" hidden="1" x14ac:dyDescent="0.2">
      <c r="E541" s="29"/>
      <c r="G541" s="29"/>
    </row>
    <row r="542" spans="5:12" hidden="1" x14ac:dyDescent="0.2">
      <c r="E542" s="29"/>
      <c r="G542" s="29"/>
    </row>
    <row r="543" spans="5:12" hidden="1" x14ac:dyDescent="0.2">
      <c r="E543" s="29"/>
      <c r="G543" s="29"/>
    </row>
    <row r="544" spans="5:12" hidden="1" x14ac:dyDescent="0.2">
      <c r="E544" s="29"/>
      <c r="G544" s="29"/>
    </row>
    <row r="545" spans="5:7" hidden="1" x14ac:dyDescent="0.2">
      <c r="E545" s="29"/>
      <c r="G545" s="29"/>
    </row>
    <row r="546" spans="5:7" hidden="1" x14ac:dyDescent="0.2">
      <c r="E546" s="29"/>
      <c r="G546" s="29"/>
    </row>
    <row r="547" spans="5:7" hidden="1" x14ac:dyDescent="0.2">
      <c r="E547" s="29"/>
      <c r="G547" s="29"/>
    </row>
    <row r="548" spans="5:7" hidden="1" x14ac:dyDescent="0.2">
      <c r="E548" s="29"/>
      <c r="G548" s="29"/>
    </row>
    <row r="549" spans="5:7" hidden="1" x14ac:dyDescent="0.2">
      <c r="E549" s="29"/>
      <c r="G549" s="29"/>
    </row>
    <row r="550" spans="5:7" hidden="1" x14ac:dyDescent="0.2">
      <c r="E550" s="29"/>
      <c r="G550" s="29"/>
    </row>
    <row r="551" spans="5:7" hidden="1" x14ac:dyDescent="0.2">
      <c r="E551" s="29"/>
      <c r="G551" s="29"/>
    </row>
    <row r="552" spans="5:7" hidden="1" x14ac:dyDescent="0.2">
      <c r="E552" s="29"/>
      <c r="G552" s="29"/>
    </row>
    <row r="553" spans="5:7" hidden="1" x14ac:dyDescent="0.2">
      <c r="E553" s="29"/>
      <c r="G553" s="29"/>
    </row>
    <row r="554" spans="5:7" hidden="1" x14ac:dyDescent="0.2">
      <c r="E554" s="29"/>
      <c r="G554" s="29"/>
    </row>
    <row r="555" spans="5:7" hidden="1" x14ac:dyDescent="0.2">
      <c r="E555" s="29"/>
      <c r="G555" s="29"/>
    </row>
    <row r="556" spans="5:7" hidden="1" x14ac:dyDescent="0.2">
      <c r="E556" s="29"/>
      <c r="G556" s="29"/>
    </row>
    <row r="557" spans="5:7" hidden="1" x14ac:dyDescent="0.2">
      <c r="E557" s="29"/>
      <c r="G557" s="29"/>
    </row>
    <row r="558" spans="5:7" hidden="1" x14ac:dyDescent="0.2">
      <c r="E558" s="29"/>
      <c r="G558" s="29"/>
    </row>
    <row r="559" spans="5:7" hidden="1" x14ac:dyDescent="0.2">
      <c r="E559" s="29"/>
      <c r="G559" s="29"/>
    </row>
    <row r="560" spans="5:7" hidden="1" x14ac:dyDescent="0.2">
      <c r="E560" s="29"/>
      <c r="G560" s="29"/>
    </row>
    <row r="561" spans="5:7" hidden="1" x14ac:dyDescent="0.2">
      <c r="E561" s="29"/>
      <c r="G561" s="29"/>
    </row>
    <row r="562" spans="5:7" hidden="1" x14ac:dyDescent="0.2">
      <c r="E562" s="29"/>
      <c r="G562" s="29"/>
    </row>
    <row r="563" spans="5:7" hidden="1" x14ac:dyDescent="0.2">
      <c r="E563" s="29"/>
      <c r="G563" s="29"/>
    </row>
    <row r="564" spans="5:7" hidden="1" x14ac:dyDescent="0.2">
      <c r="E564" s="29"/>
      <c r="G564" s="29"/>
    </row>
    <row r="565" spans="5:7" hidden="1" x14ac:dyDescent="0.2">
      <c r="E565" s="29"/>
      <c r="G565" s="29"/>
    </row>
    <row r="566" spans="5:7" hidden="1" x14ac:dyDescent="0.2">
      <c r="E566" s="29"/>
      <c r="G566" s="29"/>
    </row>
    <row r="567" spans="5:7" hidden="1" x14ac:dyDescent="0.2">
      <c r="E567" s="29"/>
      <c r="G567" s="29"/>
    </row>
    <row r="568" spans="5:7" hidden="1" x14ac:dyDescent="0.2">
      <c r="E568" s="29"/>
      <c r="G568" s="29"/>
    </row>
    <row r="569" spans="5:7" hidden="1" x14ac:dyDescent="0.2">
      <c r="E569" s="29"/>
      <c r="G569" s="29"/>
    </row>
    <row r="570" spans="5:7" hidden="1" x14ac:dyDescent="0.2">
      <c r="E570" s="29"/>
      <c r="G570" s="29"/>
    </row>
    <row r="571" spans="5:7" hidden="1" x14ac:dyDescent="0.2">
      <c r="E571" s="29"/>
      <c r="G571" s="29"/>
    </row>
    <row r="572" spans="5:7" hidden="1" x14ac:dyDescent="0.2">
      <c r="E572" s="29"/>
      <c r="G572" s="29"/>
    </row>
    <row r="573" spans="5:7" hidden="1" x14ac:dyDescent="0.2">
      <c r="E573" s="29"/>
      <c r="G573" s="29"/>
    </row>
    <row r="574" spans="5:7" hidden="1" x14ac:dyDescent="0.2">
      <c r="E574" s="29"/>
      <c r="G574" s="29"/>
    </row>
    <row r="575" spans="5:7" hidden="1" x14ac:dyDescent="0.2">
      <c r="E575" s="29"/>
      <c r="G575" s="29"/>
    </row>
    <row r="576" spans="5:7" hidden="1" x14ac:dyDescent="0.2">
      <c r="E576" s="29"/>
      <c r="G576" s="29"/>
    </row>
    <row r="577" spans="1:15" hidden="1" x14ac:dyDescent="0.2">
      <c r="E577" s="29"/>
      <c r="G577" s="29"/>
    </row>
    <row r="578" spans="1:15" hidden="1" x14ac:dyDescent="0.2">
      <c r="E578" s="29"/>
      <c r="G578" s="29"/>
    </row>
    <row r="579" spans="1:15" ht="13.5" hidden="1" thickBot="1" x14ac:dyDescent="0.25">
      <c r="E579" s="29"/>
      <c r="G579" s="29"/>
    </row>
    <row r="580" spans="1:15" ht="13.5" hidden="1" thickTop="1" x14ac:dyDescent="0.2">
      <c r="A580" s="42"/>
      <c r="B580" s="42"/>
      <c r="C580" s="42"/>
      <c r="D580" s="42"/>
      <c r="E580" s="43"/>
      <c r="F580" s="44"/>
      <c r="G580" s="43"/>
      <c r="H580" s="43"/>
      <c r="I580" s="45"/>
      <c r="J580" s="46"/>
      <c r="K580" s="45"/>
      <c r="L580" s="45"/>
      <c r="M580" s="45"/>
      <c r="N580" s="47"/>
      <c r="O580" s="48"/>
    </row>
    <row r="581" spans="1:15" hidden="1" x14ac:dyDescent="0.2">
      <c r="A581" s="29" t="s">
        <v>4</v>
      </c>
      <c r="B581" s="29"/>
      <c r="C581" s="29"/>
      <c r="D581" s="29"/>
      <c r="E581" s="29"/>
      <c r="F581" s="29">
        <f>G40</f>
        <v>0</v>
      </c>
      <c r="G581" s="49"/>
      <c r="H581" s="29"/>
      <c r="I581" s="29"/>
      <c r="J581" s="50"/>
      <c r="K581" s="29"/>
      <c r="L581" s="29"/>
      <c r="M581" s="29">
        <f>IF(AND(I40="oui",F40="ligne directe"),H593,0)</f>
        <v>0</v>
      </c>
      <c r="O581" s="51"/>
    </row>
    <row r="582" spans="1:15" hidden="1" x14ac:dyDescent="0.2">
      <c r="A582" s="29"/>
      <c r="B582" s="29"/>
      <c r="C582" s="29"/>
      <c r="D582" s="29"/>
      <c r="E582" s="29"/>
      <c r="F582" s="29"/>
      <c r="G582" s="29"/>
      <c r="H582" s="29"/>
      <c r="I582" s="29"/>
      <c r="J582" s="50"/>
      <c r="K582" s="29"/>
      <c r="L582" s="29"/>
      <c r="M582" s="29">
        <f>IF(AND(I40="oui",F40="épou(x)(se)"),H593,0)</f>
        <v>0</v>
      </c>
      <c r="O582" s="51"/>
    </row>
    <row r="583" spans="1:15" hidden="1" x14ac:dyDescent="0.2">
      <c r="A583" s="52" t="s">
        <v>5</v>
      </c>
      <c r="B583" s="52"/>
      <c r="C583" s="52"/>
      <c r="D583" s="52"/>
      <c r="E583" s="29"/>
      <c r="F583" s="29"/>
      <c r="G583" s="53" t="s">
        <v>6</v>
      </c>
      <c r="H583" s="53" t="s">
        <v>25</v>
      </c>
      <c r="I583" s="29"/>
      <c r="J583" s="50"/>
      <c r="K583" s="29"/>
      <c r="L583" s="29"/>
      <c r="M583" s="29">
        <f>IF(AND(I40="non",F40="ligne directe"),G593,0)</f>
        <v>0</v>
      </c>
      <c r="O583" s="51"/>
    </row>
    <row r="584" spans="1:15" hidden="1" x14ac:dyDescent="0.2">
      <c r="A584" s="29">
        <v>0</v>
      </c>
      <c r="B584" s="29"/>
      <c r="C584" s="29"/>
      <c r="D584" s="29"/>
      <c r="E584" s="29">
        <v>50000</v>
      </c>
      <c r="F584" s="29">
        <f>IF(AND(F581&gt;A584, F581&lt;=E584),F581,0)</f>
        <v>0</v>
      </c>
      <c r="G584" s="29">
        <f>0+(3/100)*(-A584+F584)</f>
        <v>0</v>
      </c>
      <c r="H584" s="29">
        <f>0+(2/100)*(-A584+F584)</f>
        <v>0</v>
      </c>
      <c r="I584" s="29"/>
      <c r="J584" s="50"/>
      <c r="K584" s="29"/>
      <c r="L584" s="29"/>
      <c r="M584" s="29">
        <f>IF(AND(I40="non",F40="épou(x)(se)"),G593,0)</f>
        <v>0</v>
      </c>
      <c r="O584" s="51"/>
    </row>
    <row r="585" spans="1:15" hidden="1" x14ac:dyDescent="0.2">
      <c r="A585" s="29">
        <f>E584</f>
        <v>50000</v>
      </c>
      <c r="B585" s="29"/>
      <c r="C585" s="29"/>
      <c r="D585" s="29"/>
      <c r="E585" s="29">
        <v>100000</v>
      </c>
      <c r="F585" s="29">
        <f>IF(AND(F581&gt;A585, F581&lt;=E585),F581,0)</f>
        <v>0</v>
      </c>
      <c r="G585" s="29">
        <f>(50000/100*3)+(8/100)*(-A585+F585)</f>
        <v>-2500</v>
      </c>
      <c r="H585" s="29">
        <f>(50000/100*2)+(5.3/100)*(-A585+F585)</f>
        <v>-1650</v>
      </c>
      <c r="I585" s="29"/>
      <c r="J585" s="50"/>
      <c r="K585" s="29"/>
      <c r="L585" s="29"/>
      <c r="M585" s="29">
        <f>IF(F40="frère/soeur",G604,0)</f>
        <v>0</v>
      </c>
      <c r="O585" s="51"/>
    </row>
    <row r="586" spans="1:15" hidden="1" x14ac:dyDescent="0.2">
      <c r="A586" s="29">
        <f>E585</f>
        <v>100000</v>
      </c>
      <c r="B586" s="29"/>
      <c r="C586" s="29"/>
      <c r="D586" s="29"/>
      <c r="E586" s="29">
        <v>175000</v>
      </c>
      <c r="F586" s="29">
        <f>IF(AND(F581&gt;A586, F581&lt;=E586),F581,0)</f>
        <v>0</v>
      </c>
      <c r="G586" s="29">
        <f>(50000/100*3)+(50000/100*8)+((9/100)*(-A586+F586))</f>
        <v>-3500</v>
      </c>
      <c r="H586" s="29">
        <f>(50000/100*2)+(50000/100*5.3)+((6/100)*(-A586+F586))</f>
        <v>-2350</v>
      </c>
      <c r="I586" s="29"/>
      <c r="J586" s="50"/>
      <c r="K586" s="29"/>
      <c r="L586" s="29"/>
      <c r="M586" s="29">
        <f>IF(F40="oncle-tante/neveu-nièce",G617,0)</f>
        <v>0</v>
      </c>
      <c r="O586" s="51"/>
    </row>
    <row r="587" spans="1:15" hidden="1" x14ac:dyDescent="0.2">
      <c r="A587" s="29">
        <f>E586</f>
        <v>175000</v>
      </c>
      <c r="B587" s="29"/>
      <c r="C587" s="29"/>
      <c r="D587" s="29"/>
      <c r="E587" s="29">
        <v>250000</v>
      </c>
      <c r="F587" s="29">
        <f>IF(AND(F581&gt;A587, F581&lt;=E587),F581,0)</f>
        <v>0</v>
      </c>
      <c r="G587" s="29">
        <f>(50000/100*3)+(50000/100*8)+(75000/100*9)+((18/100)*(-A587+F587))</f>
        <v>-19250</v>
      </c>
      <c r="H587" s="29">
        <f>(50000/100*2)+(50000/100*5.3)+(75000/100*6)+((12/100)*(-A587+F587))</f>
        <v>-12850</v>
      </c>
      <c r="I587" s="29"/>
      <c r="J587" s="50"/>
      <c r="K587" s="29"/>
      <c r="L587" s="29"/>
      <c r="M587" s="29">
        <f>IF(F40="étrangers",M617,0)</f>
        <v>0</v>
      </c>
      <c r="O587" s="51"/>
    </row>
    <row r="588" spans="1:15" hidden="1" x14ac:dyDescent="0.2">
      <c r="A588" s="29">
        <f>E587</f>
        <v>250000</v>
      </c>
      <c r="B588" s="29"/>
      <c r="C588" s="29"/>
      <c r="D588" s="29"/>
      <c r="E588" s="29">
        <v>500000</v>
      </c>
      <c r="F588" s="29">
        <f>IF(AND(F581&gt;A588, F581&lt;=E588),F581,0)</f>
        <v>0</v>
      </c>
      <c r="G588" s="29">
        <f>(50000/100*3)+(50000/100*8)+(75000/100*9)+(75000/100*18)+((24/100)*(-A588+F588))</f>
        <v>-34250</v>
      </c>
      <c r="H588" s="29">
        <f>(50000/100*2)+(50000/100*5.3)+(75000/100*6)+(75000/100*12)+((24/100)*(-A588+F588))</f>
        <v>-42850</v>
      </c>
      <c r="I588" s="29"/>
      <c r="J588" s="29"/>
      <c r="K588" s="29"/>
      <c r="L588" s="29"/>
      <c r="M588" s="29"/>
      <c r="O588" s="51"/>
    </row>
    <row r="589" spans="1:15" hidden="1" x14ac:dyDescent="0.2">
      <c r="A589" s="29">
        <f>E588</f>
        <v>500000</v>
      </c>
      <c r="B589" s="29"/>
      <c r="C589" s="29"/>
      <c r="D589" s="29"/>
      <c r="E589" s="29">
        <v>999999999</v>
      </c>
      <c r="F589" s="29">
        <f>IF(AND(F581&gt;A589, F581&lt;=E589),F581,0)</f>
        <v>0</v>
      </c>
      <c r="G589" s="29">
        <f>(50000/100*3)+(50000/100*8)+(75000/100*9)+(75000/100*18)+(250000/100*24)+((30/100)*(-A589+F589))</f>
        <v>-64250</v>
      </c>
      <c r="H589" s="29">
        <f>(50000/100*2)+(50000/100*5.3)+(75000/100*6)+(75000/100*12)+(250000/100*24)+((30/100)*(-A589+F589))</f>
        <v>-72850</v>
      </c>
      <c r="I589" s="29"/>
      <c r="J589" s="29"/>
      <c r="K589" s="29"/>
      <c r="L589" s="29"/>
      <c r="M589" s="29">
        <f>SUM(M581:M588)</f>
        <v>0</v>
      </c>
      <c r="O589" s="51"/>
    </row>
    <row r="590" spans="1:15" hidden="1" x14ac:dyDescent="0.2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O590" s="51"/>
    </row>
    <row r="591" spans="1:15" hidden="1" x14ac:dyDescent="0.2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O591" s="51"/>
    </row>
    <row r="592" spans="1:15" hidden="1" x14ac:dyDescent="0.2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O592" s="51"/>
    </row>
    <row r="593" spans="1:15" hidden="1" x14ac:dyDescent="0.2">
      <c r="A593" s="54" t="s">
        <v>7</v>
      </c>
      <c r="B593" s="54"/>
      <c r="C593" s="54"/>
      <c r="D593" s="54"/>
      <c r="E593" s="29"/>
      <c r="F593" s="29"/>
      <c r="G593" s="29">
        <f>VLOOKUP(F581,F584:G589,2,FALSE)</f>
        <v>0</v>
      </c>
      <c r="H593" s="29">
        <f>VLOOKUP(F581,F584:H589,3,FALSE)</f>
        <v>0</v>
      </c>
      <c r="I593" s="29"/>
      <c r="J593" s="29"/>
      <c r="K593" s="29"/>
      <c r="L593" s="29"/>
      <c r="M593" s="29"/>
      <c r="O593" s="51"/>
    </row>
    <row r="594" spans="1:15" hidden="1" x14ac:dyDescent="0.2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O594" s="51"/>
    </row>
    <row r="595" spans="1:15" hidden="1" x14ac:dyDescent="0.2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O595" s="51"/>
    </row>
    <row r="596" spans="1:15" hidden="1" x14ac:dyDescent="0.2">
      <c r="A596" s="52" t="s">
        <v>8</v>
      </c>
      <c r="B596" s="52"/>
      <c r="C596" s="52"/>
      <c r="D596" s="52"/>
      <c r="E596" s="29"/>
      <c r="F596" s="29"/>
      <c r="G596" s="53" t="s">
        <v>9</v>
      </c>
      <c r="H596" s="53"/>
      <c r="I596" s="42"/>
      <c r="J596" s="42"/>
      <c r="K596" s="42"/>
      <c r="L596" s="42"/>
      <c r="M596" s="42"/>
    </row>
    <row r="597" spans="1:15" hidden="1" x14ac:dyDescent="0.2">
      <c r="A597" s="29">
        <v>0</v>
      </c>
      <c r="B597" s="29"/>
      <c r="C597" s="29"/>
      <c r="D597" s="29"/>
      <c r="E597" s="29">
        <v>12500</v>
      </c>
      <c r="F597" s="29">
        <f>IF(AND(F581&gt;A597, F581&lt;=E597),F581,0)</f>
        <v>0</v>
      </c>
      <c r="G597" s="29">
        <f>0+(20/100)*(-A597+F597)</f>
        <v>0</v>
      </c>
      <c r="H597" s="29"/>
      <c r="I597" s="29"/>
      <c r="J597" s="29"/>
      <c r="K597" s="29"/>
      <c r="L597" s="29"/>
      <c r="M597" s="29"/>
    </row>
    <row r="598" spans="1:15" hidden="1" x14ac:dyDescent="0.2">
      <c r="A598" s="29">
        <f>E597</f>
        <v>12500</v>
      </c>
      <c r="B598" s="29"/>
      <c r="C598" s="29"/>
      <c r="D598" s="29"/>
      <c r="E598" s="29">
        <v>25000</v>
      </c>
      <c r="F598" s="29">
        <f>IF(AND(F581&gt;A598, F581&lt;=E598),F581,0)</f>
        <v>0</v>
      </c>
      <c r="G598" s="29">
        <f>(12500/100*20)+((25/100)*(-A598+F598))</f>
        <v>-625</v>
      </c>
      <c r="H598" s="29"/>
      <c r="I598" s="29"/>
      <c r="J598" s="29"/>
      <c r="K598" s="29"/>
      <c r="L598" s="29"/>
      <c r="M598" s="29"/>
    </row>
    <row r="599" spans="1:15" hidden="1" x14ac:dyDescent="0.2">
      <c r="A599" s="29">
        <f>E598</f>
        <v>25000</v>
      </c>
      <c r="B599" s="29"/>
      <c r="C599" s="29"/>
      <c r="D599" s="29"/>
      <c r="E599" s="29">
        <v>50000</v>
      </c>
      <c r="F599" s="29">
        <f>IF(AND(F581&gt;A599, F581&lt;=E599),F581,0)</f>
        <v>0</v>
      </c>
      <c r="G599" s="29">
        <f>(12500/100*20)+(12500/100*25)+((30/100)*(-A599+F599))</f>
        <v>-1875</v>
      </c>
      <c r="H599" s="29"/>
      <c r="I599" s="29"/>
      <c r="J599" s="29"/>
      <c r="K599" s="29"/>
      <c r="L599" s="29"/>
      <c r="M599" s="29"/>
    </row>
    <row r="600" spans="1:15" hidden="1" x14ac:dyDescent="0.2">
      <c r="A600" s="29">
        <f>E599</f>
        <v>50000</v>
      </c>
      <c r="B600" s="29"/>
      <c r="C600" s="29"/>
      <c r="D600" s="29"/>
      <c r="E600" s="29">
        <v>100000</v>
      </c>
      <c r="F600" s="29">
        <f>IF(AND(F581&gt;A600, F581&lt;=E600),F581,0)</f>
        <v>0</v>
      </c>
      <c r="G600" s="29">
        <f>(12500/100*20)+(12500/100*25)+(25000/100*30)+((40/100)*(-A600+F600))</f>
        <v>-6875</v>
      </c>
      <c r="H600" s="29"/>
      <c r="I600" s="29"/>
      <c r="J600" s="29"/>
      <c r="K600" s="29"/>
      <c r="L600" s="29"/>
      <c r="M600" s="29"/>
    </row>
    <row r="601" spans="1:15" hidden="1" x14ac:dyDescent="0.2">
      <c r="A601" s="29">
        <f>E600</f>
        <v>100000</v>
      </c>
      <c r="B601" s="29"/>
      <c r="C601" s="29"/>
      <c r="D601" s="29"/>
      <c r="E601" s="29">
        <v>175000</v>
      </c>
      <c r="F601" s="29">
        <f>IF(AND(F581&gt;A601, F581&lt;=E601),F581,0)</f>
        <v>0</v>
      </c>
      <c r="G601" s="29">
        <f>(12500/100*20)+(12500/100*25)+(25000/100*30)+(50000/100*40)+((55/100)*(-A601+F601))</f>
        <v>-21875.000000000007</v>
      </c>
      <c r="H601" s="29"/>
      <c r="I601" s="29"/>
      <c r="J601" s="29"/>
      <c r="K601" s="29"/>
      <c r="L601" s="29"/>
      <c r="M601" s="29"/>
    </row>
    <row r="602" spans="1:15" hidden="1" x14ac:dyDescent="0.2">
      <c r="A602" s="29">
        <v>175000</v>
      </c>
      <c r="B602" s="29"/>
      <c r="C602" s="29"/>
      <c r="D602" s="29"/>
      <c r="E602" s="29">
        <v>250000</v>
      </c>
      <c r="F602" s="29">
        <f>IF(AND(F581&gt;A602, F581&lt;=E602),F581,0)</f>
        <v>0</v>
      </c>
      <c r="G602" s="29">
        <f>(12500/100*20)+(12500/100*25)+(25000/100*30)+(50000/100*40)+(75000/100*55)+((60/100)*(-A602+F602))</f>
        <v>-30625</v>
      </c>
      <c r="H602" s="29"/>
      <c r="I602" s="29"/>
      <c r="J602" s="29"/>
      <c r="K602" s="29"/>
      <c r="L602" s="29"/>
      <c r="M602" s="29"/>
    </row>
    <row r="603" spans="1:15" hidden="1" x14ac:dyDescent="0.2">
      <c r="A603" s="29">
        <f>E602</f>
        <v>250000</v>
      </c>
      <c r="B603" s="29"/>
      <c r="C603" s="29"/>
      <c r="D603" s="29"/>
      <c r="E603" s="29">
        <v>999999999</v>
      </c>
      <c r="F603" s="29">
        <f>IF(AND(F581&gt;A603, F581&lt;=E603),F581,0)</f>
        <v>0</v>
      </c>
      <c r="G603" s="29">
        <f>(12500/100*20)+(12500/100*25)+(25000/100*30)+(50000/100*40)+(75000/100*55)+(75000/100*60)+((65/100)*(-A603+F603))</f>
        <v>-43125</v>
      </c>
      <c r="H603" s="29"/>
      <c r="I603" s="29"/>
      <c r="J603" s="29"/>
      <c r="K603" s="29"/>
      <c r="L603" s="29"/>
      <c r="M603" s="29"/>
    </row>
    <row r="604" spans="1:15" hidden="1" x14ac:dyDescent="0.2">
      <c r="A604" s="54" t="s">
        <v>7</v>
      </c>
      <c r="B604" s="54"/>
      <c r="C604" s="54"/>
      <c r="D604" s="54"/>
      <c r="E604" s="29"/>
      <c r="F604" s="29"/>
      <c r="G604" s="29">
        <f>VLOOKUP(F581,F597:G603,2,FALSE)</f>
        <v>0</v>
      </c>
      <c r="H604" s="29"/>
      <c r="I604" s="29"/>
      <c r="J604" s="29"/>
      <c r="K604" s="29"/>
      <c r="L604" s="29"/>
      <c r="M604" s="29"/>
    </row>
    <row r="605" spans="1:15" hidden="1" x14ac:dyDescent="0.2"/>
    <row r="606" spans="1:15" hidden="1" x14ac:dyDescent="0.2">
      <c r="E606" s="29"/>
      <c r="F606" s="29"/>
      <c r="G606" s="29"/>
      <c r="H606" s="32"/>
      <c r="I606" s="29"/>
      <c r="J606" s="33"/>
      <c r="M606" s="33"/>
      <c r="O606" s="33"/>
    </row>
    <row r="607" spans="1:15" hidden="1" x14ac:dyDescent="0.2">
      <c r="E607" s="29"/>
      <c r="F607" s="29"/>
      <c r="G607" s="29"/>
      <c r="H607" s="32"/>
      <c r="I607" s="29"/>
      <c r="J607" s="33"/>
      <c r="M607" s="33"/>
      <c r="O607" s="33"/>
    </row>
    <row r="608" spans="1:15" hidden="1" x14ac:dyDescent="0.2">
      <c r="E608" s="29"/>
      <c r="F608" s="29"/>
      <c r="G608" s="29"/>
      <c r="H608" s="32"/>
      <c r="I608" s="29"/>
      <c r="J608" s="33"/>
      <c r="M608" s="33"/>
      <c r="O608" s="33"/>
    </row>
    <row r="609" spans="1:15" hidden="1" x14ac:dyDescent="0.2">
      <c r="A609" s="52" t="s">
        <v>26</v>
      </c>
      <c r="B609" s="52"/>
      <c r="C609" s="52"/>
      <c r="D609" s="52"/>
      <c r="E609" s="29"/>
      <c r="F609" s="29"/>
      <c r="G609" s="53" t="s">
        <v>10</v>
      </c>
      <c r="H609" s="32"/>
      <c r="I609" s="52" t="s">
        <v>27</v>
      </c>
      <c r="J609" s="29"/>
      <c r="K609" s="29"/>
      <c r="L609" s="29"/>
      <c r="M609" s="53" t="s">
        <v>11</v>
      </c>
      <c r="O609" s="33"/>
    </row>
    <row r="610" spans="1:15" hidden="1" x14ac:dyDescent="0.2">
      <c r="A610" s="29">
        <v>0</v>
      </c>
      <c r="B610" s="29"/>
      <c r="C610" s="29"/>
      <c r="D610" s="29"/>
      <c r="E610" s="29">
        <v>50000</v>
      </c>
      <c r="F610" s="29">
        <f>IF(AND(F581&gt;A610, F581&lt;=E610),F581,0)</f>
        <v>0</v>
      </c>
      <c r="G610" s="29">
        <f>0+(35/100)*(-A610+F610)</f>
        <v>0</v>
      </c>
      <c r="H610" s="32"/>
      <c r="I610" s="29">
        <v>0</v>
      </c>
      <c r="J610" s="29">
        <v>50000</v>
      </c>
      <c r="K610" s="29">
        <f>IF(AND(F581&gt;I610, F581&lt;=J610),F581,0)</f>
        <v>0</v>
      </c>
      <c r="L610" s="29"/>
      <c r="M610" s="29">
        <f>0+(40/100)*(-I610+K610)</f>
        <v>0</v>
      </c>
      <c r="O610" s="33"/>
    </row>
    <row r="611" spans="1:15" hidden="1" x14ac:dyDescent="0.2">
      <c r="A611" s="29">
        <f>E610</f>
        <v>50000</v>
      </c>
      <c r="B611" s="29"/>
      <c r="C611" s="29"/>
      <c r="D611" s="29"/>
      <c r="E611" s="29">
        <v>100000</v>
      </c>
      <c r="F611" s="29">
        <f>IF(AND(F581&gt;A611, F581&lt;=E611),F581,0)</f>
        <v>0</v>
      </c>
      <c r="G611" s="29">
        <f>(50000/100*35)+((50/100)*(-A611+F611))</f>
        <v>-7500</v>
      </c>
      <c r="H611" s="32"/>
      <c r="I611" s="29">
        <f>J610</f>
        <v>50000</v>
      </c>
      <c r="J611" s="29">
        <v>75000</v>
      </c>
      <c r="K611" s="29">
        <f>IF(AND(F581&gt;I611, F581&lt;=J611),F581,0)</f>
        <v>0</v>
      </c>
      <c r="L611" s="29"/>
      <c r="M611" s="29">
        <f>(50000/100*40)+((55/100)*(-I611+K611))</f>
        <v>-7500.0000000000036</v>
      </c>
      <c r="O611" s="33"/>
    </row>
    <row r="612" spans="1:15" hidden="1" x14ac:dyDescent="0.2">
      <c r="A612" s="29">
        <f>E611</f>
        <v>100000</v>
      </c>
      <c r="B612" s="29"/>
      <c r="C612" s="29"/>
      <c r="D612" s="29"/>
      <c r="E612" s="29">
        <v>175000</v>
      </c>
      <c r="F612" s="29">
        <f>IF(AND(F581&gt;A612, F581&lt;=E612),F581,0)</f>
        <v>0</v>
      </c>
      <c r="G612" s="29">
        <f>(50000/100*35)+(50000/100*50)+((60/100)*(-A612+F612))</f>
        <v>-17500</v>
      </c>
      <c r="H612" s="32"/>
      <c r="I612" s="29">
        <f>J611</f>
        <v>75000</v>
      </c>
      <c r="J612" s="29">
        <v>175000</v>
      </c>
      <c r="K612" s="29">
        <f>IF(AND(F581&gt;I612, F581&lt;=J612),F581,0)</f>
        <v>0</v>
      </c>
      <c r="L612" s="29"/>
      <c r="M612" s="29">
        <f>(50000/100*40)+(25000/100*55)+((65/100)*(-I612+K612))</f>
        <v>-15000</v>
      </c>
      <c r="O612" s="33"/>
    </row>
    <row r="613" spans="1:15" hidden="1" x14ac:dyDescent="0.2">
      <c r="A613" s="29">
        <f>E612</f>
        <v>175000</v>
      </c>
      <c r="B613" s="29"/>
      <c r="C613" s="29"/>
      <c r="D613" s="29"/>
      <c r="E613" s="29">
        <v>999999999</v>
      </c>
      <c r="F613" s="29">
        <f>IF(AND(F581&gt;A613, F581&lt;=E613),F581,0)</f>
        <v>0</v>
      </c>
      <c r="G613" s="29">
        <f>(50000/100*35)+(50000/100*50)+(75000/100*60)+((70/100)*(-A613+F613))</f>
        <v>-34999.999999999985</v>
      </c>
      <c r="H613" s="32"/>
      <c r="I613" s="29">
        <f>J612</f>
        <v>175000</v>
      </c>
      <c r="J613" s="29">
        <v>999999999</v>
      </c>
      <c r="K613" s="29">
        <f>IF(AND(F581&gt;I613, F581&lt;=J613),F581,0)</f>
        <v>0</v>
      </c>
      <c r="L613" s="29"/>
      <c r="M613" s="29">
        <f>(50000/100*40)+(25000/100*55)+(100000/100*65)+((80/100)*(-I613+K613))</f>
        <v>-41250</v>
      </c>
      <c r="O613" s="33"/>
    </row>
    <row r="614" spans="1:15" hidden="1" x14ac:dyDescent="0.2">
      <c r="A614" s="29"/>
      <c r="B614" s="29"/>
      <c r="C614" s="29"/>
      <c r="D614" s="29"/>
      <c r="E614" s="29"/>
      <c r="F614" s="29"/>
      <c r="G614" s="29"/>
      <c r="H614" s="32"/>
      <c r="I614" s="29"/>
      <c r="J614" s="29"/>
      <c r="K614" s="29"/>
      <c r="L614" s="29"/>
      <c r="M614" s="29"/>
      <c r="O614" s="33"/>
    </row>
    <row r="615" spans="1:15" hidden="1" x14ac:dyDescent="0.2">
      <c r="A615" s="29"/>
      <c r="B615" s="29"/>
      <c r="C615" s="29"/>
      <c r="D615" s="29"/>
      <c r="E615" s="29"/>
      <c r="F615" s="29"/>
      <c r="G615" s="29"/>
      <c r="H615" s="32"/>
      <c r="I615" s="29"/>
      <c r="J615" s="29"/>
      <c r="K615" s="29"/>
      <c r="L615" s="29"/>
      <c r="M615" s="29"/>
      <c r="O615" s="33"/>
    </row>
    <row r="616" spans="1:15" hidden="1" x14ac:dyDescent="0.2">
      <c r="A616" s="29"/>
      <c r="B616" s="29"/>
      <c r="C616" s="29"/>
      <c r="D616" s="29"/>
      <c r="E616" s="29"/>
      <c r="F616" s="29"/>
      <c r="G616" s="29"/>
      <c r="H616" s="32"/>
      <c r="I616" s="29"/>
      <c r="J616" s="29"/>
      <c r="K616" s="29"/>
      <c r="L616" s="29"/>
      <c r="M616" s="29"/>
      <c r="O616" s="33"/>
    </row>
    <row r="617" spans="1:15" hidden="1" x14ac:dyDescent="0.2">
      <c r="A617" s="54" t="s">
        <v>7</v>
      </c>
      <c r="B617" s="54"/>
      <c r="C617" s="54"/>
      <c r="D617" s="54"/>
      <c r="E617" s="29"/>
      <c r="F617" s="29"/>
      <c r="G617" s="29">
        <f>VLOOKUP(F581,F610:G613,2,FALSE)</f>
        <v>0</v>
      </c>
      <c r="H617" s="32"/>
      <c r="I617" s="54" t="s">
        <v>7</v>
      </c>
      <c r="J617" s="29"/>
      <c r="K617" s="29"/>
      <c r="L617" s="29"/>
      <c r="M617" s="29">
        <f>VLOOKUP(F581,K610:M613,3,FALSE)</f>
        <v>0</v>
      </c>
      <c r="O617" s="33"/>
    </row>
    <row r="618" spans="1:15" hidden="1" x14ac:dyDescent="0.2">
      <c r="H618" s="32"/>
      <c r="O618" s="33"/>
    </row>
    <row r="619" spans="1:15" hidden="1" x14ac:dyDescent="0.2">
      <c r="E619" s="29"/>
      <c r="F619" s="29"/>
      <c r="G619" s="29"/>
      <c r="H619" s="32"/>
      <c r="J619" s="29"/>
      <c r="K619" s="29"/>
      <c r="L619" s="29"/>
      <c r="M619" s="29"/>
      <c r="O619" s="33"/>
    </row>
    <row r="620" spans="1:15" hidden="1" x14ac:dyDescent="0.2">
      <c r="E620" s="29"/>
      <c r="G620" s="29"/>
    </row>
    <row r="621" spans="1:15" hidden="1" x14ac:dyDescent="0.2"/>
    <row r="622" spans="1:15" hidden="1" x14ac:dyDescent="0.2">
      <c r="E622" s="9" t="s">
        <v>84</v>
      </c>
      <c r="F622" s="9" t="s">
        <v>91</v>
      </c>
    </row>
    <row r="623" spans="1:15" hidden="1" x14ac:dyDescent="0.2"/>
    <row r="624" spans="1:15" hidden="1" x14ac:dyDescent="0.2">
      <c r="E624" s="9" t="s">
        <v>84</v>
      </c>
      <c r="F624" s="9">
        <f>IF(J40=3,M589*12%,0)</f>
        <v>0</v>
      </c>
      <c r="G624" s="9">
        <f>IF(F624&gt;372,372,F624)</f>
        <v>0</v>
      </c>
      <c r="I624" s="9" t="s">
        <v>30</v>
      </c>
      <c r="J624" s="9">
        <f>M589*6%</f>
        <v>0</v>
      </c>
      <c r="K624" s="9">
        <f>IF(J624&gt;186,186,J624)</f>
        <v>0</v>
      </c>
      <c r="L624" s="9">
        <f>IF(J40=3,K624,0)</f>
        <v>0</v>
      </c>
    </row>
    <row r="625" spans="5:12" hidden="1" x14ac:dyDescent="0.2">
      <c r="F625" s="9">
        <f>IF(J40=4,M589*16%,0)</f>
        <v>0</v>
      </c>
      <c r="G625" s="9">
        <f>IF(F625&gt;496,496,F625)</f>
        <v>0</v>
      </c>
      <c r="I625" s="9" t="s">
        <v>31</v>
      </c>
      <c r="J625" s="9">
        <f>M589*8%</f>
        <v>0</v>
      </c>
      <c r="K625" s="9">
        <f>IF(J625&gt;248,248,J625)</f>
        <v>0</v>
      </c>
      <c r="L625" s="9">
        <f>IF(J40=4,K625,0)</f>
        <v>0</v>
      </c>
    </row>
    <row r="626" spans="5:12" hidden="1" x14ac:dyDescent="0.2">
      <c r="F626" s="9">
        <f>IF(J40=5,M589*20%,0)</f>
        <v>0</v>
      </c>
      <c r="G626" s="9">
        <f>IF(F626&gt;620,620,F626)</f>
        <v>0</v>
      </c>
      <c r="J626" s="9">
        <f>M589*10%</f>
        <v>0</v>
      </c>
      <c r="K626" s="9">
        <f>IF(J626&gt;310,310,J626)</f>
        <v>0</v>
      </c>
      <c r="L626" s="9">
        <f>IF(J40=5,K626,0)</f>
        <v>0</v>
      </c>
    </row>
    <row r="627" spans="5:12" hidden="1" x14ac:dyDescent="0.2">
      <c r="F627" s="9">
        <f>IF(J40=6,M589*24%,0)</f>
        <v>0</v>
      </c>
      <c r="G627" s="9">
        <f>IF(F627&gt;744,744,F627)</f>
        <v>0</v>
      </c>
      <c r="J627" s="9">
        <f>M589*12%</f>
        <v>0</v>
      </c>
      <c r="K627" s="9">
        <f>IF(J627&gt;372,372,J627)</f>
        <v>0</v>
      </c>
      <c r="L627" s="9">
        <f>IF(J40=6,K627,0)</f>
        <v>0</v>
      </c>
    </row>
    <row r="628" spans="5:12" hidden="1" x14ac:dyDescent="0.2">
      <c r="F628" s="9">
        <f>IF(J40=7,M589*28%,0)</f>
        <v>0</v>
      </c>
      <c r="G628" s="9">
        <f>IF(F628&gt;868,868,F628)</f>
        <v>0</v>
      </c>
      <c r="J628" s="9">
        <f>M589*14%</f>
        <v>0</v>
      </c>
      <c r="K628" s="9">
        <f>IF(J628&gt;434,434,J628)</f>
        <v>0</v>
      </c>
      <c r="L628" s="9">
        <f>IF(J40=7,K628,0)</f>
        <v>0</v>
      </c>
    </row>
    <row r="629" spans="5:12" hidden="1" x14ac:dyDescent="0.2">
      <c r="F629" s="9">
        <f>IF(J40=8,M589*32%,0)</f>
        <v>0</v>
      </c>
      <c r="G629" s="9">
        <f>IF(F629&gt;992,992,F629)</f>
        <v>0</v>
      </c>
      <c r="J629" s="9">
        <f>M589*16%</f>
        <v>0</v>
      </c>
      <c r="K629" s="9">
        <f>IF(J629&gt;496,496,J629)</f>
        <v>0</v>
      </c>
      <c r="L629" s="9">
        <f>IF(J40=8,K629,0)</f>
        <v>0</v>
      </c>
    </row>
    <row r="630" spans="5:12" hidden="1" x14ac:dyDescent="0.2">
      <c r="F630" s="9">
        <f>IF(J40=9,M589*36%,0)</f>
        <v>0</v>
      </c>
      <c r="G630" s="9">
        <f>IF(F630&gt;1116,1116,F630)</f>
        <v>0</v>
      </c>
      <c r="J630" s="9">
        <f>M589*18%</f>
        <v>0</v>
      </c>
      <c r="K630" s="9">
        <f>IF(J630&gt;558,558,J630)</f>
        <v>0</v>
      </c>
      <c r="L630" s="9">
        <f>IF(J40=9,K630,0)</f>
        <v>0</v>
      </c>
    </row>
    <row r="631" spans="5:12" hidden="1" x14ac:dyDescent="0.2">
      <c r="F631" s="9">
        <f>IF(J40=10,M589*40%,0)</f>
        <v>0</v>
      </c>
      <c r="G631" s="9">
        <f>IF(F631&gt;1240,1240,F631)</f>
        <v>0</v>
      </c>
      <c r="J631" s="9">
        <f>M589*20%</f>
        <v>0</v>
      </c>
      <c r="K631" s="9">
        <f>IF(J631&gt;620,620,J631)</f>
        <v>0</v>
      </c>
      <c r="L631" s="9">
        <f>IF(J40=10,K631,0)</f>
        <v>0</v>
      </c>
    </row>
    <row r="632" spans="5:12" hidden="1" x14ac:dyDescent="0.2"/>
    <row r="633" spans="5:12" hidden="1" x14ac:dyDescent="0.2">
      <c r="G633" s="9">
        <f>SUM(G624:G632)</f>
        <v>0</v>
      </c>
      <c r="L633" s="9">
        <f>SUM(L624:L632)</f>
        <v>0</v>
      </c>
    </row>
    <row r="634" spans="5:12" hidden="1" x14ac:dyDescent="0.2">
      <c r="G634" s="22"/>
    </row>
    <row r="635" spans="5:12" hidden="1" x14ac:dyDescent="0.2">
      <c r="G635" s="22"/>
    </row>
    <row r="636" spans="5:12" hidden="1" x14ac:dyDescent="0.2">
      <c r="G636" s="22"/>
    </row>
    <row r="637" spans="5:12" hidden="1" x14ac:dyDescent="0.2">
      <c r="E637" s="9" t="s">
        <v>32</v>
      </c>
      <c r="F637" s="23">
        <f>M589-G633</f>
        <v>0</v>
      </c>
      <c r="G637" s="22"/>
      <c r="H637" s="9" t="s">
        <v>33</v>
      </c>
      <c r="I637" s="56">
        <f>M589-L633</f>
        <v>0</v>
      </c>
    </row>
    <row r="638" spans="5:12" hidden="1" x14ac:dyDescent="0.2">
      <c r="E638" s="29"/>
      <c r="G638" s="29"/>
    </row>
    <row r="639" spans="5:12" hidden="1" x14ac:dyDescent="0.2">
      <c r="E639" s="29"/>
      <c r="G639" s="29"/>
    </row>
    <row r="640" spans="5:12" hidden="1" x14ac:dyDescent="0.2">
      <c r="E640" s="29"/>
      <c r="G640" s="29"/>
    </row>
    <row r="641" spans="5:7" hidden="1" x14ac:dyDescent="0.2">
      <c r="E641" s="29"/>
      <c r="G641" s="29"/>
    </row>
    <row r="642" spans="5:7" hidden="1" x14ac:dyDescent="0.2">
      <c r="E642" s="29"/>
      <c r="G642" s="29"/>
    </row>
    <row r="643" spans="5:7" hidden="1" x14ac:dyDescent="0.2">
      <c r="E643" s="29"/>
      <c r="G643" s="29"/>
    </row>
    <row r="644" spans="5:7" hidden="1" x14ac:dyDescent="0.2">
      <c r="E644" s="29"/>
      <c r="G644" s="29"/>
    </row>
    <row r="645" spans="5:7" hidden="1" x14ac:dyDescent="0.2">
      <c r="E645" s="29"/>
      <c r="G645" s="29"/>
    </row>
    <row r="646" spans="5:7" hidden="1" x14ac:dyDescent="0.2">
      <c r="E646" s="29"/>
      <c r="G646" s="29"/>
    </row>
    <row r="647" spans="5:7" hidden="1" x14ac:dyDescent="0.2">
      <c r="E647" s="29"/>
      <c r="G647" s="29"/>
    </row>
    <row r="648" spans="5:7" hidden="1" x14ac:dyDescent="0.2">
      <c r="E648" s="29"/>
      <c r="G648" s="29"/>
    </row>
    <row r="649" spans="5:7" hidden="1" x14ac:dyDescent="0.2">
      <c r="E649" s="29"/>
      <c r="G649" s="29"/>
    </row>
    <row r="650" spans="5:7" hidden="1" x14ac:dyDescent="0.2">
      <c r="E650" s="29"/>
      <c r="G650" s="29"/>
    </row>
    <row r="651" spans="5:7" hidden="1" x14ac:dyDescent="0.2">
      <c r="E651" s="29"/>
      <c r="G651" s="29"/>
    </row>
    <row r="652" spans="5:7" hidden="1" x14ac:dyDescent="0.2">
      <c r="E652" s="29"/>
      <c r="G652" s="29"/>
    </row>
    <row r="653" spans="5:7" hidden="1" x14ac:dyDescent="0.2">
      <c r="E653" s="29"/>
      <c r="G653" s="29"/>
    </row>
    <row r="654" spans="5:7" hidden="1" x14ac:dyDescent="0.2">
      <c r="E654" s="29"/>
      <c r="G654" s="29"/>
    </row>
    <row r="655" spans="5:7" hidden="1" x14ac:dyDescent="0.2">
      <c r="E655" s="29"/>
      <c r="G655" s="29"/>
    </row>
    <row r="656" spans="5:7" hidden="1" x14ac:dyDescent="0.2">
      <c r="E656" s="29"/>
      <c r="G656" s="29"/>
    </row>
    <row r="657" spans="5:7" hidden="1" x14ac:dyDescent="0.2">
      <c r="E657" s="29"/>
      <c r="G657" s="29"/>
    </row>
    <row r="658" spans="5:7" hidden="1" x14ac:dyDescent="0.2">
      <c r="E658" s="29"/>
      <c r="G658" s="29"/>
    </row>
    <row r="659" spans="5:7" hidden="1" x14ac:dyDescent="0.2">
      <c r="E659" s="29"/>
      <c r="G659" s="29"/>
    </row>
    <row r="660" spans="5:7" hidden="1" x14ac:dyDescent="0.2">
      <c r="E660" s="29"/>
      <c r="G660" s="29"/>
    </row>
    <row r="661" spans="5:7" hidden="1" x14ac:dyDescent="0.2">
      <c r="E661" s="29"/>
      <c r="G661" s="29"/>
    </row>
    <row r="662" spans="5:7" hidden="1" x14ac:dyDescent="0.2">
      <c r="E662" s="29"/>
      <c r="G662" s="29"/>
    </row>
    <row r="663" spans="5:7" hidden="1" x14ac:dyDescent="0.2">
      <c r="E663" s="29"/>
      <c r="G663" s="29"/>
    </row>
    <row r="664" spans="5:7" hidden="1" x14ac:dyDescent="0.2">
      <c r="E664" s="29"/>
      <c r="G664" s="29"/>
    </row>
    <row r="665" spans="5:7" hidden="1" x14ac:dyDescent="0.2">
      <c r="E665" s="29"/>
      <c r="G665" s="29"/>
    </row>
    <row r="666" spans="5:7" hidden="1" x14ac:dyDescent="0.2">
      <c r="E666" s="29"/>
      <c r="G666" s="29"/>
    </row>
    <row r="667" spans="5:7" hidden="1" x14ac:dyDescent="0.2">
      <c r="E667" s="29"/>
      <c r="G667" s="29"/>
    </row>
    <row r="668" spans="5:7" hidden="1" x14ac:dyDescent="0.2">
      <c r="E668" s="29"/>
      <c r="G668" s="29"/>
    </row>
    <row r="669" spans="5:7" hidden="1" x14ac:dyDescent="0.2">
      <c r="E669" s="29"/>
      <c r="G669" s="29"/>
    </row>
    <row r="670" spans="5:7" hidden="1" x14ac:dyDescent="0.2">
      <c r="E670" s="29"/>
      <c r="G670" s="29"/>
    </row>
    <row r="671" spans="5:7" hidden="1" x14ac:dyDescent="0.2">
      <c r="E671" s="29"/>
      <c r="G671" s="29"/>
    </row>
    <row r="672" spans="5:7" hidden="1" x14ac:dyDescent="0.2">
      <c r="E672" s="29"/>
      <c r="G672" s="29"/>
    </row>
    <row r="673" spans="1:15" hidden="1" x14ac:dyDescent="0.2">
      <c r="E673" s="29"/>
      <c r="G673" s="29"/>
    </row>
    <row r="674" spans="1:15" hidden="1" x14ac:dyDescent="0.2">
      <c r="E674" s="29"/>
      <c r="G674" s="29"/>
    </row>
    <row r="675" spans="1:15" hidden="1" x14ac:dyDescent="0.2">
      <c r="E675" s="29"/>
      <c r="G675" s="29"/>
    </row>
    <row r="676" spans="1:15" hidden="1" x14ac:dyDescent="0.2">
      <c r="E676" s="29"/>
      <c r="G676" s="29"/>
    </row>
    <row r="677" spans="1:15" hidden="1" x14ac:dyDescent="0.2">
      <c r="E677" s="29"/>
      <c r="G677" s="29"/>
    </row>
    <row r="678" spans="1:15" hidden="1" x14ac:dyDescent="0.2">
      <c r="E678" s="29"/>
      <c r="G678" s="29"/>
    </row>
    <row r="679" spans="1:15" hidden="1" x14ac:dyDescent="0.2">
      <c r="E679" s="29"/>
      <c r="G679" s="29"/>
    </row>
    <row r="680" spans="1:15" hidden="1" x14ac:dyDescent="0.2">
      <c r="E680" s="29"/>
      <c r="G680" s="29"/>
    </row>
    <row r="681" spans="1:15" hidden="1" x14ac:dyDescent="0.2">
      <c r="E681" s="29"/>
      <c r="G681" s="29"/>
    </row>
    <row r="682" spans="1:15" ht="13.5" hidden="1" thickBot="1" x14ac:dyDescent="0.25">
      <c r="E682" s="29"/>
      <c r="G682" s="29"/>
    </row>
    <row r="683" spans="1:15" ht="13.5" hidden="1" thickTop="1" x14ac:dyDescent="0.2">
      <c r="A683" s="42"/>
      <c r="B683" s="42"/>
      <c r="C683" s="42"/>
      <c r="D683" s="42"/>
      <c r="E683" s="43"/>
      <c r="F683" s="44"/>
      <c r="G683" s="43"/>
      <c r="H683" s="43"/>
      <c r="I683" s="45"/>
      <c r="J683" s="46"/>
      <c r="K683" s="45"/>
      <c r="L683" s="45"/>
      <c r="M683" s="45"/>
      <c r="N683" s="47"/>
      <c r="O683" s="48"/>
    </row>
    <row r="684" spans="1:15" hidden="1" x14ac:dyDescent="0.2">
      <c r="A684" s="29" t="s">
        <v>4</v>
      </c>
      <c r="B684" s="29"/>
      <c r="C684" s="29"/>
      <c r="D684" s="29"/>
      <c r="E684" s="29"/>
      <c r="F684" s="29">
        <f>G45</f>
        <v>0</v>
      </c>
      <c r="G684" s="49"/>
      <c r="H684" s="29"/>
      <c r="I684" s="29"/>
      <c r="J684" s="50"/>
      <c r="K684" s="29"/>
      <c r="L684" s="29"/>
      <c r="M684" s="29">
        <f>IF(AND(I45="oui",F45="ligne directe"),H696,0)</f>
        <v>0</v>
      </c>
      <c r="O684" s="51"/>
    </row>
    <row r="685" spans="1:15" hidden="1" x14ac:dyDescent="0.2">
      <c r="A685" s="29"/>
      <c r="B685" s="29"/>
      <c r="C685" s="29"/>
      <c r="D685" s="29"/>
      <c r="E685" s="29"/>
      <c r="F685" s="29"/>
      <c r="G685" s="29"/>
      <c r="H685" s="29"/>
      <c r="I685" s="29"/>
      <c r="J685" s="50"/>
      <c r="K685" s="29"/>
      <c r="L685" s="29"/>
      <c r="M685" s="29">
        <f>IF(AND(I45="oui",F45="épou(x)(se)"),H696,0)</f>
        <v>0</v>
      </c>
      <c r="O685" s="51"/>
    </row>
    <row r="686" spans="1:15" hidden="1" x14ac:dyDescent="0.2">
      <c r="A686" s="52" t="s">
        <v>5</v>
      </c>
      <c r="B686" s="52"/>
      <c r="C686" s="52"/>
      <c r="D686" s="52"/>
      <c r="E686" s="29"/>
      <c r="F686" s="29"/>
      <c r="G686" s="53" t="s">
        <v>6</v>
      </c>
      <c r="H686" s="53" t="s">
        <v>25</v>
      </c>
      <c r="I686" s="29"/>
      <c r="J686" s="50"/>
      <c r="K686" s="29"/>
      <c r="L686" s="29"/>
      <c r="M686" s="29">
        <f>IF(AND(I45="non",F45="ligne directe"),G696,0)</f>
        <v>0</v>
      </c>
      <c r="O686" s="51"/>
    </row>
    <row r="687" spans="1:15" hidden="1" x14ac:dyDescent="0.2">
      <c r="A687" s="29">
        <v>0</v>
      </c>
      <c r="B687" s="29"/>
      <c r="C687" s="29"/>
      <c r="D687" s="29"/>
      <c r="E687" s="29">
        <v>50000</v>
      </c>
      <c r="F687" s="29">
        <f>IF(AND(F684&gt;A687, F684&lt;=E687),F684,0)</f>
        <v>0</v>
      </c>
      <c r="G687" s="29">
        <f>0+(3/100)*(-A687+F687)</f>
        <v>0</v>
      </c>
      <c r="H687" s="29">
        <f>0+(2/100)*(-A687+F687)</f>
        <v>0</v>
      </c>
      <c r="I687" s="29"/>
      <c r="J687" s="50"/>
      <c r="K687" s="29"/>
      <c r="L687" s="29"/>
      <c r="M687" s="29">
        <f>IF(AND(I45="non",F45="épou(x)(se)"),G696,0)</f>
        <v>0</v>
      </c>
      <c r="O687" s="51"/>
    </row>
    <row r="688" spans="1:15" hidden="1" x14ac:dyDescent="0.2">
      <c r="A688" s="29">
        <f>E687</f>
        <v>50000</v>
      </c>
      <c r="B688" s="29"/>
      <c r="C688" s="29"/>
      <c r="D688" s="29"/>
      <c r="E688" s="29">
        <v>100000</v>
      </c>
      <c r="F688" s="29">
        <f>IF(AND(F684&gt;A688, F684&lt;=E688),F684,0)</f>
        <v>0</v>
      </c>
      <c r="G688" s="29">
        <f>(50000/100*3)+(8/100)*(-A688+F688)</f>
        <v>-2500</v>
      </c>
      <c r="H688" s="29">
        <f>(50000/100*2)+(5.3/100)*(-A688+F688)</f>
        <v>-1650</v>
      </c>
      <c r="I688" s="29"/>
      <c r="J688" s="50"/>
      <c r="K688" s="29"/>
      <c r="L688" s="29"/>
      <c r="M688" s="29">
        <f>IF(F45="frère/soeur",G707,0)</f>
        <v>0</v>
      </c>
      <c r="O688" s="51"/>
    </row>
    <row r="689" spans="1:15" hidden="1" x14ac:dyDescent="0.2">
      <c r="A689" s="29">
        <f>E688</f>
        <v>100000</v>
      </c>
      <c r="B689" s="29"/>
      <c r="C689" s="29"/>
      <c r="D689" s="29"/>
      <c r="E689" s="29">
        <v>175000</v>
      </c>
      <c r="F689" s="29">
        <f>IF(AND(F684&gt;A689, F684&lt;=E689),F684,0)</f>
        <v>0</v>
      </c>
      <c r="G689" s="29">
        <f>(50000/100*3)+(50000/100*8)+((9/100)*(-A689+F689))</f>
        <v>-3500</v>
      </c>
      <c r="H689" s="29">
        <f>(50000/100*2)+(50000/100*5.3)+((6/100)*(-A689+F689))</f>
        <v>-2350</v>
      </c>
      <c r="I689" s="29"/>
      <c r="J689" s="50"/>
      <c r="K689" s="29"/>
      <c r="L689" s="29"/>
      <c r="M689" s="29">
        <f>IF(F45="oncle-tante/neveu-nièce",G720,0)</f>
        <v>0</v>
      </c>
      <c r="O689" s="51"/>
    </row>
    <row r="690" spans="1:15" hidden="1" x14ac:dyDescent="0.2">
      <c r="A690" s="29">
        <f>E689</f>
        <v>175000</v>
      </c>
      <c r="B690" s="29"/>
      <c r="C690" s="29"/>
      <c r="D690" s="29"/>
      <c r="E690" s="29">
        <v>250000</v>
      </c>
      <c r="F690" s="29">
        <f>IF(AND(F684&gt;A690, F684&lt;=E690),F684,0)</f>
        <v>0</v>
      </c>
      <c r="G690" s="29">
        <f>(50000/100*3)+(50000/100*8)+(75000/100*9)+((18/100)*(-A690+F690))</f>
        <v>-19250</v>
      </c>
      <c r="H690" s="29">
        <f>(50000/100*2)+(50000/100*5.3)+(75000/100*6)+((12/100)*(-A690+F690))</f>
        <v>-12850</v>
      </c>
      <c r="I690" s="29"/>
      <c r="J690" s="50"/>
      <c r="K690" s="29"/>
      <c r="L690" s="29"/>
      <c r="M690" s="29">
        <f>IF(F45="étrangers",M720,0)</f>
        <v>0</v>
      </c>
      <c r="O690" s="51"/>
    </row>
    <row r="691" spans="1:15" hidden="1" x14ac:dyDescent="0.2">
      <c r="A691" s="29">
        <f>E690</f>
        <v>250000</v>
      </c>
      <c r="B691" s="29"/>
      <c r="C691" s="29"/>
      <c r="D691" s="29"/>
      <c r="E691" s="29">
        <v>500000</v>
      </c>
      <c r="F691" s="29">
        <f>IF(AND(F684&gt;A691, F684&lt;=E691),F684,0)</f>
        <v>0</v>
      </c>
      <c r="G691" s="29">
        <f>(50000/100*3)+(50000/100*8)+(75000/100*9)+(75000/100*18)+((24/100)*(-A691+F691))</f>
        <v>-34250</v>
      </c>
      <c r="H691" s="29">
        <f>(50000/100*2)+(50000/100*5.3)+(75000/100*6)+(75000/100*12)+((24/100)*(-A691+F691))</f>
        <v>-42850</v>
      </c>
      <c r="I691" s="29"/>
      <c r="J691" s="29"/>
      <c r="K691" s="29"/>
      <c r="L691" s="29"/>
      <c r="M691" s="29"/>
      <c r="O691" s="51"/>
    </row>
    <row r="692" spans="1:15" hidden="1" x14ac:dyDescent="0.2">
      <c r="A692" s="29">
        <f>E691</f>
        <v>500000</v>
      </c>
      <c r="B692" s="29"/>
      <c r="C692" s="29"/>
      <c r="D692" s="29"/>
      <c r="E692" s="29">
        <v>999999999</v>
      </c>
      <c r="F692" s="29">
        <f>IF(AND(F684&gt;A692, F684&lt;=E692),F684,0)</f>
        <v>0</v>
      </c>
      <c r="G692" s="29">
        <f>(50000/100*3)+(50000/100*8)+(75000/100*9)+(75000/100*18)+(250000/100*24)+((30/100)*(-A692+F692))</f>
        <v>-64250</v>
      </c>
      <c r="H692" s="29">
        <f>(50000/100*2)+(50000/100*5.3)+(75000/100*6)+(75000/100*12)+(250000/100*24)+((30/100)*(-A692+F692))</f>
        <v>-72850</v>
      </c>
      <c r="I692" s="29"/>
      <c r="J692" s="29"/>
      <c r="K692" s="29"/>
      <c r="L692" s="29"/>
      <c r="M692" s="29">
        <f>SUM(M684:M691)</f>
        <v>0</v>
      </c>
      <c r="O692" s="51"/>
    </row>
    <row r="693" spans="1:15" hidden="1" x14ac:dyDescent="0.2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O693" s="51"/>
    </row>
    <row r="694" spans="1:15" hidden="1" x14ac:dyDescent="0.2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O694" s="51"/>
    </row>
    <row r="695" spans="1:15" hidden="1" x14ac:dyDescent="0.2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O695" s="51"/>
    </row>
    <row r="696" spans="1:15" hidden="1" x14ac:dyDescent="0.2">
      <c r="A696" s="54" t="s">
        <v>7</v>
      </c>
      <c r="B696" s="54"/>
      <c r="C696" s="54"/>
      <c r="D696" s="54"/>
      <c r="E696" s="29"/>
      <c r="F696" s="29"/>
      <c r="G696" s="29">
        <f>VLOOKUP(F684,F687:G692,2,FALSE)</f>
        <v>0</v>
      </c>
      <c r="H696" s="29">
        <f>VLOOKUP(F684,F687:H692,3,FALSE)</f>
        <v>0</v>
      </c>
      <c r="I696" s="29"/>
      <c r="J696" s="29"/>
      <c r="K696" s="29"/>
      <c r="L696" s="29"/>
      <c r="M696" s="29"/>
      <c r="O696" s="51"/>
    </row>
    <row r="697" spans="1:15" hidden="1" x14ac:dyDescent="0.2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O697" s="51"/>
    </row>
    <row r="698" spans="1:15" hidden="1" x14ac:dyDescent="0.2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O698" s="51"/>
    </row>
    <row r="699" spans="1:15" hidden="1" x14ac:dyDescent="0.2">
      <c r="A699" s="52" t="s">
        <v>8</v>
      </c>
      <c r="B699" s="52"/>
      <c r="C699" s="52"/>
      <c r="D699" s="52"/>
      <c r="E699" s="29"/>
      <c r="F699" s="29"/>
      <c r="G699" s="53" t="s">
        <v>9</v>
      </c>
      <c r="H699" s="53"/>
      <c r="I699" s="42"/>
      <c r="J699" s="42"/>
      <c r="K699" s="42"/>
      <c r="L699" s="42"/>
      <c r="M699" s="42"/>
    </row>
    <row r="700" spans="1:15" hidden="1" x14ac:dyDescent="0.2">
      <c r="A700" s="29">
        <v>0</v>
      </c>
      <c r="B700" s="29"/>
      <c r="C700" s="29"/>
      <c r="D700" s="29"/>
      <c r="E700" s="29">
        <v>12500</v>
      </c>
      <c r="F700" s="29">
        <f>IF(AND(F684&gt;A700, F684&lt;=E700),F684,0)</f>
        <v>0</v>
      </c>
      <c r="G700" s="29">
        <f>0+(20/100)*(-A700+F700)</f>
        <v>0</v>
      </c>
      <c r="H700" s="29"/>
      <c r="I700" s="29"/>
      <c r="J700" s="29"/>
      <c r="K700" s="29"/>
      <c r="L700" s="29"/>
      <c r="M700" s="29"/>
    </row>
    <row r="701" spans="1:15" hidden="1" x14ac:dyDescent="0.2">
      <c r="A701" s="29">
        <f>E700</f>
        <v>12500</v>
      </c>
      <c r="B701" s="29"/>
      <c r="C701" s="29"/>
      <c r="D701" s="29"/>
      <c r="E701" s="29">
        <v>25000</v>
      </c>
      <c r="F701" s="29">
        <f>IF(AND(F684&gt;A701, F684&lt;=E701),F684,0)</f>
        <v>0</v>
      </c>
      <c r="G701" s="29">
        <f>(12500/100*20)+((25/100)*(-A701+F701))</f>
        <v>-625</v>
      </c>
      <c r="H701" s="29"/>
      <c r="I701" s="29"/>
      <c r="J701" s="29"/>
      <c r="K701" s="29"/>
      <c r="L701" s="29"/>
      <c r="M701" s="29"/>
    </row>
    <row r="702" spans="1:15" hidden="1" x14ac:dyDescent="0.2">
      <c r="A702" s="29">
        <f>E701</f>
        <v>25000</v>
      </c>
      <c r="B702" s="29"/>
      <c r="C702" s="29"/>
      <c r="D702" s="29"/>
      <c r="E702" s="29">
        <v>50000</v>
      </c>
      <c r="F702" s="29">
        <f>IF(AND(F684&gt;A702, F684&lt;=E702),F684,0)</f>
        <v>0</v>
      </c>
      <c r="G702" s="29">
        <f>(12500/100*20)+(12500/100*25)+((30/100)*(-A702+F702))</f>
        <v>-1875</v>
      </c>
      <c r="H702" s="29"/>
      <c r="I702" s="29"/>
      <c r="J702" s="29"/>
      <c r="K702" s="29"/>
      <c r="L702" s="29"/>
      <c r="M702" s="29"/>
    </row>
    <row r="703" spans="1:15" hidden="1" x14ac:dyDescent="0.2">
      <c r="A703" s="29">
        <f>E702</f>
        <v>50000</v>
      </c>
      <c r="B703" s="29"/>
      <c r="C703" s="29"/>
      <c r="D703" s="29"/>
      <c r="E703" s="29">
        <v>100000</v>
      </c>
      <c r="F703" s="29">
        <f>IF(AND(F684&gt;A703, F684&lt;=E703),F684,0)</f>
        <v>0</v>
      </c>
      <c r="G703" s="29">
        <f>(12500/100*20)+(12500/100*25)+(25000/100*30)+((40/100)*(-A703+F703))</f>
        <v>-6875</v>
      </c>
      <c r="H703" s="29"/>
      <c r="I703" s="29"/>
      <c r="J703" s="29"/>
      <c r="K703" s="29"/>
      <c r="L703" s="29"/>
      <c r="M703" s="29"/>
    </row>
    <row r="704" spans="1:15" hidden="1" x14ac:dyDescent="0.2">
      <c r="A704" s="29">
        <f>E703</f>
        <v>100000</v>
      </c>
      <c r="B704" s="29"/>
      <c r="C704" s="29"/>
      <c r="D704" s="29"/>
      <c r="E704" s="29">
        <v>175000</v>
      </c>
      <c r="F704" s="29">
        <f>IF(AND(F684&gt;A704, F684&lt;=E704),F684,0)</f>
        <v>0</v>
      </c>
      <c r="G704" s="29">
        <f>(12500/100*20)+(12500/100*25)+(25000/100*30)+(50000/100*40)+((55/100)*(-A704+F704))</f>
        <v>-21875.000000000007</v>
      </c>
      <c r="H704" s="29"/>
      <c r="I704" s="29"/>
      <c r="J704" s="29"/>
      <c r="K704" s="29"/>
      <c r="L704" s="29"/>
      <c r="M704" s="29"/>
    </row>
    <row r="705" spans="1:15" hidden="1" x14ac:dyDescent="0.2">
      <c r="A705" s="29">
        <v>175000</v>
      </c>
      <c r="B705" s="29"/>
      <c r="C705" s="29"/>
      <c r="D705" s="29"/>
      <c r="E705" s="29">
        <v>250000</v>
      </c>
      <c r="F705" s="29">
        <f>IF(AND(F684&gt;A705, F684&lt;=E705),F684,0)</f>
        <v>0</v>
      </c>
      <c r="G705" s="29">
        <f>(12500/100*20)+(12500/100*25)+(25000/100*30)+(50000/100*40)+(75000/100*55)+((60/100)*(-A705+F705))</f>
        <v>-30625</v>
      </c>
      <c r="H705" s="29"/>
      <c r="I705" s="29"/>
      <c r="J705" s="29"/>
      <c r="K705" s="29"/>
      <c r="L705" s="29"/>
      <c r="M705" s="29"/>
    </row>
    <row r="706" spans="1:15" hidden="1" x14ac:dyDescent="0.2">
      <c r="A706" s="29">
        <f>E705</f>
        <v>250000</v>
      </c>
      <c r="B706" s="29"/>
      <c r="C706" s="29"/>
      <c r="D706" s="29"/>
      <c r="E706" s="29">
        <v>999999999</v>
      </c>
      <c r="F706" s="29">
        <f>IF(AND(F684&gt;A706, F684&lt;=E706),F684,0)</f>
        <v>0</v>
      </c>
      <c r="G706" s="29">
        <f>(12500/100*20)+(12500/100*25)+(25000/100*30)+(50000/100*40)+(75000/100*55)+(75000/100*60)+((65/100)*(-A706+F706))</f>
        <v>-43125</v>
      </c>
      <c r="H706" s="29"/>
      <c r="I706" s="29"/>
      <c r="J706" s="29"/>
      <c r="K706" s="29"/>
      <c r="L706" s="29"/>
      <c r="M706" s="29"/>
    </row>
    <row r="707" spans="1:15" hidden="1" x14ac:dyDescent="0.2">
      <c r="A707" s="54" t="s">
        <v>7</v>
      </c>
      <c r="B707" s="54"/>
      <c r="C707" s="54"/>
      <c r="D707" s="54"/>
      <c r="E707" s="29"/>
      <c r="F707" s="29"/>
      <c r="G707" s="29">
        <f>VLOOKUP(F684,F700:G706,2,FALSE)</f>
        <v>0</v>
      </c>
      <c r="H707" s="29"/>
      <c r="I707" s="29"/>
      <c r="J707" s="29"/>
      <c r="K707" s="29"/>
      <c r="L707" s="29"/>
      <c r="M707" s="29"/>
    </row>
    <row r="708" spans="1:15" hidden="1" x14ac:dyDescent="0.2"/>
    <row r="709" spans="1:15" hidden="1" x14ac:dyDescent="0.2">
      <c r="E709" s="29"/>
      <c r="F709" s="29"/>
      <c r="G709" s="29"/>
      <c r="H709" s="32"/>
      <c r="I709" s="29"/>
      <c r="J709" s="33"/>
      <c r="M709" s="33"/>
      <c r="O709" s="33"/>
    </row>
    <row r="710" spans="1:15" hidden="1" x14ac:dyDescent="0.2">
      <c r="E710" s="29"/>
      <c r="F710" s="29"/>
      <c r="G710" s="29"/>
      <c r="H710" s="32"/>
      <c r="I710" s="29"/>
      <c r="J710" s="33"/>
      <c r="M710" s="33"/>
      <c r="O710" s="33"/>
    </row>
    <row r="711" spans="1:15" hidden="1" x14ac:dyDescent="0.2">
      <c r="E711" s="29"/>
      <c r="F711" s="29"/>
      <c r="G711" s="29"/>
      <c r="H711" s="32"/>
      <c r="I711" s="29"/>
      <c r="J711" s="33"/>
      <c r="M711" s="33"/>
      <c r="O711" s="33"/>
    </row>
    <row r="712" spans="1:15" hidden="1" x14ac:dyDescent="0.2">
      <c r="A712" s="52" t="s">
        <v>26</v>
      </c>
      <c r="B712" s="52"/>
      <c r="C712" s="52"/>
      <c r="D712" s="52"/>
      <c r="E712" s="29"/>
      <c r="F712" s="29"/>
      <c r="G712" s="53" t="s">
        <v>10</v>
      </c>
      <c r="H712" s="32"/>
      <c r="I712" s="52" t="s">
        <v>27</v>
      </c>
      <c r="J712" s="29"/>
      <c r="K712" s="29"/>
      <c r="L712" s="29"/>
      <c r="M712" s="53" t="s">
        <v>11</v>
      </c>
      <c r="O712" s="33"/>
    </row>
    <row r="713" spans="1:15" hidden="1" x14ac:dyDescent="0.2">
      <c r="A713" s="29">
        <v>0</v>
      </c>
      <c r="B713" s="29"/>
      <c r="C713" s="29"/>
      <c r="D713" s="29"/>
      <c r="E713" s="29">
        <v>50000</v>
      </c>
      <c r="F713" s="29">
        <f>IF(AND(F684&gt;A713, F684&lt;=E713),F684,0)</f>
        <v>0</v>
      </c>
      <c r="G713" s="29">
        <f>0+(35/100)*(-A713+F713)</f>
        <v>0</v>
      </c>
      <c r="H713" s="32"/>
      <c r="I713" s="29">
        <v>0</v>
      </c>
      <c r="J713" s="29">
        <v>50000</v>
      </c>
      <c r="K713" s="29">
        <f>IF(AND(F684&gt;I713, F684&lt;=J713),F684,0)</f>
        <v>0</v>
      </c>
      <c r="L713" s="29"/>
      <c r="M713" s="29">
        <f>0+(40/100)*(-I713+K713)</f>
        <v>0</v>
      </c>
      <c r="O713" s="33"/>
    </row>
    <row r="714" spans="1:15" hidden="1" x14ac:dyDescent="0.2">
      <c r="A714" s="29">
        <f>E713</f>
        <v>50000</v>
      </c>
      <c r="B714" s="29"/>
      <c r="C714" s="29"/>
      <c r="D714" s="29"/>
      <c r="E714" s="29">
        <v>100000</v>
      </c>
      <c r="F714" s="29">
        <f>IF(AND(F684&gt;A714, F684&lt;=E714),F684,0)</f>
        <v>0</v>
      </c>
      <c r="G714" s="29">
        <f>(50000/100*35)+((50/100)*(-A714+F714))</f>
        <v>-7500</v>
      </c>
      <c r="H714" s="32"/>
      <c r="I714" s="29">
        <f>J713</f>
        <v>50000</v>
      </c>
      <c r="J714" s="29">
        <v>75000</v>
      </c>
      <c r="K714" s="29">
        <f>IF(AND(F684&gt;I714, F684&lt;=J714),F684,0)</f>
        <v>0</v>
      </c>
      <c r="L714" s="29"/>
      <c r="M714" s="29">
        <f>(50000/100*40)+((55/100)*(-I714+K714))</f>
        <v>-7500.0000000000036</v>
      </c>
      <c r="O714" s="33"/>
    </row>
    <row r="715" spans="1:15" hidden="1" x14ac:dyDescent="0.2">
      <c r="A715" s="29">
        <f>E714</f>
        <v>100000</v>
      </c>
      <c r="B715" s="29"/>
      <c r="C715" s="29"/>
      <c r="D715" s="29"/>
      <c r="E715" s="29">
        <v>175000</v>
      </c>
      <c r="F715" s="29">
        <f>IF(AND(F684&gt;A715, F684&lt;=E715),F684,0)</f>
        <v>0</v>
      </c>
      <c r="G715" s="29">
        <f>(50000/100*35)+(50000/100*50)+((60/100)*(-A715+F715))</f>
        <v>-17500</v>
      </c>
      <c r="H715" s="32"/>
      <c r="I715" s="29">
        <f>J714</f>
        <v>75000</v>
      </c>
      <c r="J715" s="29">
        <v>175000</v>
      </c>
      <c r="K715" s="29">
        <f>IF(AND(F684&gt;I715, F684&lt;=J715),F684,0)</f>
        <v>0</v>
      </c>
      <c r="L715" s="29"/>
      <c r="M715" s="29">
        <f>(50000/100*40)+(25000/100*55)+((65/100)*(-I715+K715))</f>
        <v>-15000</v>
      </c>
      <c r="O715" s="33"/>
    </row>
    <row r="716" spans="1:15" hidden="1" x14ac:dyDescent="0.2">
      <c r="A716" s="29">
        <f>E715</f>
        <v>175000</v>
      </c>
      <c r="B716" s="29"/>
      <c r="C716" s="29"/>
      <c r="D716" s="29"/>
      <c r="E716" s="29">
        <v>999999999</v>
      </c>
      <c r="F716" s="29">
        <f>IF(AND(F684&gt;A716, F684&lt;=E716),F684,0)</f>
        <v>0</v>
      </c>
      <c r="G716" s="29">
        <f>(50000/100*35)+(50000/100*50)+(75000/100*60)+((70/100)*(-A716+F716))</f>
        <v>-34999.999999999985</v>
      </c>
      <c r="H716" s="32"/>
      <c r="I716" s="29">
        <f>J715</f>
        <v>175000</v>
      </c>
      <c r="J716" s="29">
        <v>999999999</v>
      </c>
      <c r="K716" s="29">
        <f>IF(AND(F684&gt;I716, F684&lt;=J716),F684,0)</f>
        <v>0</v>
      </c>
      <c r="L716" s="29"/>
      <c r="M716" s="29">
        <f>(50000/100*40)+(25000/100*55)+(100000/100*65)+((80/100)*(-I716+K716))</f>
        <v>-41250</v>
      </c>
      <c r="O716" s="33"/>
    </row>
    <row r="717" spans="1:15" hidden="1" x14ac:dyDescent="0.2">
      <c r="A717" s="29"/>
      <c r="B717" s="29"/>
      <c r="C717" s="29"/>
      <c r="D717" s="29"/>
      <c r="E717" s="29"/>
      <c r="F717" s="29"/>
      <c r="G717" s="29"/>
      <c r="H717" s="32"/>
      <c r="I717" s="29"/>
      <c r="J717" s="29"/>
      <c r="K717" s="29"/>
      <c r="L717" s="29"/>
      <c r="M717" s="29"/>
      <c r="O717" s="33"/>
    </row>
    <row r="718" spans="1:15" hidden="1" x14ac:dyDescent="0.2">
      <c r="A718" s="29"/>
      <c r="B718" s="29"/>
      <c r="C718" s="29"/>
      <c r="D718" s="29"/>
      <c r="E718" s="29"/>
      <c r="F718" s="29"/>
      <c r="G718" s="29"/>
      <c r="H718" s="32"/>
      <c r="I718" s="29"/>
      <c r="J718" s="29"/>
      <c r="K718" s="29"/>
      <c r="L718" s="29"/>
      <c r="M718" s="29"/>
      <c r="O718" s="33"/>
    </row>
    <row r="719" spans="1:15" hidden="1" x14ac:dyDescent="0.2">
      <c r="A719" s="29"/>
      <c r="B719" s="29"/>
      <c r="C719" s="29"/>
      <c r="D719" s="29"/>
      <c r="E719" s="29"/>
      <c r="F719" s="29"/>
      <c r="G719" s="29"/>
      <c r="H719" s="32"/>
      <c r="I719" s="29"/>
      <c r="J719" s="29"/>
      <c r="K719" s="29"/>
      <c r="L719" s="29"/>
      <c r="M719" s="29"/>
      <c r="O719" s="33"/>
    </row>
    <row r="720" spans="1:15" hidden="1" x14ac:dyDescent="0.2">
      <c r="A720" s="54" t="s">
        <v>7</v>
      </c>
      <c r="B720" s="54"/>
      <c r="C720" s="54"/>
      <c r="D720" s="54"/>
      <c r="E720" s="29"/>
      <c r="F720" s="29"/>
      <c r="G720" s="29">
        <f>VLOOKUP(F684,F713:G716,2,FALSE)</f>
        <v>0</v>
      </c>
      <c r="H720" s="32"/>
      <c r="I720" s="54" t="s">
        <v>7</v>
      </c>
      <c r="J720" s="29"/>
      <c r="K720" s="29"/>
      <c r="L720" s="29"/>
      <c r="M720" s="29">
        <f>VLOOKUP(F684,K713:M716,3,FALSE)</f>
        <v>0</v>
      </c>
      <c r="O720" s="33"/>
    </row>
    <row r="721" spans="5:15" hidden="1" x14ac:dyDescent="0.2">
      <c r="H721" s="32"/>
      <c r="O721" s="33"/>
    </row>
    <row r="722" spans="5:15" hidden="1" x14ac:dyDescent="0.2">
      <c r="E722" s="29"/>
      <c r="F722" s="29"/>
      <c r="G722" s="29"/>
      <c r="H722" s="32"/>
      <c r="J722" s="29"/>
      <c r="K722" s="29"/>
      <c r="L722" s="29"/>
      <c r="M722" s="29"/>
      <c r="O722" s="33"/>
    </row>
    <row r="723" spans="5:15" hidden="1" x14ac:dyDescent="0.2">
      <c r="E723" s="29"/>
      <c r="G723" s="29"/>
    </row>
    <row r="724" spans="5:15" hidden="1" x14ac:dyDescent="0.2"/>
    <row r="725" spans="5:15" hidden="1" x14ac:dyDescent="0.2">
      <c r="E725" s="9" t="s">
        <v>84</v>
      </c>
      <c r="F725" s="9" t="s">
        <v>91</v>
      </c>
    </row>
    <row r="726" spans="5:15" hidden="1" x14ac:dyDescent="0.2"/>
    <row r="727" spans="5:15" hidden="1" x14ac:dyDescent="0.2">
      <c r="E727" s="9" t="s">
        <v>84</v>
      </c>
      <c r="F727" s="9">
        <f>IF(J45=3,M692*12%,0)</f>
        <v>0</v>
      </c>
      <c r="G727" s="9">
        <f>IF(F727&gt;372,372,F727)</f>
        <v>0</v>
      </c>
      <c r="I727" s="9" t="s">
        <v>30</v>
      </c>
      <c r="J727" s="9">
        <f>M692*6%</f>
        <v>0</v>
      </c>
      <c r="K727" s="9">
        <f>IF(J727&gt;186,186,J727)</f>
        <v>0</v>
      </c>
      <c r="L727" s="9">
        <f>IF(J45=3,K727,0)</f>
        <v>0</v>
      </c>
    </row>
    <row r="728" spans="5:15" hidden="1" x14ac:dyDescent="0.2">
      <c r="F728" s="9">
        <f>IF(J45=4,M692*16%,0)</f>
        <v>0</v>
      </c>
      <c r="G728" s="9">
        <f>IF(F728&gt;496,496,F728)</f>
        <v>0</v>
      </c>
      <c r="I728" s="9" t="s">
        <v>31</v>
      </c>
      <c r="J728" s="9">
        <f>M692*8%</f>
        <v>0</v>
      </c>
      <c r="K728" s="9">
        <f>IF(J728&gt;248,248,J728)</f>
        <v>0</v>
      </c>
      <c r="L728" s="9">
        <f>IF(J45=4,K728,0)</f>
        <v>0</v>
      </c>
    </row>
    <row r="729" spans="5:15" hidden="1" x14ac:dyDescent="0.2">
      <c r="F729" s="9">
        <f>IF(J45=5,M692*20%,0)</f>
        <v>0</v>
      </c>
      <c r="G729" s="9">
        <f>IF(F729&gt;620,620,F729)</f>
        <v>0</v>
      </c>
      <c r="J729" s="9">
        <f>M692*10%</f>
        <v>0</v>
      </c>
      <c r="K729" s="9">
        <f>IF(J729&gt;310,310,J729)</f>
        <v>0</v>
      </c>
      <c r="L729" s="9">
        <f>IF(J45=5,K729,0)</f>
        <v>0</v>
      </c>
    </row>
    <row r="730" spans="5:15" hidden="1" x14ac:dyDescent="0.2">
      <c r="F730" s="9">
        <f>IF(J45=6,M692*24%,0)</f>
        <v>0</v>
      </c>
      <c r="G730" s="9">
        <f>IF(F730&gt;744,744,F730)</f>
        <v>0</v>
      </c>
      <c r="J730" s="9">
        <f>M692*12%</f>
        <v>0</v>
      </c>
      <c r="K730" s="9">
        <f>IF(J730&gt;372,372,J730)</f>
        <v>0</v>
      </c>
      <c r="L730" s="9">
        <f>IF(J45=6,K730,0)</f>
        <v>0</v>
      </c>
    </row>
    <row r="731" spans="5:15" hidden="1" x14ac:dyDescent="0.2">
      <c r="F731" s="9">
        <f>IF(J45=7,M692*28%,0)</f>
        <v>0</v>
      </c>
      <c r="G731" s="9">
        <f>IF(F731&gt;868,868,F731)</f>
        <v>0</v>
      </c>
      <c r="J731" s="9">
        <f>M692*14%</f>
        <v>0</v>
      </c>
      <c r="K731" s="9">
        <f>IF(J731&gt;434,434,J731)</f>
        <v>0</v>
      </c>
      <c r="L731" s="9">
        <f>IF(J45=7,K731,0)</f>
        <v>0</v>
      </c>
    </row>
    <row r="732" spans="5:15" hidden="1" x14ac:dyDescent="0.2">
      <c r="F732" s="9">
        <f>IF(J45=8,M692*32%,0)</f>
        <v>0</v>
      </c>
      <c r="G732" s="9">
        <f>IF(F732&gt;992,992,F732)</f>
        <v>0</v>
      </c>
      <c r="J732" s="9">
        <f>M692*16%</f>
        <v>0</v>
      </c>
      <c r="K732" s="9">
        <f>IF(J732&gt;496,496,J732)</f>
        <v>0</v>
      </c>
      <c r="L732" s="9">
        <f>IF(J45=8,K732,0)</f>
        <v>0</v>
      </c>
    </row>
    <row r="733" spans="5:15" hidden="1" x14ac:dyDescent="0.2">
      <c r="F733" s="9">
        <f>IF(J45=9,M692*36%,0)</f>
        <v>0</v>
      </c>
      <c r="G733" s="9">
        <f>IF(F733&gt;1116,1116,F733)</f>
        <v>0</v>
      </c>
      <c r="J733" s="9">
        <f>M692*18%</f>
        <v>0</v>
      </c>
      <c r="K733" s="9">
        <f>IF(J733&gt;558,558,J733)</f>
        <v>0</v>
      </c>
      <c r="L733" s="9">
        <f>IF(J45=9,K733,0)</f>
        <v>0</v>
      </c>
    </row>
    <row r="734" spans="5:15" hidden="1" x14ac:dyDescent="0.2">
      <c r="F734" s="9">
        <f>IF(J45=10,M692*40%,0)</f>
        <v>0</v>
      </c>
      <c r="G734" s="9">
        <f>IF(F734&gt;1240,1240,F734)</f>
        <v>0</v>
      </c>
      <c r="J734" s="9">
        <f>M692*20%</f>
        <v>0</v>
      </c>
      <c r="K734" s="9">
        <f>IF(J734&gt;620,620,J734)</f>
        <v>0</v>
      </c>
      <c r="L734" s="9">
        <f>IF(J45=10,K734,0)</f>
        <v>0</v>
      </c>
    </row>
    <row r="735" spans="5:15" hidden="1" x14ac:dyDescent="0.2"/>
    <row r="736" spans="5:15" hidden="1" x14ac:dyDescent="0.2">
      <c r="G736" s="9">
        <f>SUM(G727:G735)</f>
        <v>0</v>
      </c>
      <c r="L736" s="9">
        <f>SUM(L727:L735)</f>
        <v>0</v>
      </c>
    </row>
    <row r="737" spans="5:9" hidden="1" x14ac:dyDescent="0.2">
      <c r="G737" s="22"/>
    </row>
    <row r="738" spans="5:9" hidden="1" x14ac:dyDescent="0.2">
      <c r="G738" s="22"/>
    </row>
    <row r="739" spans="5:9" hidden="1" x14ac:dyDescent="0.2">
      <c r="G739" s="22"/>
    </row>
    <row r="740" spans="5:9" hidden="1" x14ac:dyDescent="0.2">
      <c r="E740" s="9" t="s">
        <v>32</v>
      </c>
      <c r="F740" s="23">
        <f>M692-G736</f>
        <v>0</v>
      </c>
      <c r="G740" s="22"/>
      <c r="H740" s="9" t="s">
        <v>33</v>
      </c>
      <c r="I740" s="56">
        <f>M692-L736</f>
        <v>0</v>
      </c>
    </row>
    <row r="741" spans="5:9" hidden="1" x14ac:dyDescent="0.2">
      <c r="E741" s="29"/>
      <c r="G741" s="29"/>
    </row>
    <row r="742" spans="5:9" hidden="1" x14ac:dyDescent="0.2">
      <c r="E742" s="29"/>
      <c r="G742" s="29"/>
    </row>
    <row r="743" spans="5:9" hidden="1" x14ac:dyDescent="0.2">
      <c r="E743" s="29"/>
      <c r="G743" s="29"/>
    </row>
    <row r="744" spans="5:9" hidden="1" x14ac:dyDescent="0.2">
      <c r="E744" s="29"/>
      <c r="G744" s="29"/>
    </row>
    <row r="745" spans="5:9" hidden="1" x14ac:dyDescent="0.2">
      <c r="E745" s="29"/>
      <c r="G745" s="29"/>
    </row>
    <row r="746" spans="5:9" hidden="1" x14ac:dyDescent="0.2">
      <c r="E746" s="29"/>
      <c r="G746" s="29"/>
    </row>
    <row r="747" spans="5:9" hidden="1" x14ac:dyDescent="0.2">
      <c r="E747" s="29"/>
      <c r="G747" s="29"/>
    </row>
    <row r="748" spans="5:9" hidden="1" x14ac:dyDescent="0.2">
      <c r="E748" s="29"/>
      <c r="G748" s="29"/>
    </row>
    <row r="749" spans="5:9" hidden="1" x14ac:dyDescent="0.2">
      <c r="E749" s="29"/>
      <c r="G749" s="29"/>
    </row>
    <row r="750" spans="5:9" hidden="1" x14ac:dyDescent="0.2">
      <c r="E750" s="29"/>
      <c r="G750" s="29"/>
    </row>
    <row r="751" spans="5:9" hidden="1" x14ac:dyDescent="0.2">
      <c r="E751" s="29"/>
      <c r="G751" s="29"/>
    </row>
    <row r="752" spans="5:9" hidden="1" x14ac:dyDescent="0.2">
      <c r="E752" s="29"/>
      <c r="G752" s="29"/>
    </row>
    <row r="753" spans="5:7" hidden="1" x14ac:dyDescent="0.2">
      <c r="E753" s="29"/>
      <c r="G753" s="29"/>
    </row>
    <row r="754" spans="5:7" hidden="1" x14ac:dyDescent="0.2">
      <c r="E754" s="29"/>
      <c r="G754" s="29"/>
    </row>
    <row r="755" spans="5:7" hidden="1" x14ac:dyDescent="0.2">
      <c r="E755" s="29"/>
      <c r="G755" s="29"/>
    </row>
    <row r="756" spans="5:7" hidden="1" x14ac:dyDescent="0.2">
      <c r="E756" s="29"/>
      <c r="G756" s="29"/>
    </row>
    <row r="757" spans="5:7" hidden="1" x14ac:dyDescent="0.2">
      <c r="E757" s="29"/>
      <c r="G757" s="29"/>
    </row>
    <row r="758" spans="5:7" hidden="1" x14ac:dyDescent="0.2">
      <c r="E758" s="29"/>
      <c r="G758" s="29"/>
    </row>
    <row r="759" spans="5:7" hidden="1" x14ac:dyDescent="0.2">
      <c r="E759" s="29"/>
      <c r="G759" s="29"/>
    </row>
    <row r="760" spans="5:7" hidden="1" x14ac:dyDescent="0.2">
      <c r="E760" s="29"/>
      <c r="G760" s="29"/>
    </row>
    <row r="761" spans="5:7" hidden="1" x14ac:dyDescent="0.2">
      <c r="E761" s="29"/>
      <c r="G761" s="29"/>
    </row>
    <row r="762" spans="5:7" hidden="1" x14ac:dyDescent="0.2">
      <c r="E762" s="29"/>
      <c r="G762" s="29"/>
    </row>
    <row r="763" spans="5:7" hidden="1" x14ac:dyDescent="0.2">
      <c r="E763" s="29"/>
      <c r="G763" s="29"/>
    </row>
    <row r="764" spans="5:7" hidden="1" x14ac:dyDescent="0.2">
      <c r="E764" s="29"/>
      <c r="G764" s="29"/>
    </row>
    <row r="765" spans="5:7" hidden="1" x14ac:dyDescent="0.2">
      <c r="E765" s="29"/>
      <c r="G765" s="29"/>
    </row>
    <row r="766" spans="5:7" hidden="1" x14ac:dyDescent="0.2">
      <c r="E766" s="29"/>
      <c r="G766" s="29"/>
    </row>
    <row r="767" spans="5:7" hidden="1" x14ac:dyDescent="0.2">
      <c r="E767" s="29"/>
      <c r="G767" s="29"/>
    </row>
    <row r="768" spans="5:7" hidden="1" x14ac:dyDescent="0.2">
      <c r="E768" s="29"/>
      <c r="G768" s="29"/>
    </row>
    <row r="769" spans="5:7" hidden="1" x14ac:dyDescent="0.2">
      <c r="E769" s="29"/>
      <c r="G769" s="29"/>
    </row>
    <row r="770" spans="5:7" hidden="1" x14ac:dyDescent="0.2">
      <c r="E770" s="29"/>
      <c r="G770" s="29"/>
    </row>
    <row r="771" spans="5:7" hidden="1" x14ac:dyDescent="0.2">
      <c r="E771" s="29"/>
      <c r="G771" s="29"/>
    </row>
    <row r="772" spans="5:7" hidden="1" x14ac:dyDescent="0.2">
      <c r="E772" s="29"/>
      <c r="G772" s="29"/>
    </row>
    <row r="773" spans="5:7" hidden="1" x14ac:dyDescent="0.2">
      <c r="E773" s="29"/>
      <c r="G773" s="29"/>
    </row>
    <row r="774" spans="5:7" hidden="1" x14ac:dyDescent="0.2">
      <c r="E774" s="29"/>
      <c r="G774" s="29"/>
    </row>
    <row r="775" spans="5:7" hidden="1" x14ac:dyDescent="0.2">
      <c r="E775" s="29"/>
      <c r="G775" s="29"/>
    </row>
    <row r="776" spans="5:7" hidden="1" x14ac:dyDescent="0.2">
      <c r="E776" s="29"/>
      <c r="G776" s="29"/>
    </row>
    <row r="777" spans="5:7" hidden="1" x14ac:dyDescent="0.2">
      <c r="E777" s="29"/>
      <c r="G777" s="29"/>
    </row>
    <row r="778" spans="5:7" hidden="1" x14ac:dyDescent="0.2">
      <c r="E778" s="29"/>
      <c r="G778" s="29"/>
    </row>
    <row r="779" spans="5:7" hidden="1" x14ac:dyDescent="0.2">
      <c r="E779" s="29"/>
      <c r="G779" s="29"/>
    </row>
    <row r="780" spans="5:7" hidden="1" x14ac:dyDescent="0.2">
      <c r="E780" s="29"/>
      <c r="G780" s="29"/>
    </row>
    <row r="781" spans="5:7" hidden="1" x14ac:dyDescent="0.2">
      <c r="E781" s="29"/>
      <c r="G781" s="29"/>
    </row>
    <row r="782" spans="5:7" hidden="1" x14ac:dyDescent="0.2">
      <c r="E782" s="29"/>
      <c r="G782" s="29"/>
    </row>
    <row r="783" spans="5:7" hidden="1" x14ac:dyDescent="0.2">
      <c r="E783" s="29"/>
      <c r="G783" s="29"/>
    </row>
    <row r="784" spans="5:7" hidden="1" x14ac:dyDescent="0.2">
      <c r="E784" s="29"/>
      <c r="G784" s="29"/>
    </row>
    <row r="785" spans="1:15" ht="13.5" hidden="1" thickBot="1" x14ac:dyDescent="0.25">
      <c r="E785" s="29"/>
      <c r="G785" s="29"/>
    </row>
    <row r="786" spans="1:15" ht="13.5" hidden="1" thickTop="1" x14ac:dyDescent="0.2">
      <c r="A786" s="42"/>
      <c r="B786" s="42"/>
      <c r="C786" s="42"/>
      <c r="D786" s="42"/>
      <c r="E786" s="43"/>
      <c r="F786" s="44"/>
      <c r="G786" s="43"/>
      <c r="H786" s="43"/>
      <c r="I786" s="45"/>
      <c r="J786" s="46"/>
      <c r="K786" s="45"/>
      <c r="L786" s="45"/>
      <c r="M786" s="45"/>
      <c r="N786" s="47"/>
      <c r="O786" s="48"/>
    </row>
    <row r="787" spans="1:15" hidden="1" x14ac:dyDescent="0.2">
      <c r="A787" s="29" t="s">
        <v>4</v>
      </c>
      <c r="B787" s="29"/>
      <c r="C787" s="29"/>
      <c r="D787" s="29"/>
      <c r="E787" s="29"/>
      <c r="F787" s="29">
        <f>G50</f>
        <v>0</v>
      </c>
      <c r="G787" s="49"/>
      <c r="H787" s="29"/>
      <c r="I787" s="29"/>
      <c r="J787" s="50"/>
      <c r="K787" s="29"/>
      <c r="L787" s="29"/>
      <c r="M787" s="29">
        <f>IF(AND(I50="oui",F50="ligne directe"),H799,0)</f>
        <v>0</v>
      </c>
      <c r="O787" s="51"/>
    </row>
    <row r="788" spans="1:15" hidden="1" x14ac:dyDescent="0.2">
      <c r="A788" s="29"/>
      <c r="B788" s="29"/>
      <c r="C788" s="29"/>
      <c r="D788" s="29"/>
      <c r="E788" s="29"/>
      <c r="F788" s="29"/>
      <c r="G788" s="29"/>
      <c r="H788" s="29"/>
      <c r="I788" s="29"/>
      <c r="J788" s="50"/>
      <c r="K788" s="29"/>
      <c r="L788" s="29"/>
      <c r="M788" s="29">
        <f>IF(AND(I50="oui",F50="épou(x)(se)"),H799,0)</f>
        <v>0</v>
      </c>
      <c r="O788" s="51"/>
    </row>
    <row r="789" spans="1:15" hidden="1" x14ac:dyDescent="0.2">
      <c r="A789" s="52" t="s">
        <v>5</v>
      </c>
      <c r="B789" s="52"/>
      <c r="C789" s="52"/>
      <c r="D789" s="52"/>
      <c r="E789" s="29"/>
      <c r="F789" s="29"/>
      <c r="G789" s="53" t="s">
        <v>6</v>
      </c>
      <c r="H789" s="53" t="s">
        <v>25</v>
      </c>
      <c r="I789" s="29"/>
      <c r="J789" s="50"/>
      <c r="K789" s="29"/>
      <c r="L789" s="29"/>
      <c r="M789" s="29">
        <f>IF(AND(I50="non",F50="ligne directe"),G799,0)</f>
        <v>0</v>
      </c>
      <c r="O789" s="51"/>
    </row>
    <row r="790" spans="1:15" hidden="1" x14ac:dyDescent="0.2">
      <c r="A790" s="29">
        <v>0</v>
      </c>
      <c r="B790" s="29"/>
      <c r="C790" s="29"/>
      <c r="D790" s="29"/>
      <c r="E790" s="29">
        <v>50000</v>
      </c>
      <c r="F790" s="29">
        <f>IF(AND(F787&gt;A790, F787&lt;=E790),F787,0)</f>
        <v>0</v>
      </c>
      <c r="G790" s="29">
        <f>0+(3/100)*(-A790+F790)</f>
        <v>0</v>
      </c>
      <c r="H790" s="29">
        <f>0+(2/100)*(-A790+F790)</f>
        <v>0</v>
      </c>
      <c r="I790" s="29"/>
      <c r="J790" s="50"/>
      <c r="K790" s="29"/>
      <c r="L790" s="29"/>
      <c r="M790" s="29">
        <f>IF(AND(I50="non",F50="épou(x)(se)"),G799,0)</f>
        <v>0</v>
      </c>
      <c r="O790" s="51"/>
    </row>
    <row r="791" spans="1:15" hidden="1" x14ac:dyDescent="0.2">
      <c r="A791" s="29">
        <f>E790</f>
        <v>50000</v>
      </c>
      <c r="B791" s="29"/>
      <c r="C791" s="29"/>
      <c r="D791" s="29"/>
      <c r="E791" s="29">
        <v>100000</v>
      </c>
      <c r="F791" s="29">
        <f>IF(AND(F787&gt;A791, F787&lt;=E791),F787,0)</f>
        <v>0</v>
      </c>
      <c r="G791" s="29">
        <f>(50000/100*3)+(8/100)*(-A791+F791)</f>
        <v>-2500</v>
      </c>
      <c r="H791" s="29">
        <f>(50000/100*2)+(5.3/100)*(-A791+F791)</f>
        <v>-1650</v>
      </c>
      <c r="I791" s="29"/>
      <c r="J791" s="50"/>
      <c r="K791" s="29"/>
      <c r="L791" s="29"/>
      <c r="M791" s="29">
        <f>IF(F50="frère/soeur",G810,0)</f>
        <v>0</v>
      </c>
      <c r="O791" s="51"/>
    </row>
    <row r="792" spans="1:15" hidden="1" x14ac:dyDescent="0.2">
      <c r="A792" s="29">
        <f>E791</f>
        <v>100000</v>
      </c>
      <c r="B792" s="29"/>
      <c r="C792" s="29"/>
      <c r="D792" s="29"/>
      <c r="E792" s="29">
        <v>175000</v>
      </c>
      <c r="F792" s="29">
        <f>IF(AND(F787&gt;A792, F787&lt;=E792),F787,0)</f>
        <v>0</v>
      </c>
      <c r="G792" s="29">
        <f>(50000/100*3)+(50000/100*8)+((9/100)*(-A792+F792))</f>
        <v>-3500</v>
      </c>
      <c r="H792" s="29">
        <f>(50000/100*2)+(50000/100*5.3)+((6/100)*(-A792+F792))</f>
        <v>-2350</v>
      </c>
      <c r="I792" s="29"/>
      <c r="J792" s="50"/>
      <c r="K792" s="29"/>
      <c r="L792" s="29"/>
      <c r="M792" s="29">
        <f>IF(F50="oncle-tante/neveu-nièce",G823,0)</f>
        <v>0</v>
      </c>
      <c r="O792" s="51"/>
    </row>
    <row r="793" spans="1:15" hidden="1" x14ac:dyDescent="0.2">
      <c r="A793" s="29">
        <f>E792</f>
        <v>175000</v>
      </c>
      <c r="B793" s="29"/>
      <c r="C793" s="29"/>
      <c r="D793" s="29"/>
      <c r="E793" s="29">
        <v>250000</v>
      </c>
      <c r="F793" s="29">
        <f>IF(AND(F787&gt;A793, F787&lt;=E793),F787,0)</f>
        <v>0</v>
      </c>
      <c r="G793" s="29">
        <f>(50000/100*3)+(50000/100*8)+(75000/100*9)+((18/100)*(-A793+F793))</f>
        <v>-19250</v>
      </c>
      <c r="H793" s="29">
        <f>(50000/100*2)+(50000/100*5.3)+(75000/100*6)+((12/100)*(-A793+F793))</f>
        <v>-12850</v>
      </c>
      <c r="I793" s="29"/>
      <c r="J793" s="50"/>
      <c r="K793" s="29"/>
      <c r="L793" s="29"/>
      <c r="M793" s="29">
        <f>IF(F50="étrangers",M823,0)</f>
        <v>0</v>
      </c>
      <c r="O793" s="51"/>
    </row>
    <row r="794" spans="1:15" hidden="1" x14ac:dyDescent="0.2">
      <c r="A794" s="29">
        <f>E793</f>
        <v>250000</v>
      </c>
      <c r="B794" s="29"/>
      <c r="C794" s="29"/>
      <c r="D794" s="29"/>
      <c r="E794" s="29">
        <v>500000</v>
      </c>
      <c r="F794" s="29">
        <f>IF(AND(F787&gt;A794, F787&lt;=E794),F787,0)</f>
        <v>0</v>
      </c>
      <c r="G794" s="29">
        <f>(50000/100*3)+(50000/100*8)+(75000/100*9)+(75000/100*18)+((24/100)*(-A794+F794))</f>
        <v>-34250</v>
      </c>
      <c r="H794" s="29">
        <f>(50000/100*2)+(50000/100*5.3)+(75000/100*6)+(75000/100*12)+((24/100)*(-A794+F794))</f>
        <v>-42850</v>
      </c>
      <c r="I794" s="29"/>
      <c r="J794" s="29"/>
      <c r="K794" s="29"/>
      <c r="L794" s="29"/>
      <c r="M794" s="29"/>
      <c r="O794" s="51"/>
    </row>
    <row r="795" spans="1:15" hidden="1" x14ac:dyDescent="0.2">
      <c r="A795" s="29">
        <f>E794</f>
        <v>500000</v>
      </c>
      <c r="B795" s="29"/>
      <c r="C795" s="29"/>
      <c r="D795" s="29"/>
      <c r="E795" s="29">
        <v>999999999</v>
      </c>
      <c r="F795" s="29">
        <f>IF(AND(F787&gt;A795, F787&lt;=E795),F787,0)</f>
        <v>0</v>
      </c>
      <c r="G795" s="29">
        <f>(50000/100*3)+(50000/100*8)+(75000/100*9)+(75000/100*18)+(250000/100*24)+((30/100)*(-A795+F795))</f>
        <v>-64250</v>
      </c>
      <c r="H795" s="29">
        <f>(50000/100*2)+(50000/100*5.3)+(75000/100*6)+(75000/100*12)+(250000/100*24)+((30/100)*(-A795+F795))</f>
        <v>-72850</v>
      </c>
      <c r="I795" s="29"/>
      <c r="J795" s="29"/>
      <c r="K795" s="29"/>
      <c r="L795" s="29"/>
      <c r="M795" s="29">
        <f>SUM(M787:M794)</f>
        <v>0</v>
      </c>
      <c r="O795" s="51"/>
    </row>
    <row r="796" spans="1:15" hidden="1" x14ac:dyDescent="0.2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O796" s="51"/>
    </row>
    <row r="797" spans="1:15" hidden="1" x14ac:dyDescent="0.2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O797" s="51"/>
    </row>
    <row r="798" spans="1:15" hidden="1" x14ac:dyDescent="0.2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O798" s="51"/>
    </row>
    <row r="799" spans="1:15" hidden="1" x14ac:dyDescent="0.2">
      <c r="A799" s="54" t="s">
        <v>7</v>
      </c>
      <c r="B799" s="54"/>
      <c r="C799" s="54"/>
      <c r="D799" s="54"/>
      <c r="E799" s="29"/>
      <c r="F799" s="29"/>
      <c r="G799" s="29">
        <f>VLOOKUP(F787,F790:G795,2,FALSE)</f>
        <v>0</v>
      </c>
      <c r="H799" s="29">
        <f>VLOOKUP(F787,F790:H795,3,FALSE)</f>
        <v>0</v>
      </c>
      <c r="I799" s="29"/>
      <c r="J799" s="29"/>
      <c r="K799" s="29"/>
      <c r="L799" s="29"/>
      <c r="M799" s="29"/>
      <c r="O799" s="51"/>
    </row>
    <row r="800" spans="1:15" hidden="1" x14ac:dyDescent="0.2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O800" s="51"/>
    </row>
    <row r="801" spans="1:15" hidden="1" x14ac:dyDescent="0.2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O801" s="51"/>
    </row>
    <row r="802" spans="1:15" hidden="1" x14ac:dyDescent="0.2">
      <c r="A802" s="52" t="s">
        <v>8</v>
      </c>
      <c r="B802" s="52"/>
      <c r="C802" s="52"/>
      <c r="D802" s="52"/>
      <c r="E802" s="29"/>
      <c r="F802" s="29"/>
      <c r="G802" s="53" t="s">
        <v>9</v>
      </c>
      <c r="H802" s="53"/>
      <c r="I802" s="42"/>
      <c r="J802" s="42"/>
      <c r="K802" s="42"/>
      <c r="L802" s="42"/>
      <c r="M802" s="42"/>
    </row>
    <row r="803" spans="1:15" hidden="1" x14ac:dyDescent="0.2">
      <c r="A803" s="29">
        <v>0</v>
      </c>
      <c r="B803" s="29"/>
      <c r="C803" s="29"/>
      <c r="D803" s="29"/>
      <c r="E803" s="29">
        <v>12500</v>
      </c>
      <c r="F803" s="29">
        <f>IF(AND(F787&gt;A803, F787&lt;=E803),F787,0)</f>
        <v>0</v>
      </c>
      <c r="G803" s="29">
        <f>0+(20/100)*(-A803+F803)</f>
        <v>0</v>
      </c>
      <c r="H803" s="29"/>
      <c r="I803" s="29"/>
      <c r="J803" s="29"/>
      <c r="K803" s="29"/>
      <c r="L803" s="29"/>
      <c r="M803" s="29"/>
    </row>
    <row r="804" spans="1:15" hidden="1" x14ac:dyDescent="0.2">
      <c r="A804" s="29">
        <f>E803</f>
        <v>12500</v>
      </c>
      <c r="B804" s="29"/>
      <c r="C804" s="29"/>
      <c r="D804" s="29"/>
      <c r="E804" s="29">
        <v>25000</v>
      </c>
      <c r="F804" s="29">
        <f>IF(AND(F787&gt;A804, F787&lt;=E804),F787,0)</f>
        <v>0</v>
      </c>
      <c r="G804" s="29">
        <f>(12500/100*20)+((25/100)*(-A804+F804))</f>
        <v>-625</v>
      </c>
      <c r="H804" s="29"/>
      <c r="I804" s="29"/>
      <c r="J804" s="29"/>
      <c r="K804" s="29"/>
      <c r="L804" s="29"/>
      <c r="M804" s="29"/>
    </row>
    <row r="805" spans="1:15" hidden="1" x14ac:dyDescent="0.2">
      <c r="A805" s="29">
        <f>E804</f>
        <v>25000</v>
      </c>
      <c r="B805" s="29"/>
      <c r="C805" s="29"/>
      <c r="D805" s="29"/>
      <c r="E805" s="29">
        <v>50000</v>
      </c>
      <c r="F805" s="29">
        <f>IF(AND(F787&gt;A805, F787&lt;=E805),F787,0)</f>
        <v>0</v>
      </c>
      <c r="G805" s="29">
        <f>(12500/100*20)+(12500/100*25)+((30/100)*(-A805+F805))</f>
        <v>-1875</v>
      </c>
      <c r="H805" s="29"/>
      <c r="I805" s="29"/>
      <c r="J805" s="29"/>
      <c r="K805" s="29"/>
      <c r="L805" s="29"/>
      <c r="M805" s="29"/>
    </row>
    <row r="806" spans="1:15" hidden="1" x14ac:dyDescent="0.2">
      <c r="A806" s="29">
        <f>E805</f>
        <v>50000</v>
      </c>
      <c r="B806" s="29"/>
      <c r="C806" s="29"/>
      <c r="D806" s="29"/>
      <c r="E806" s="29">
        <v>100000</v>
      </c>
      <c r="F806" s="29">
        <f>IF(AND(F787&gt;A806, F787&lt;=E806),F787,0)</f>
        <v>0</v>
      </c>
      <c r="G806" s="29">
        <f>(12500/100*20)+(12500/100*25)+(25000/100*30)+((40/100)*(-A806+F806))</f>
        <v>-6875</v>
      </c>
      <c r="H806" s="29"/>
      <c r="I806" s="29"/>
      <c r="J806" s="29"/>
      <c r="K806" s="29"/>
      <c r="L806" s="29"/>
      <c r="M806" s="29"/>
    </row>
    <row r="807" spans="1:15" hidden="1" x14ac:dyDescent="0.2">
      <c r="A807" s="29">
        <f>E806</f>
        <v>100000</v>
      </c>
      <c r="B807" s="29"/>
      <c r="C807" s="29"/>
      <c r="D807" s="29"/>
      <c r="E807" s="29">
        <v>175000</v>
      </c>
      <c r="F807" s="29">
        <f>IF(AND(F787&gt;A807, F787&lt;=E807),F787,0)</f>
        <v>0</v>
      </c>
      <c r="G807" s="29">
        <f>(12500/100*20)+(12500/100*25)+(25000/100*30)+(50000/100*40)+((55/100)*(-A807+F807))</f>
        <v>-21875.000000000007</v>
      </c>
      <c r="H807" s="29"/>
      <c r="I807" s="29"/>
      <c r="J807" s="29"/>
      <c r="K807" s="29"/>
      <c r="L807" s="29"/>
      <c r="M807" s="29"/>
    </row>
    <row r="808" spans="1:15" hidden="1" x14ac:dyDescent="0.2">
      <c r="A808" s="29">
        <v>175000</v>
      </c>
      <c r="B808" s="29"/>
      <c r="C808" s="29"/>
      <c r="D808" s="29"/>
      <c r="E808" s="29">
        <v>250000</v>
      </c>
      <c r="F808" s="29">
        <f>IF(AND(F787&gt;A808, F787&lt;=E808),F787,0)</f>
        <v>0</v>
      </c>
      <c r="G808" s="29">
        <f>(12500/100*20)+(12500/100*25)+(25000/100*30)+(50000/100*40)+(75000/100*55)+((60/100)*(-A808+F808))</f>
        <v>-30625</v>
      </c>
      <c r="H808" s="29"/>
      <c r="I808" s="29"/>
      <c r="J808" s="29"/>
      <c r="K808" s="29"/>
      <c r="L808" s="29"/>
      <c r="M808" s="29"/>
    </row>
    <row r="809" spans="1:15" hidden="1" x14ac:dyDescent="0.2">
      <c r="A809" s="29">
        <f>E808</f>
        <v>250000</v>
      </c>
      <c r="B809" s="29"/>
      <c r="C809" s="29"/>
      <c r="D809" s="29"/>
      <c r="E809" s="29">
        <v>999999999</v>
      </c>
      <c r="F809" s="29">
        <f>IF(AND(F787&gt;A809, F787&lt;=E809),F787,0)</f>
        <v>0</v>
      </c>
      <c r="G809" s="29">
        <f>(12500/100*20)+(12500/100*25)+(25000/100*30)+(50000/100*40)+(75000/100*55)+(75000/100*60)+((65/100)*(-A809+F809))</f>
        <v>-43125</v>
      </c>
      <c r="H809" s="29"/>
      <c r="I809" s="29"/>
      <c r="J809" s="29"/>
      <c r="K809" s="29"/>
      <c r="L809" s="29"/>
      <c r="M809" s="29"/>
    </row>
    <row r="810" spans="1:15" hidden="1" x14ac:dyDescent="0.2">
      <c r="A810" s="54" t="s">
        <v>7</v>
      </c>
      <c r="B810" s="54"/>
      <c r="C810" s="54"/>
      <c r="D810" s="54"/>
      <c r="E810" s="29"/>
      <c r="F810" s="29"/>
      <c r="G810" s="29">
        <f>VLOOKUP(F787,F803:G809,2,FALSE)</f>
        <v>0</v>
      </c>
      <c r="H810" s="29"/>
      <c r="I810" s="29"/>
      <c r="J810" s="29"/>
      <c r="K810" s="29"/>
      <c r="L810" s="29"/>
      <c r="M810" s="29"/>
    </row>
    <row r="811" spans="1:15" hidden="1" x14ac:dyDescent="0.2"/>
    <row r="812" spans="1:15" hidden="1" x14ac:dyDescent="0.2">
      <c r="E812" s="29"/>
      <c r="F812" s="29"/>
      <c r="G812" s="29"/>
      <c r="H812" s="32"/>
      <c r="I812" s="29"/>
      <c r="J812" s="33"/>
      <c r="M812" s="33"/>
      <c r="O812" s="33"/>
    </row>
    <row r="813" spans="1:15" hidden="1" x14ac:dyDescent="0.2">
      <c r="E813" s="29"/>
      <c r="F813" s="29"/>
      <c r="G813" s="29"/>
      <c r="H813" s="32"/>
      <c r="I813" s="29"/>
      <c r="J813" s="33"/>
      <c r="M813" s="33"/>
      <c r="O813" s="33"/>
    </row>
    <row r="814" spans="1:15" hidden="1" x14ac:dyDescent="0.2">
      <c r="E814" s="29"/>
      <c r="F814" s="29"/>
      <c r="G814" s="29"/>
      <c r="H814" s="32"/>
      <c r="I814" s="29"/>
      <c r="J814" s="33"/>
      <c r="M814" s="33"/>
      <c r="O814" s="33"/>
    </row>
    <row r="815" spans="1:15" hidden="1" x14ac:dyDescent="0.2">
      <c r="A815" s="52" t="s">
        <v>26</v>
      </c>
      <c r="B815" s="52"/>
      <c r="C815" s="52"/>
      <c r="D815" s="52"/>
      <c r="E815" s="29"/>
      <c r="F815" s="29"/>
      <c r="G815" s="53" t="s">
        <v>10</v>
      </c>
      <c r="H815" s="32"/>
      <c r="I815" s="52" t="s">
        <v>27</v>
      </c>
      <c r="J815" s="29"/>
      <c r="K815" s="29"/>
      <c r="L815" s="29"/>
      <c r="M815" s="53" t="s">
        <v>11</v>
      </c>
      <c r="O815" s="33"/>
    </row>
    <row r="816" spans="1:15" hidden="1" x14ac:dyDescent="0.2">
      <c r="A816" s="29">
        <v>0</v>
      </c>
      <c r="B816" s="29"/>
      <c r="C816" s="29"/>
      <c r="D816" s="29"/>
      <c r="E816" s="29">
        <v>50000</v>
      </c>
      <c r="F816" s="29">
        <f>IF(AND(F787&gt;A816, F787&lt;=E816),F787,0)</f>
        <v>0</v>
      </c>
      <c r="G816" s="29">
        <f>0+(35/100)*(-A816+F816)</f>
        <v>0</v>
      </c>
      <c r="H816" s="32"/>
      <c r="I816" s="29">
        <v>0</v>
      </c>
      <c r="J816" s="29">
        <v>50000</v>
      </c>
      <c r="K816" s="29">
        <f>IF(AND(F787&gt;I816, F787&lt;=J816),F787,0)</f>
        <v>0</v>
      </c>
      <c r="L816" s="29"/>
      <c r="M816" s="29">
        <f>0+(40/100)*(-I816+K816)</f>
        <v>0</v>
      </c>
      <c r="O816" s="33"/>
    </row>
    <row r="817" spans="1:15" hidden="1" x14ac:dyDescent="0.2">
      <c r="A817" s="29">
        <f>E816</f>
        <v>50000</v>
      </c>
      <c r="B817" s="29"/>
      <c r="C817" s="29"/>
      <c r="D817" s="29"/>
      <c r="E817" s="29">
        <v>100000</v>
      </c>
      <c r="F817" s="29">
        <f>IF(AND(F787&gt;A817, F787&lt;=E817),F787,0)</f>
        <v>0</v>
      </c>
      <c r="G817" s="29">
        <f>(50000/100*35)+((50/100)*(-A817+F817))</f>
        <v>-7500</v>
      </c>
      <c r="H817" s="32"/>
      <c r="I817" s="29">
        <f>J816</f>
        <v>50000</v>
      </c>
      <c r="J817" s="29">
        <v>75000</v>
      </c>
      <c r="K817" s="29">
        <f>IF(AND(F787&gt;I817, F787&lt;=J817),F787,0)</f>
        <v>0</v>
      </c>
      <c r="L817" s="29"/>
      <c r="M817" s="29">
        <f>(50000/100*40)+((55/100)*(-I817+K817))</f>
        <v>-7500.0000000000036</v>
      </c>
      <c r="O817" s="33"/>
    </row>
    <row r="818" spans="1:15" hidden="1" x14ac:dyDescent="0.2">
      <c r="A818" s="29">
        <f>E817</f>
        <v>100000</v>
      </c>
      <c r="B818" s="29"/>
      <c r="C818" s="29"/>
      <c r="D818" s="29"/>
      <c r="E818" s="29">
        <v>175000</v>
      </c>
      <c r="F818" s="29">
        <f>IF(AND(F787&gt;A818, F787&lt;=E818),F787,0)</f>
        <v>0</v>
      </c>
      <c r="G818" s="29">
        <f>(50000/100*35)+(50000/100*50)+((60/100)*(-A818+F818))</f>
        <v>-17500</v>
      </c>
      <c r="H818" s="32"/>
      <c r="I818" s="29">
        <f>J817</f>
        <v>75000</v>
      </c>
      <c r="J818" s="29">
        <v>175000</v>
      </c>
      <c r="K818" s="29">
        <f>IF(AND(F787&gt;I818, F787&lt;=J818),F787,0)</f>
        <v>0</v>
      </c>
      <c r="L818" s="29"/>
      <c r="M818" s="29">
        <f>(50000/100*40)+(25000/100*55)+((65/100)*(-I818+K818))</f>
        <v>-15000</v>
      </c>
      <c r="O818" s="33"/>
    </row>
    <row r="819" spans="1:15" hidden="1" x14ac:dyDescent="0.2">
      <c r="A819" s="29">
        <f>E818</f>
        <v>175000</v>
      </c>
      <c r="B819" s="29"/>
      <c r="C819" s="29"/>
      <c r="D819" s="29"/>
      <c r="E819" s="29">
        <v>999999999</v>
      </c>
      <c r="F819" s="29">
        <f>IF(AND(F787&gt;A819, F787&lt;=E819),F787,0)</f>
        <v>0</v>
      </c>
      <c r="G819" s="29">
        <f>(50000/100*35)+(50000/100*50)+(75000/100*60)+((70/100)*(-A819+F819))</f>
        <v>-34999.999999999985</v>
      </c>
      <c r="H819" s="32"/>
      <c r="I819" s="29">
        <f>J818</f>
        <v>175000</v>
      </c>
      <c r="J819" s="29">
        <v>999999999</v>
      </c>
      <c r="K819" s="29">
        <f>IF(AND(F787&gt;I819, F787&lt;=J819),F787,0)</f>
        <v>0</v>
      </c>
      <c r="L819" s="29"/>
      <c r="M819" s="29">
        <f>(50000/100*40)+(25000/100*55)+(100000/100*65)+((80/100)*(-I819+K819))</f>
        <v>-41250</v>
      </c>
      <c r="O819" s="33"/>
    </row>
    <row r="820" spans="1:15" hidden="1" x14ac:dyDescent="0.2">
      <c r="A820" s="29"/>
      <c r="B820" s="29"/>
      <c r="C820" s="29"/>
      <c r="D820" s="29"/>
      <c r="E820" s="29"/>
      <c r="F820" s="29"/>
      <c r="G820" s="29"/>
      <c r="H820" s="32"/>
      <c r="I820" s="29"/>
      <c r="J820" s="29"/>
      <c r="K820" s="29"/>
      <c r="L820" s="29"/>
      <c r="M820" s="29"/>
      <c r="O820" s="33"/>
    </row>
    <row r="821" spans="1:15" hidden="1" x14ac:dyDescent="0.2">
      <c r="A821" s="29"/>
      <c r="B821" s="29"/>
      <c r="C821" s="29"/>
      <c r="D821" s="29"/>
      <c r="E821" s="29"/>
      <c r="F821" s="29"/>
      <c r="G821" s="29"/>
      <c r="H821" s="32"/>
      <c r="I821" s="29"/>
      <c r="J821" s="29"/>
      <c r="K821" s="29"/>
      <c r="L821" s="29"/>
      <c r="M821" s="29"/>
      <c r="O821" s="33"/>
    </row>
    <row r="822" spans="1:15" hidden="1" x14ac:dyDescent="0.2">
      <c r="A822" s="29"/>
      <c r="B822" s="29"/>
      <c r="C822" s="29"/>
      <c r="D822" s="29"/>
      <c r="E822" s="29"/>
      <c r="F822" s="29"/>
      <c r="G822" s="29"/>
      <c r="H822" s="32"/>
      <c r="I822" s="29"/>
      <c r="J822" s="29"/>
      <c r="K822" s="29"/>
      <c r="L822" s="29"/>
      <c r="M822" s="29"/>
      <c r="O822" s="33"/>
    </row>
    <row r="823" spans="1:15" hidden="1" x14ac:dyDescent="0.2">
      <c r="A823" s="54" t="s">
        <v>7</v>
      </c>
      <c r="B823" s="54"/>
      <c r="C823" s="54"/>
      <c r="D823" s="54"/>
      <c r="E823" s="29"/>
      <c r="F823" s="29"/>
      <c r="G823" s="29">
        <f>VLOOKUP(F787,F816:G819,2,FALSE)</f>
        <v>0</v>
      </c>
      <c r="H823" s="32"/>
      <c r="I823" s="54" t="s">
        <v>7</v>
      </c>
      <c r="J823" s="29"/>
      <c r="K823" s="29"/>
      <c r="L823" s="29"/>
      <c r="M823" s="29">
        <f>VLOOKUP(F787,K816:M819,3,FALSE)</f>
        <v>0</v>
      </c>
      <c r="O823" s="33"/>
    </row>
    <row r="824" spans="1:15" hidden="1" x14ac:dyDescent="0.2">
      <c r="H824" s="32"/>
      <c r="O824" s="33"/>
    </row>
    <row r="825" spans="1:15" hidden="1" x14ac:dyDescent="0.2">
      <c r="E825" s="29"/>
      <c r="F825" s="29"/>
      <c r="G825" s="29"/>
      <c r="H825" s="32"/>
      <c r="J825" s="29"/>
      <c r="K825" s="29"/>
      <c r="L825" s="29"/>
      <c r="M825" s="29"/>
      <c r="O825" s="33"/>
    </row>
    <row r="826" spans="1:15" hidden="1" x14ac:dyDescent="0.2">
      <c r="E826" s="29"/>
      <c r="G826" s="29"/>
    </row>
    <row r="827" spans="1:15" hidden="1" x14ac:dyDescent="0.2"/>
    <row r="828" spans="1:15" hidden="1" x14ac:dyDescent="0.2">
      <c r="E828" s="9" t="s">
        <v>84</v>
      </c>
      <c r="F828" s="9" t="s">
        <v>91</v>
      </c>
    </row>
    <row r="829" spans="1:15" hidden="1" x14ac:dyDescent="0.2"/>
    <row r="830" spans="1:15" hidden="1" x14ac:dyDescent="0.2">
      <c r="E830" s="9" t="s">
        <v>84</v>
      </c>
      <c r="F830" s="9">
        <f>IF(J50=3,M795*12%,0)</f>
        <v>0</v>
      </c>
      <c r="G830" s="9">
        <f>IF(F830&gt;372,372,F830)</f>
        <v>0</v>
      </c>
      <c r="I830" s="9" t="s">
        <v>30</v>
      </c>
      <c r="J830" s="9">
        <f>M795*6%</f>
        <v>0</v>
      </c>
      <c r="K830" s="9">
        <f>IF(J830&gt;186,186,J830)</f>
        <v>0</v>
      </c>
      <c r="L830" s="9">
        <f>IF(J50=3,K830,0)</f>
        <v>0</v>
      </c>
    </row>
    <row r="831" spans="1:15" hidden="1" x14ac:dyDescent="0.2">
      <c r="F831" s="9">
        <f>IF(J50=4,M795*16%,0)</f>
        <v>0</v>
      </c>
      <c r="G831" s="9">
        <f>IF(F831&gt;496,496,F831)</f>
        <v>0</v>
      </c>
      <c r="I831" s="9" t="s">
        <v>31</v>
      </c>
      <c r="J831" s="9">
        <f>M795*8%</f>
        <v>0</v>
      </c>
      <c r="K831" s="9">
        <f>IF(J831&gt;248,248,J831)</f>
        <v>0</v>
      </c>
      <c r="L831" s="9">
        <f>IF(J50=4,K831,0)</f>
        <v>0</v>
      </c>
    </row>
    <row r="832" spans="1:15" hidden="1" x14ac:dyDescent="0.2">
      <c r="F832" s="9">
        <f>IF(J50=5,M795*20%,0)</f>
        <v>0</v>
      </c>
      <c r="G832" s="9">
        <f>IF(F832&gt;620,620,F832)</f>
        <v>0</v>
      </c>
      <c r="J832" s="9">
        <f>M795*10%</f>
        <v>0</v>
      </c>
      <c r="K832" s="9">
        <f>IF(J832&gt;310,310,J832)</f>
        <v>0</v>
      </c>
      <c r="L832" s="9">
        <f>IF(J50=5,K832,0)</f>
        <v>0</v>
      </c>
    </row>
    <row r="833" spans="5:12" hidden="1" x14ac:dyDescent="0.2">
      <c r="F833" s="9">
        <f>IF(J50=6,M795*24%,0)</f>
        <v>0</v>
      </c>
      <c r="G833" s="9">
        <f>IF(F833&gt;744,744,F833)</f>
        <v>0</v>
      </c>
      <c r="J833" s="9">
        <f>M795*12%</f>
        <v>0</v>
      </c>
      <c r="K833" s="9">
        <f>IF(J833&gt;372,372,J833)</f>
        <v>0</v>
      </c>
      <c r="L833" s="9">
        <f>IF(J50=6,K833,0)</f>
        <v>0</v>
      </c>
    </row>
    <row r="834" spans="5:12" hidden="1" x14ac:dyDescent="0.2">
      <c r="F834" s="9">
        <f>IF(J50=7,M795*28%,0)</f>
        <v>0</v>
      </c>
      <c r="G834" s="9">
        <f>IF(F834&gt;868,868,F834)</f>
        <v>0</v>
      </c>
      <c r="J834" s="9">
        <f>M795*14%</f>
        <v>0</v>
      </c>
      <c r="K834" s="9">
        <f>IF(J834&gt;434,434,J834)</f>
        <v>0</v>
      </c>
      <c r="L834" s="9">
        <f>IF(J50=7,K834,0)</f>
        <v>0</v>
      </c>
    </row>
    <row r="835" spans="5:12" hidden="1" x14ac:dyDescent="0.2">
      <c r="F835" s="9">
        <f>IF(J50=8,M795*32%,0)</f>
        <v>0</v>
      </c>
      <c r="G835" s="9">
        <f>IF(F835&gt;992,992,F835)</f>
        <v>0</v>
      </c>
      <c r="J835" s="9">
        <f>M795*16%</f>
        <v>0</v>
      </c>
      <c r="K835" s="9">
        <f>IF(J835&gt;496,496,J835)</f>
        <v>0</v>
      </c>
      <c r="L835" s="9">
        <f>IF(J50=8,K835,0)</f>
        <v>0</v>
      </c>
    </row>
    <row r="836" spans="5:12" hidden="1" x14ac:dyDescent="0.2">
      <c r="F836" s="9">
        <f>IF(J50=9,M795*36%,0)</f>
        <v>0</v>
      </c>
      <c r="G836" s="9">
        <f>IF(F836&gt;1116,1116,F836)</f>
        <v>0</v>
      </c>
      <c r="J836" s="9">
        <f>M795*18%</f>
        <v>0</v>
      </c>
      <c r="K836" s="9">
        <f>IF(J836&gt;558,558,J836)</f>
        <v>0</v>
      </c>
      <c r="L836" s="9">
        <f>IF(J50=9,K836,0)</f>
        <v>0</v>
      </c>
    </row>
    <row r="837" spans="5:12" hidden="1" x14ac:dyDescent="0.2">
      <c r="F837" s="9">
        <f>IF(J50=10,M795*40%,0)</f>
        <v>0</v>
      </c>
      <c r="G837" s="9">
        <f>IF(F837&gt;1240,1240,F837)</f>
        <v>0</v>
      </c>
      <c r="J837" s="9">
        <f>M795*20%</f>
        <v>0</v>
      </c>
      <c r="K837" s="9">
        <f>IF(J837&gt;620,620,J837)</f>
        <v>0</v>
      </c>
      <c r="L837" s="9">
        <f>IF(J50=10,K837,0)</f>
        <v>0</v>
      </c>
    </row>
    <row r="838" spans="5:12" hidden="1" x14ac:dyDescent="0.2"/>
    <row r="839" spans="5:12" hidden="1" x14ac:dyDescent="0.2">
      <c r="G839" s="9">
        <f>SUM(G830:G838)</f>
        <v>0</v>
      </c>
      <c r="L839" s="9">
        <f>SUM(L830:L838)</f>
        <v>0</v>
      </c>
    </row>
    <row r="840" spans="5:12" hidden="1" x14ac:dyDescent="0.2">
      <c r="G840" s="22"/>
    </row>
    <row r="841" spans="5:12" hidden="1" x14ac:dyDescent="0.2">
      <c r="G841" s="22"/>
    </row>
    <row r="842" spans="5:12" hidden="1" x14ac:dyDescent="0.2">
      <c r="G842" s="22"/>
    </row>
    <row r="843" spans="5:12" hidden="1" x14ac:dyDescent="0.2">
      <c r="E843" s="9" t="s">
        <v>32</v>
      </c>
      <c r="F843" s="23">
        <f>M795-G839</f>
        <v>0</v>
      </c>
      <c r="G843" s="22"/>
      <c r="H843" s="9" t="s">
        <v>33</v>
      </c>
      <c r="I843" s="56">
        <f>M795-L839</f>
        <v>0</v>
      </c>
    </row>
    <row r="844" spans="5:12" hidden="1" x14ac:dyDescent="0.2">
      <c r="E844" s="29"/>
      <c r="G844" s="29"/>
    </row>
    <row r="845" spans="5:12" hidden="1" x14ac:dyDescent="0.2">
      <c r="E845" s="29"/>
      <c r="G845" s="29"/>
    </row>
    <row r="846" spans="5:12" hidden="1" x14ac:dyDescent="0.2">
      <c r="E846" s="29"/>
      <c r="G846" s="29"/>
    </row>
    <row r="847" spans="5:12" hidden="1" x14ac:dyDescent="0.2">
      <c r="E847" s="29"/>
      <c r="G847" s="29"/>
    </row>
    <row r="848" spans="5:12" hidden="1" x14ac:dyDescent="0.2">
      <c r="E848" s="29"/>
      <c r="G848" s="29"/>
    </row>
    <row r="849" spans="5:7" hidden="1" x14ac:dyDescent="0.2">
      <c r="E849" s="29"/>
      <c r="G849" s="29"/>
    </row>
    <row r="850" spans="5:7" hidden="1" x14ac:dyDescent="0.2">
      <c r="E850" s="29"/>
      <c r="G850" s="29"/>
    </row>
    <row r="851" spans="5:7" hidden="1" x14ac:dyDescent="0.2">
      <c r="E851" s="29"/>
      <c r="G851" s="29"/>
    </row>
    <row r="852" spans="5:7" hidden="1" x14ac:dyDescent="0.2">
      <c r="E852" s="29"/>
      <c r="G852" s="29"/>
    </row>
    <row r="853" spans="5:7" hidden="1" x14ac:dyDescent="0.2">
      <c r="E853" s="29"/>
      <c r="G853" s="29"/>
    </row>
    <row r="854" spans="5:7" hidden="1" x14ac:dyDescent="0.2">
      <c r="E854" s="29"/>
      <c r="G854" s="29"/>
    </row>
    <row r="855" spans="5:7" hidden="1" x14ac:dyDescent="0.2">
      <c r="E855" s="29"/>
      <c r="G855" s="29"/>
    </row>
    <row r="856" spans="5:7" hidden="1" x14ac:dyDescent="0.2">
      <c r="E856" s="29"/>
      <c r="G856" s="29"/>
    </row>
    <row r="857" spans="5:7" hidden="1" x14ac:dyDescent="0.2">
      <c r="E857" s="29"/>
      <c r="G857" s="29"/>
    </row>
    <row r="858" spans="5:7" hidden="1" x14ac:dyDescent="0.2">
      <c r="E858" s="29"/>
      <c r="G858" s="29"/>
    </row>
    <row r="859" spans="5:7" hidden="1" x14ac:dyDescent="0.2">
      <c r="E859" s="29"/>
      <c r="G859" s="29"/>
    </row>
    <row r="860" spans="5:7" hidden="1" x14ac:dyDescent="0.2">
      <c r="E860" s="29"/>
      <c r="G860" s="29"/>
    </row>
    <row r="861" spans="5:7" hidden="1" x14ac:dyDescent="0.2">
      <c r="E861" s="29"/>
      <c r="G861" s="29"/>
    </row>
    <row r="862" spans="5:7" hidden="1" x14ac:dyDescent="0.2">
      <c r="E862" s="29"/>
      <c r="G862" s="29"/>
    </row>
    <row r="863" spans="5:7" hidden="1" x14ac:dyDescent="0.2">
      <c r="E863" s="29"/>
      <c r="G863" s="29"/>
    </row>
    <row r="864" spans="5:7" hidden="1" x14ac:dyDescent="0.2">
      <c r="E864" s="29"/>
      <c r="G864" s="29"/>
    </row>
    <row r="865" spans="5:7" hidden="1" x14ac:dyDescent="0.2">
      <c r="E865" s="29"/>
      <c r="G865" s="29"/>
    </row>
    <row r="866" spans="5:7" hidden="1" x14ac:dyDescent="0.2">
      <c r="E866" s="29"/>
      <c r="G866" s="29"/>
    </row>
    <row r="867" spans="5:7" hidden="1" x14ac:dyDescent="0.2">
      <c r="E867" s="29"/>
      <c r="G867" s="29"/>
    </row>
    <row r="868" spans="5:7" hidden="1" x14ac:dyDescent="0.2">
      <c r="E868" s="29"/>
      <c r="G868" s="29"/>
    </row>
    <row r="869" spans="5:7" hidden="1" x14ac:dyDescent="0.2">
      <c r="E869" s="29"/>
      <c r="G869" s="29"/>
    </row>
    <row r="870" spans="5:7" hidden="1" x14ac:dyDescent="0.2">
      <c r="E870" s="29"/>
      <c r="G870" s="29"/>
    </row>
    <row r="871" spans="5:7" hidden="1" x14ac:dyDescent="0.2">
      <c r="E871" s="29"/>
      <c r="G871" s="29"/>
    </row>
    <row r="872" spans="5:7" hidden="1" x14ac:dyDescent="0.2">
      <c r="E872" s="29"/>
      <c r="G872" s="29"/>
    </row>
    <row r="873" spans="5:7" hidden="1" x14ac:dyDescent="0.2">
      <c r="E873" s="29"/>
      <c r="G873" s="29"/>
    </row>
    <row r="874" spans="5:7" hidden="1" x14ac:dyDescent="0.2">
      <c r="E874" s="29"/>
      <c r="G874" s="29"/>
    </row>
    <row r="875" spans="5:7" hidden="1" x14ac:dyDescent="0.2">
      <c r="E875" s="29"/>
      <c r="G875" s="29"/>
    </row>
    <row r="876" spans="5:7" hidden="1" x14ac:dyDescent="0.2">
      <c r="E876" s="29"/>
      <c r="G876" s="29"/>
    </row>
    <row r="877" spans="5:7" hidden="1" x14ac:dyDescent="0.2">
      <c r="E877" s="29"/>
      <c r="G877" s="29"/>
    </row>
    <row r="878" spans="5:7" hidden="1" x14ac:dyDescent="0.2">
      <c r="E878" s="29"/>
      <c r="G878" s="29"/>
    </row>
    <row r="879" spans="5:7" hidden="1" x14ac:dyDescent="0.2">
      <c r="E879" s="29"/>
      <c r="G879" s="29"/>
    </row>
    <row r="880" spans="5:7" hidden="1" x14ac:dyDescent="0.2">
      <c r="E880" s="29"/>
      <c r="G880" s="29"/>
    </row>
    <row r="881" spans="1:15" hidden="1" x14ac:dyDescent="0.2">
      <c r="E881" s="29"/>
      <c r="G881" s="29"/>
    </row>
    <row r="882" spans="1:15" hidden="1" x14ac:dyDescent="0.2">
      <c r="E882" s="29"/>
      <c r="G882" s="29"/>
    </row>
    <row r="883" spans="1:15" hidden="1" x14ac:dyDescent="0.2">
      <c r="E883" s="29"/>
      <c r="G883" s="29"/>
    </row>
    <row r="884" spans="1:15" hidden="1" x14ac:dyDescent="0.2">
      <c r="E884" s="29"/>
      <c r="G884" s="29"/>
    </row>
    <row r="885" spans="1:15" hidden="1" x14ac:dyDescent="0.2">
      <c r="E885" s="29"/>
      <c r="G885" s="29"/>
    </row>
    <row r="886" spans="1:15" hidden="1" x14ac:dyDescent="0.2">
      <c r="E886" s="29"/>
      <c r="G886" s="29"/>
    </row>
    <row r="887" spans="1:15" hidden="1" x14ac:dyDescent="0.2">
      <c r="E887" s="29"/>
      <c r="G887" s="29"/>
    </row>
    <row r="888" spans="1:15" ht="13.5" hidden="1" thickBot="1" x14ac:dyDescent="0.25">
      <c r="E888" s="29"/>
      <c r="G888" s="29"/>
    </row>
    <row r="889" spans="1:15" ht="13.5" hidden="1" thickTop="1" x14ac:dyDescent="0.2">
      <c r="A889" s="42"/>
      <c r="B889" s="42"/>
      <c r="C889" s="42"/>
      <c r="D889" s="42"/>
      <c r="E889" s="43"/>
      <c r="F889" s="44"/>
      <c r="G889" s="43"/>
      <c r="H889" s="43"/>
      <c r="I889" s="45"/>
      <c r="J889" s="46"/>
      <c r="K889" s="45"/>
      <c r="L889" s="45"/>
      <c r="M889" s="45"/>
      <c r="N889" s="47"/>
      <c r="O889" s="48"/>
    </row>
    <row r="890" spans="1:15" hidden="1" x14ac:dyDescent="0.2">
      <c r="A890" s="29" t="s">
        <v>4</v>
      </c>
      <c r="B890" s="29"/>
      <c r="C890" s="29"/>
      <c r="D890" s="29"/>
      <c r="E890" s="29"/>
      <c r="F890" s="29">
        <f>G55</f>
        <v>0</v>
      </c>
      <c r="G890" s="49"/>
      <c r="H890" s="29"/>
      <c r="I890" s="29"/>
      <c r="J890" s="50"/>
      <c r="K890" s="29"/>
      <c r="L890" s="29"/>
      <c r="M890" s="29">
        <f>IF(AND(I55="oui",F55="ligne directe"),H902,0)</f>
        <v>0</v>
      </c>
      <c r="O890" s="51"/>
    </row>
    <row r="891" spans="1:15" hidden="1" x14ac:dyDescent="0.2">
      <c r="A891" s="29"/>
      <c r="B891" s="29"/>
      <c r="C891" s="29"/>
      <c r="D891" s="29"/>
      <c r="E891" s="29"/>
      <c r="F891" s="29"/>
      <c r="G891" s="29"/>
      <c r="H891" s="29"/>
      <c r="I891" s="29"/>
      <c r="J891" s="50"/>
      <c r="K891" s="29"/>
      <c r="L891" s="29"/>
      <c r="M891" s="29">
        <f>IF(AND(I55="oui",F55="épou(x)(se)"),H902,0)</f>
        <v>0</v>
      </c>
      <c r="O891" s="51"/>
    </row>
    <row r="892" spans="1:15" hidden="1" x14ac:dyDescent="0.2">
      <c r="A892" s="52" t="s">
        <v>5</v>
      </c>
      <c r="B892" s="52"/>
      <c r="C892" s="52"/>
      <c r="D892" s="52"/>
      <c r="E892" s="29"/>
      <c r="F892" s="29"/>
      <c r="G892" s="53" t="s">
        <v>6</v>
      </c>
      <c r="H892" s="53" t="s">
        <v>25</v>
      </c>
      <c r="I892" s="29"/>
      <c r="J892" s="50"/>
      <c r="K892" s="29"/>
      <c r="L892" s="29"/>
      <c r="M892" s="29">
        <f>IF(AND(I55="non",F55="ligne directe"),G902,0)</f>
        <v>0</v>
      </c>
      <c r="O892" s="51"/>
    </row>
    <row r="893" spans="1:15" hidden="1" x14ac:dyDescent="0.2">
      <c r="A893" s="29">
        <v>0</v>
      </c>
      <c r="B893" s="29"/>
      <c r="C893" s="29"/>
      <c r="D893" s="29"/>
      <c r="E893" s="29">
        <v>50000</v>
      </c>
      <c r="F893" s="29">
        <f>IF(AND(F890&gt;A893, F890&lt;=E893),F890,0)</f>
        <v>0</v>
      </c>
      <c r="G893" s="29">
        <f>0+(3/100)*(-A893+F893)</f>
        <v>0</v>
      </c>
      <c r="H893" s="29">
        <f>0+(2/100)*(-A893+F893)</f>
        <v>0</v>
      </c>
      <c r="I893" s="29"/>
      <c r="J893" s="50"/>
      <c r="K893" s="29"/>
      <c r="L893" s="29"/>
      <c r="M893" s="29">
        <f>IF(AND(I55="non",F55="épou(x)(se)"),G902,0)</f>
        <v>0</v>
      </c>
      <c r="O893" s="51"/>
    </row>
    <row r="894" spans="1:15" hidden="1" x14ac:dyDescent="0.2">
      <c r="A894" s="29">
        <f>E893</f>
        <v>50000</v>
      </c>
      <c r="B894" s="29"/>
      <c r="C894" s="29"/>
      <c r="D894" s="29"/>
      <c r="E894" s="29">
        <v>100000</v>
      </c>
      <c r="F894" s="29">
        <f>IF(AND(F890&gt;A894, F890&lt;=E894),F890,0)</f>
        <v>0</v>
      </c>
      <c r="G894" s="29">
        <f>(50000/100*3)+(8/100)*(-A894+F894)</f>
        <v>-2500</v>
      </c>
      <c r="H894" s="29">
        <f>(50000/100*2)+(5.3/100)*(-A894+F894)</f>
        <v>-1650</v>
      </c>
      <c r="I894" s="29"/>
      <c r="J894" s="50"/>
      <c r="K894" s="29"/>
      <c r="L894" s="29"/>
      <c r="M894" s="29">
        <f>IF(F55="frère/soeur",G913,0)</f>
        <v>0</v>
      </c>
      <c r="O894" s="51"/>
    </row>
    <row r="895" spans="1:15" hidden="1" x14ac:dyDescent="0.2">
      <c r="A895" s="29">
        <f>E894</f>
        <v>100000</v>
      </c>
      <c r="B895" s="29"/>
      <c r="C895" s="29"/>
      <c r="D895" s="29"/>
      <c r="E895" s="29">
        <v>175000</v>
      </c>
      <c r="F895" s="29">
        <f>IF(AND(F890&gt;A895, F890&lt;=E895),F890,0)</f>
        <v>0</v>
      </c>
      <c r="G895" s="29">
        <f>(50000/100*3)+(50000/100*8)+((9/100)*(-A895+F895))</f>
        <v>-3500</v>
      </c>
      <c r="H895" s="29">
        <f>(50000/100*2)+(50000/100*5.3)+((6/100)*(-A895+F895))</f>
        <v>-2350</v>
      </c>
      <c r="I895" s="29"/>
      <c r="J895" s="50"/>
      <c r="K895" s="29"/>
      <c r="L895" s="29"/>
      <c r="M895" s="29">
        <f>IF(F55="oncle-tante/neveu-nièce",G926,0)</f>
        <v>0</v>
      </c>
      <c r="O895" s="51"/>
    </row>
    <row r="896" spans="1:15" hidden="1" x14ac:dyDescent="0.2">
      <c r="A896" s="29">
        <f>E895</f>
        <v>175000</v>
      </c>
      <c r="B896" s="29"/>
      <c r="C896" s="29"/>
      <c r="D896" s="29"/>
      <c r="E896" s="29">
        <v>250000</v>
      </c>
      <c r="F896" s="29">
        <f>IF(AND(F890&gt;A896, F890&lt;=E896),F890,0)</f>
        <v>0</v>
      </c>
      <c r="G896" s="29">
        <f>(50000/100*3)+(50000/100*8)+(75000/100*9)+((18/100)*(-A896+F896))</f>
        <v>-19250</v>
      </c>
      <c r="H896" s="29">
        <f>(50000/100*2)+(50000/100*5.3)+(75000/100*6)+((12/100)*(-A896+F896))</f>
        <v>-12850</v>
      </c>
      <c r="I896" s="29"/>
      <c r="J896" s="50"/>
      <c r="K896" s="29"/>
      <c r="L896" s="29"/>
      <c r="M896" s="29">
        <f>IF(F55="étrangers",M926,0)</f>
        <v>0</v>
      </c>
      <c r="O896" s="51"/>
    </row>
    <row r="897" spans="1:15" hidden="1" x14ac:dyDescent="0.2">
      <c r="A897" s="29">
        <f>E896</f>
        <v>250000</v>
      </c>
      <c r="B897" s="29"/>
      <c r="C897" s="29"/>
      <c r="D897" s="29"/>
      <c r="E897" s="29">
        <v>500000</v>
      </c>
      <c r="F897" s="29">
        <f>IF(AND(F890&gt;A897, F890&lt;=E897),F890,0)</f>
        <v>0</v>
      </c>
      <c r="G897" s="29">
        <f>(50000/100*3)+(50000/100*8)+(75000/100*9)+(75000/100*18)+((24/100)*(-A897+F897))</f>
        <v>-34250</v>
      </c>
      <c r="H897" s="29">
        <f>(50000/100*2)+(50000/100*5.3)+(75000/100*6)+(75000/100*12)+((24/100)*(-A897+F897))</f>
        <v>-42850</v>
      </c>
      <c r="I897" s="29"/>
      <c r="J897" s="29"/>
      <c r="K897" s="29"/>
      <c r="L897" s="29"/>
      <c r="M897" s="29"/>
      <c r="O897" s="51"/>
    </row>
    <row r="898" spans="1:15" hidden="1" x14ac:dyDescent="0.2">
      <c r="A898" s="29">
        <f>E897</f>
        <v>500000</v>
      </c>
      <c r="B898" s="29"/>
      <c r="C898" s="29"/>
      <c r="D898" s="29"/>
      <c r="E898" s="29">
        <v>999999999</v>
      </c>
      <c r="F898" s="29">
        <f>IF(AND(F890&gt;A898, F890&lt;=E898),F890,0)</f>
        <v>0</v>
      </c>
      <c r="G898" s="29">
        <f>(50000/100*3)+(50000/100*8)+(75000/100*9)+(75000/100*18)+(250000/100*24)+((30/100)*(-A898+F898))</f>
        <v>-64250</v>
      </c>
      <c r="H898" s="29">
        <f>(50000/100*2)+(50000/100*5.3)+(75000/100*6)+(75000/100*12)+(250000/100*24)+((30/100)*(-A898+F898))</f>
        <v>-72850</v>
      </c>
      <c r="I898" s="29"/>
      <c r="J898" s="29"/>
      <c r="K898" s="29"/>
      <c r="L898" s="29"/>
      <c r="M898" s="29">
        <f>SUM(M890:M897)</f>
        <v>0</v>
      </c>
      <c r="O898" s="51"/>
    </row>
    <row r="899" spans="1:15" hidden="1" x14ac:dyDescent="0.2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O899" s="51"/>
    </row>
    <row r="900" spans="1:15" hidden="1" x14ac:dyDescent="0.2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O900" s="51"/>
    </row>
    <row r="901" spans="1:15" hidden="1" x14ac:dyDescent="0.2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O901" s="51"/>
    </row>
    <row r="902" spans="1:15" hidden="1" x14ac:dyDescent="0.2">
      <c r="A902" s="54" t="s">
        <v>7</v>
      </c>
      <c r="B902" s="54"/>
      <c r="C902" s="54"/>
      <c r="D902" s="54"/>
      <c r="E902" s="29"/>
      <c r="F902" s="29"/>
      <c r="G902" s="29">
        <f>VLOOKUP(F890,F893:G898,2,FALSE)</f>
        <v>0</v>
      </c>
      <c r="H902" s="29">
        <f>VLOOKUP(F890,F893:H898,3,FALSE)</f>
        <v>0</v>
      </c>
      <c r="I902" s="29"/>
      <c r="J902" s="29"/>
      <c r="K902" s="29"/>
      <c r="L902" s="29"/>
      <c r="M902" s="29"/>
      <c r="O902" s="51"/>
    </row>
    <row r="903" spans="1:15" hidden="1" x14ac:dyDescent="0.2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O903" s="51"/>
    </row>
    <row r="904" spans="1:15" hidden="1" x14ac:dyDescent="0.2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O904" s="51"/>
    </row>
    <row r="905" spans="1:15" hidden="1" x14ac:dyDescent="0.2">
      <c r="A905" s="52" t="s">
        <v>8</v>
      </c>
      <c r="B905" s="52"/>
      <c r="C905" s="52"/>
      <c r="D905" s="52"/>
      <c r="E905" s="29"/>
      <c r="F905" s="29"/>
      <c r="G905" s="53" t="s">
        <v>9</v>
      </c>
      <c r="H905" s="53"/>
      <c r="I905" s="42"/>
      <c r="J905" s="42"/>
      <c r="K905" s="42"/>
      <c r="L905" s="42"/>
      <c r="M905" s="42"/>
    </row>
    <row r="906" spans="1:15" hidden="1" x14ac:dyDescent="0.2">
      <c r="A906" s="29">
        <v>0</v>
      </c>
      <c r="B906" s="29"/>
      <c r="C906" s="29"/>
      <c r="D906" s="29"/>
      <c r="E906" s="29">
        <v>12500</v>
      </c>
      <c r="F906" s="29">
        <f>IF(AND(F890&gt;A906, F890&lt;=E906),F890,0)</f>
        <v>0</v>
      </c>
      <c r="G906" s="29">
        <f>0+(20/100)*(-A906+F906)</f>
        <v>0</v>
      </c>
      <c r="H906" s="29"/>
      <c r="I906" s="29"/>
      <c r="J906" s="29"/>
      <c r="K906" s="29"/>
      <c r="L906" s="29"/>
      <c r="M906" s="29"/>
    </row>
    <row r="907" spans="1:15" hidden="1" x14ac:dyDescent="0.2">
      <c r="A907" s="29">
        <f>E906</f>
        <v>12500</v>
      </c>
      <c r="B907" s="29"/>
      <c r="C907" s="29"/>
      <c r="D907" s="29"/>
      <c r="E907" s="29">
        <v>25000</v>
      </c>
      <c r="F907" s="29">
        <f>IF(AND(F890&gt;A907, F890&lt;=E907),F890,0)</f>
        <v>0</v>
      </c>
      <c r="G907" s="29">
        <f>(12500/100*20)+((25/100)*(-A907+F907))</f>
        <v>-625</v>
      </c>
      <c r="H907" s="29"/>
      <c r="I907" s="29"/>
      <c r="J907" s="29"/>
      <c r="K907" s="29"/>
      <c r="L907" s="29"/>
      <c r="M907" s="29"/>
    </row>
    <row r="908" spans="1:15" hidden="1" x14ac:dyDescent="0.2">
      <c r="A908" s="29">
        <f>E907</f>
        <v>25000</v>
      </c>
      <c r="B908" s="29"/>
      <c r="C908" s="29"/>
      <c r="D908" s="29"/>
      <c r="E908" s="29">
        <v>50000</v>
      </c>
      <c r="F908" s="29">
        <f>IF(AND(F890&gt;A908, F890&lt;=E908),F890,0)</f>
        <v>0</v>
      </c>
      <c r="G908" s="29">
        <f>(12500/100*20)+(12500/100*25)+((30/100)*(-A908+F908))</f>
        <v>-1875</v>
      </c>
      <c r="H908" s="29"/>
      <c r="I908" s="29"/>
      <c r="J908" s="29"/>
      <c r="K908" s="29"/>
      <c r="L908" s="29"/>
      <c r="M908" s="29"/>
    </row>
    <row r="909" spans="1:15" hidden="1" x14ac:dyDescent="0.2">
      <c r="A909" s="29">
        <f>E908</f>
        <v>50000</v>
      </c>
      <c r="B909" s="29"/>
      <c r="C909" s="29"/>
      <c r="D909" s="29"/>
      <c r="E909" s="29">
        <v>100000</v>
      </c>
      <c r="F909" s="29">
        <f>IF(AND(F890&gt;A909, F890&lt;=E909),F890,0)</f>
        <v>0</v>
      </c>
      <c r="G909" s="29">
        <f>(12500/100*20)+(12500/100*25)+(25000/100*30)+((40/100)*(-A909+F909))</f>
        <v>-6875</v>
      </c>
      <c r="H909" s="29"/>
      <c r="I909" s="29"/>
      <c r="J909" s="29"/>
      <c r="K909" s="29"/>
      <c r="L909" s="29"/>
      <c r="M909" s="29"/>
    </row>
    <row r="910" spans="1:15" hidden="1" x14ac:dyDescent="0.2">
      <c r="A910" s="29">
        <f>E909</f>
        <v>100000</v>
      </c>
      <c r="B910" s="29"/>
      <c r="C910" s="29"/>
      <c r="D910" s="29"/>
      <c r="E910" s="29">
        <v>175000</v>
      </c>
      <c r="F910" s="29">
        <f>IF(AND(F890&gt;A910, F890&lt;=E910),F890,0)</f>
        <v>0</v>
      </c>
      <c r="G910" s="29">
        <f>(12500/100*20)+(12500/100*25)+(25000/100*30)+(50000/100*40)+((55/100)*(-A910+F910))</f>
        <v>-21875.000000000007</v>
      </c>
      <c r="H910" s="29"/>
      <c r="I910" s="29"/>
      <c r="J910" s="29"/>
      <c r="K910" s="29"/>
      <c r="L910" s="29"/>
      <c r="M910" s="29"/>
    </row>
    <row r="911" spans="1:15" hidden="1" x14ac:dyDescent="0.2">
      <c r="A911" s="29">
        <v>175000</v>
      </c>
      <c r="B911" s="29"/>
      <c r="C911" s="29"/>
      <c r="D911" s="29"/>
      <c r="E911" s="29">
        <v>250000</v>
      </c>
      <c r="F911" s="29">
        <f>IF(AND(F890&gt;A911, F890&lt;=E911),F890,0)</f>
        <v>0</v>
      </c>
      <c r="G911" s="29">
        <f>(12500/100*20)+(12500/100*25)+(25000/100*30)+(50000/100*40)+(75000/100*55)+((60/100)*(-A911+F911))</f>
        <v>-30625</v>
      </c>
      <c r="H911" s="29"/>
      <c r="I911" s="29"/>
      <c r="J911" s="29"/>
      <c r="K911" s="29"/>
      <c r="L911" s="29"/>
      <c r="M911" s="29"/>
    </row>
    <row r="912" spans="1:15" hidden="1" x14ac:dyDescent="0.2">
      <c r="A912" s="29">
        <f>E911</f>
        <v>250000</v>
      </c>
      <c r="B912" s="29"/>
      <c r="C912" s="29"/>
      <c r="D912" s="29"/>
      <c r="E912" s="29">
        <v>999999999</v>
      </c>
      <c r="F912" s="29">
        <f>IF(AND(F890&gt;A912, F890&lt;=E912),F890,0)</f>
        <v>0</v>
      </c>
      <c r="G912" s="29">
        <f>(12500/100*20)+(12500/100*25)+(25000/100*30)+(50000/100*40)+(75000/100*55)+(75000/100*60)+((65/100)*(-A912+F912))</f>
        <v>-43125</v>
      </c>
      <c r="H912" s="29"/>
      <c r="I912" s="29"/>
      <c r="J912" s="29"/>
      <c r="K912" s="29"/>
      <c r="L912" s="29"/>
      <c r="M912" s="29"/>
    </row>
    <row r="913" spans="1:15" hidden="1" x14ac:dyDescent="0.2">
      <c r="A913" s="54" t="s">
        <v>7</v>
      </c>
      <c r="B913" s="54"/>
      <c r="C913" s="54"/>
      <c r="D913" s="54"/>
      <c r="E913" s="29"/>
      <c r="F913" s="29"/>
      <c r="G913" s="29">
        <f>VLOOKUP(F890,F906:G912,2,FALSE)</f>
        <v>0</v>
      </c>
      <c r="H913" s="29"/>
      <c r="I913" s="29"/>
      <c r="J913" s="29"/>
      <c r="K913" s="29"/>
      <c r="L913" s="29"/>
      <c r="M913" s="29"/>
    </row>
    <row r="914" spans="1:15" hidden="1" x14ac:dyDescent="0.2"/>
    <row r="915" spans="1:15" hidden="1" x14ac:dyDescent="0.2">
      <c r="E915" s="29"/>
      <c r="F915" s="29"/>
      <c r="G915" s="29"/>
      <c r="H915" s="32"/>
      <c r="I915" s="29"/>
      <c r="J915" s="33"/>
      <c r="M915" s="33"/>
      <c r="O915" s="33"/>
    </row>
    <row r="916" spans="1:15" hidden="1" x14ac:dyDescent="0.2">
      <c r="E916" s="29"/>
      <c r="F916" s="29"/>
      <c r="G916" s="29"/>
      <c r="H916" s="32"/>
      <c r="I916" s="29"/>
      <c r="J916" s="33"/>
      <c r="M916" s="33"/>
      <c r="O916" s="33"/>
    </row>
    <row r="917" spans="1:15" hidden="1" x14ac:dyDescent="0.2">
      <c r="E917" s="29"/>
      <c r="F917" s="29"/>
      <c r="G917" s="29"/>
      <c r="H917" s="32"/>
      <c r="I917" s="29"/>
      <c r="J917" s="33"/>
      <c r="M917" s="33"/>
      <c r="O917" s="33"/>
    </row>
    <row r="918" spans="1:15" hidden="1" x14ac:dyDescent="0.2">
      <c r="A918" s="52" t="s">
        <v>26</v>
      </c>
      <c r="B918" s="52"/>
      <c r="C918" s="52"/>
      <c r="D918" s="52"/>
      <c r="E918" s="29"/>
      <c r="F918" s="29"/>
      <c r="G918" s="53" t="s">
        <v>10</v>
      </c>
      <c r="H918" s="32"/>
      <c r="I918" s="52" t="s">
        <v>27</v>
      </c>
      <c r="J918" s="29"/>
      <c r="K918" s="29"/>
      <c r="L918" s="29"/>
      <c r="M918" s="53" t="s">
        <v>11</v>
      </c>
      <c r="O918" s="33"/>
    </row>
    <row r="919" spans="1:15" hidden="1" x14ac:dyDescent="0.2">
      <c r="A919" s="29">
        <v>0</v>
      </c>
      <c r="B919" s="29"/>
      <c r="C919" s="29"/>
      <c r="D919" s="29"/>
      <c r="E919" s="29">
        <v>50000</v>
      </c>
      <c r="F919" s="29">
        <f>IF(AND(F890&gt;A919, F890&lt;=E919),F890,0)</f>
        <v>0</v>
      </c>
      <c r="G919" s="29">
        <f>0+(35/100)*(-A919+F919)</f>
        <v>0</v>
      </c>
      <c r="H919" s="32"/>
      <c r="I919" s="29">
        <v>0</v>
      </c>
      <c r="J919" s="29">
        <v>50000</v>
      </c>
      <c r="K919" s="29">
        <f>IF(AND(F890&gt;I919, F890&lt;=J919),F890,0)</f>
        <v>0</v>
      </c>
      <c r="L919" s="29"/>
      <c r="M919" s="29">
        <f>0+(40/100)*(-I919+K919)</f>
        <v>0</v>
      </c>
      <c r="O919" s="33"/>
    </row>
    <row r="920" spans="1:15" hidden="1" x14ac:dyDescent="0.2">
      <c r="A920" s="29">
        <f>E919</f>
        <v>50000</v>
      </c>
      <c r="B920" s="29"/>
      <c r="C920" s="29"/>
      <c r="D920" s="29"/>
      <c r="E920" s="29">
        <v>100000</v>
      </c>
      <c r="F920" s="29">
        <f>IF(AND(F890&gt;A920, F890&lt;=E920),F890,0)</f>
        <v>0</v>
      </c>
      <c r="G920" s="29">
        <f>(50000/100*35)+((50/100)*(-A920+F920))</f>
        <v>-7500</v>
      </c>
      <c r="H920" s="32"/>
      <c r="I920" s="29">
        <f>J919</f>
        <v>50000</v>
      </c>
      <c r="J920" s="29">
        <v>75000</v>
      </c>
      <c r="K920" s="29">
        <f>IF(AND(F890&gt;I920, F890&lt;=J920),F890,0)</f>
        <v>0</v>
      </c>
      <c r="L920" s="29"/>
      <c r="M920" s="29">
        <f>(50000/100*40)+((55/100)*(-I920+K920))</f>
        <v>-7500.0000000000036</v>
      </c>
      <c r="O920" s="33"/>
    </row>
    <row r="921" spans="1:15" hidden="1" x14ac:dyDescent="0.2">
      <c r="A921" s="29">
        <f>E920</f>
        <v>100000</v>
      </c>
      <c r="B921" s="29"/>
      <c r="C921" s="29"/>
      <c r="D921" s="29"/>
      <c r="E921" s="29">
        <v>175000</v>
      </c>
      <c r="F921" s="29">
        <f>IF(AND(F890&gt;A921, F890&lt;=E921),F890,0)</f>
        <v>0</v>
      </c>
      <c r="G921" s="29">
        <f>(50000/100*35)+(50000/100*50)+((60/100)*(-A921+F921))</f>
        <v>-17500</v>
      </c>
      <c r="H921" s="32"/>
      <c r="I921" s="29">
        <f>J920</f>
        <v>75000</v>
      </c>
      <c r="J921" s="29">
        <v>175000</v>
      </c>
      <c r="K921" s="29">
        <f>IF(AND(F890&gt;I921, F890&lt;=J921),F890,0)</f>
        <v>0</v>
      </c>
      <c r="L921" s="29"/>
      <c r="M921" s="29">
        <f>(50000/100*40)+(25000/100*55)+((65/100)*(-I921+K921))</f>
        <v>-15000</v>
      </c>
      <c r="O921" s="33"/>
    </row>
    <row r="922" spans="1:15" hidden="1" x14ac:dyDescent="0.2">
      <c r="A922" s="29">
        <f>E921</f>
        <v>175000</v>
      </c>
      <c r="B922" s="29"/>
      <c r="C922" s="29"/>
      <c r="D922" s="29"/>
      <c r="E922" s="29">
        <v>999999999</v>
      </c>
      <c r="F922" s="29">
        <f>IF(AND(F890&gt;A922, F890&lt;=E922),F890,0)</f>
        <v>0</v>
      </c>
      <c r="G922" s="29">
        <f>(50000/100*35)+(50000/100*50)+(75000/100*60)+((70/100)*(-A922+F922))</f>
        <v>-34999.999999999985</v>
      </c>
      <c r="H922" s="32"/>
      <c r="I922" s="29">
        <f>J921</f>
        <v>175000</v>
      </c>
      <c r="J922" s="29">
        <v>999999999</v>
      </c>
      <c r="K922" s="29">
        <f>IF(AND(F890&gt;I922, F890&lt;=J922),F890,0)</f>
        <v>0</v>
      </c>
      <c r="L922" s="29"/>
      <c r="M922" s="29">
        <f>(50000/100*40)+(25000/100*55)+(100000/100*65)+((80/100)*(-I922+K922))</f>
        <v>-41250</v>
      </c>
      <c r="O922" s="33"/>
    </row>
    <row r="923" spans="1:15" hidden="1" x14ac:dyDescent="0.2">
      <c r="A923" s="29"/>
      <c r="B923" s="29"/>
      <c r="C923" s="29"/>
      <c r="D923" s="29"/>
      <c r="E923" s="29"/>
      <c r="F923" s="29"/>
      <c r="G923" s="29"/>
      <c r="H923" s="32"/>
      <c r="I923" s="29"/>
      <c r="J923" s="29"/>
      <c r="K923" s="29"/>
      <c r="L923" s="29"/>
      <c r="M923" s="29"/>
      <c r="O923" s="33"/>
    </row>
    <row r="924" spans="1:15" hidden="1" x14ac:dyDescent="0.2">
      <c r="A924" s="29"/>
      <c r="B924" s="29"/>
      <c r="C924" s="29"/>
      <c r="D924" s="29"/>
      <c r="E924" s="29"/>
      <c r="F924" s="29"/>
      <c r="G924" s="29"/>
      <c r="H924" s="32"/>
      <c r="I924" s="29"/>
      <c r="J924" s="29"/>
      <c r="K924" s="29"/>
      <c r="L924" s="29"/>
      <c r="M924" s="29"/>
      <c r="O924" s="33"/>
    </row>
    <row r="925" spans="1:15" hidden="1" x14ac:dyDescent="0.2">
      <c r="A925" s="29"/>
      <c r="B925" s="29"/>
      <c r="C925" s="29"/>
      <c r="D925" s="29"/>
      <c r="E925" s="29"/>
      <c r="F925" s="29"/>
      <c r="G925" s="29"/>
      <c r="H925" s="32"/>
      <c r="I925" s="29"/>
      <c r="J925" s="29"/>
      <c r="K925" s="29"/>
      <c r="L925" s="29"/>
      <c r="M925" s="29"/>
      <c r="O925" s="33"/>
    </row>
    <row r="926" spans="1:15" hidden="1" x14ac:dyDescent="0.2">
      <c r="A926" s="54" t="s">
        <v>7</v>
      </c>
      <c r="B926" s="54"/>
      <c r="C926" s="54"/>
      <c r="D926" s="54"/>
      <c r="E926" s="29"/>
      <c r="F926" s="29"/>
      <c r="G926" s="29">
        <f>VLOOKUP(F890,F919:G922,2,FALSE)</f>
        <v>0</v>
      </c>
      <c r="H926" s="32"/>
      <c r="I926" s="54" t="s">
        <v>7</v>
      </c>
      <c r="J926" s="29"/>
      <c r="K926" s="29"/>
      <c r="L926" s="29"/>
      <c r="M926" s="29">
        <f>VLOOKUP(F890,K919:M922,3,FALSE)</f>
        <v>0</v>
      </c>
      <c r="O926" s="33"/>
    </row>
    <row r="927" spans="1:15" hidden="1" x14ac:dyDescent="0.2">
      <c r="H927" s="32"/>
      <c r="O927" s="33"/>
    </row>
    <row r="928" spans="1:15" hidden="1" x14ac:dyDescent="0.2">
      <c r="E928" s="29"/>
      <c r="F928" s="29"/>
      <c r="G928" s="29"/>
      <c r="H928" s="32"/>
      <c r="J928" s="29"/>
      <c r="K928" s="29"/>
      <c r="L928" s="29"/>
      <c r="M928" s="29"/>
      <c r="O928" s="33"/>
    </row>
    <row r="929" spans="5:12" hidden="1" x14ac:dyDescent="0.2">
      <c r="E929" s="29"/>
      <c r="G929" s="29"/>
    </row>
    <row r="930" spans="5:12" hidden="1" x14ac:dyDescent="0.2"/>
    <row r="931" spans="5:12" hidden="1" x14ac:dyDescent="0.2">
      <c r="E931" s="9" t="s">
        <v>84</v>
      </c>
      <c r="F931" s="9" t="s">
        <v>91</v>
      </c>
    </row>
    <row r="932" spans="5:12" hidden="1" x14ac:dyDescent="0.2"/>
    <row r="933" spans="5:12" hidden="1" x14ac:dyDescent="0.2">
      <c r="E933" s="9" t="s">
        <v>84</v>
      </c>
      <c r="F933" s="9">
        <f>IF(J55=3,M898*12%,0)</f>
        <v>0</v>
      </c>
      <c r="G933" s="9">
        <f>IF(F933&gt;372,372,F933)</f>
        <v>0</v>
      </c>
      <c r="I933" s="9" t="s">
        <v>30</v>
      </c>
      <c r="J933" s="9">
        <f>M898*6%</f>
        <v>0</v>
      </c>
      <c r="K933" s="9">
        <f>IF(J933&gt;186,186,J933)</f>
        <v>0</v>
      </c>
      <c r="L933" s="9">
        <f>IF(J55=3,K933,0)</f>
        <v>0</v>
      </c>
    </row>
    <row r="934" spans="5:12" hidden="1" x14ac:dyDescent="0.2">
      <c r="F934" s="9">
        <f>IF(J55=4,M898*16%,0)</f>
        <v>0</v>
      </c>
      <c r="G934" s="9">
        <f>IF(F934&gt;496,496,F934)</f>
        <v>0</v>
      </c>
      <c r="I934" s="9" t="s">
        <v>31</v>
      </c>
      <c r="J934" s="9">
        <f>M898*8%</f>
        <v>0</v>
      </c>
      <c r="K934" s="9">
        <f>IF(J934&gt;248,248,J934)</f>
        <v>0</v>
      </c>
      <c r="L934" s="9">
        <f>IF(J55=4,K934,0)</f>
        <v>0</v>
      </c>
    </row>
    <row r="935" spans="5:12" hidden="1" x14ac:dyDescent="0.2">
      <c r="F935" s="9">
        <f>IF(J55=5,M898*20%,0)</f>
        <v>0</v>
      </c>
      <c r="G935" s="9">
        <f>IF(F935&gt;620,620,F935)</f>
        <v>0</v>
      </c>
      <c r="J935" s="9">
        <f>M898*10%</f>
        <v>0</v>
      </c>
      <c r="K935" s="9">
        <f>IF(J935&gt;310,310,J935)</f>
        <v>0</v>
      </c>
      <c r="L935" s="9">
        <f>IF(J55=5,K935,0)</f>
        <v>0</v>
      </c>
    </row>
    <row r="936" spans="5:12" hidden="1" x14ac:dyDescent="0.2">
      <c r="F936" s="9">
        <f>IF(J55=6,M898*24%,0)</f>
        <v>0</v>
      </c>
      <c r="G936" s="9">
        <f>IF(F936&gt;744,744,F936)</f>
        <v>0</v>
      </c>
      <c r="J936" s="9">
        <f>M898*12%</f>
        <v>0</v>
      </c>
      <c r="K936" s="9">
        <f>IF(J936&gt;372,372,J936)</f>
        <v>0</v>
      </c>
      <c r="L936" s="9">
        <f>IF(J55=6,K936,0)</f>
        <v>0</v>
      </c>
    </row>
    <row r="937" spans="5:12" hidden="1" x14ac:dyDescent="0.2">
      <c r="F937" s="9">
        <f>IF(J55=7,M898*28%,0)</f>
        <v>0</v>
      </c>
      <c r="G937" s="9">
        <f>IF(F937&gt;868,868,F937)</f>
        <v>0</v>
      </c>
      <c r="J937" s="9">
        <f>M898*14%</f>
        <v>0</v>
      </c>
      <c r="K937" s="9">
        <f>IF(J937&gt;434,434,J937)</f>
        <v>0</v>
      </c>
      <c r="L937" s="9">
        <f>IF(J55=7,K937,0)</f>
        <v>0</v>
      </c>
    </row>
    <row r="938" spans="5:12" hidden="1" x14ac:dyDescent="0.2">
      <c r="F938" s="9">
        <f>IF(J55=8,M898*32%,0)</f>
        <v>0</v>
      </c>
      <c r="G938" s="9">
        <f>IF(F938&gt;992,992,F938)</f>
        <v>0</v>
      </c>
      <c r="J938" s="9">
        <f>M898*16%</f>
        <v>0</v>
      </c>
      <c r="K938" s="9">
        <f>IF(J938&gt;496,496,J938)</f>
        <v>0</v>
      </c>
      <c r="L938" s="9">
        <f>IF(J55=8,K938,0)</f>
        <v>0</v>
      </c>
    </row>
    <row r="939" spans="5:12" hidden="1" x14ac:dyDescent="0.2">
      <c r="F939" s="9">
        <f>IF(J55=9,M898*36%,0)</f>
        <v>0</v>
      </c>
      <c r="G939" s="9">
        <f>IF(F939&gt;1116,1116,F939)</f>
        <v>0</v>
      </c>
      <c r="J939" s="9">
        <f>M898*18%</f>
        <v>0</v>
      </c>
      <c r="K939" s="9">
        <f>IF(J939&gt;558,558,J939)</f>
        <v>0</v>
      </c>
      <c r="L939" s="9">
        <f>IF(J55=9,K939,0)</f>
        <v>0</v>
      </c>
    </row>
    <row r="940" spans="5:12" hidden="1" x14ac:dyDescent="0.2">
      <c r="F940" s="9">
        <f>IF(J55=10,M898*40%,0)</f>
        <v>0</v>
      </c>
      <c r="G940" s="9">
        <f>IF(F940&gt;1240,1240,F940)</f>
        <v>0</v>
      </c>
      <c r="J940" s="9">
        <f>M898*20%</f>
        <v>0</v>
      </c>
      <c r="K940" s="9">
        <f>IF(J940&gt;620,620,J940)</f>
        <v>0</v>
      </c>
      <c r="L940" s="9">
        <f>IF(J55=10,K940,0)</f>
        <v>0</v>
      </c>
    </row>
    <row r="941" spans="5:12" hidden="1" x14ac:dyDescent="0.2"/>
    <row r="942" spans="5:12" hidden="1" x14ac:dyDescent="0.2">
      <c r="G942" s="9">
        <f>SUM(G933:G941)</f>
        <v>0</v>
      </c>
      <c r="L942" s="9">
        <f>SUM(L933:L941)</f>
        <v>0</v>
      </c>
    </row>
    <row r="943" spans="5:12" hidden="1" x14ac:dyDescent="0.2">
      <c r="G943" s="22"/>
    </row>
    <row r="944" spans="5:12" hidden="1" x14ac:dyDescent="0.2">
      <c r="G944" s="22"/>
    </row>
    <row r="945" spans="5:9" hidden="1" x14ac:dyDescent="0.2">
      <c r="G945" s="22"/>
    </row>
    <row r="946" spans="5:9" hidden="1" x14ac:dyDescent="0.2">
      <c r="E946" s="9" t="s">
        <v>32</v>
      </c>
      <c r="F946" s="23">
        <f>M898-G942</f>
        <v>0</v>
      </c>
      <c r="G946" s="22"/>
      <c r="H946" s="9" t="s">
        <v>33</v>
      </c>
      <c r="I946" s="56">
        <f>M898-L942</f>
        <v>0</v>
      </c>
    </row>
    <row r="947" spans="5:9" hidden="1" x14ac:dyDescent="0.2">
      <c r="E947" s="29"/>
      <c r="G947" s="29"/>
    </row>
    <row r="948" spans="5:9" hidden="1" x14ac:dyDescent="0.2">
      <c r="E948" s="29"/>
      <c r="G948" s="29"/>
    </row>
    <row r="949" spans="5:9" hidden="1" x14ac:dyDescent="0.2">
      <c r="E949" s="29"/>
      <c r="G949" s="29"/>
    </row>
    <row r="950" spans="5:9" hidden="1" x14ac:dyDescent="0.2">
      <c r="E950" s="29"/>
      <c r="G950" s="29"/>
    </row>
    <row r="951" spans="5:9" hidden="1" x14ac:dyDescent="0.2">
      <c r="E951" s="29"/>
      <c r="G951" s="29"/>
    </row>
    <row r="952" spans="5:9" hidden="1" x14ac:dyDescent="0.2">
      <c r="E952" s="29"/>
      <c r="G952" s="29"/>
    </row>
    <row r="953" spans="5:9" hidden="1" x14ac:dyDescent="0.2">
      <c r="E953" s="29"/>
      <c r="G953" s="29"/>
    </row>
    <row r="954" spans="5:9" hidden="1" x14ac:dyDescent="0.2">
      <c r="E954" s="29"/>
      <c r="G954" s="29"/>
    </row>
    <row r="955" spans="5:9" hidden="1" x14ac:dyDescent="0.2">
      <c r="E955" s="29"/>
      <c r="G955" s="29"/>
    </row>
    <row r="956" spans="5:9" hidden="1" x14ac:dyDescent="0.2">
      <c r="E956" s="29"/>
      <c r="G956" s="29"/>
    </row>
    <row r="957" spans="5:9" hidden="1" x14ac:dyDescent="0.2">
      <c r="E957" s="29"/>
      <c r="G957" s="29"/>
    </row>
    <row r="958" spans="5:9" hidden="1" x14ac:dyDescent="0.2">
      <c r="E958" s="29"/>
      <c r="G958" s="29"/>
    </row>
    <row r="959" spans="5:9" hidden="1" x14ac:dyDescent="0.2">
      <c r="E959" s="29"/>
      <c r="G959" s="29"/>
    </row>
    <row r="960" spans="5:9" hidden="1" x14ac:dyDescent="0.2">
      <c r="E960" s="29"/>
      <c r="G960" s="29"/>
    </row>
    <row r="961" spans="5:7" hidden="1" x14ac:dyDescent="0.2">
      <c r="E961" s="29"/>
      <c r="G961" s="29"/>
    </row>
    <row r="962" spans="5:7" hidden="1" x14ac:dyDescent="0.2">
      <c r="E962" s="29"/>
      <c r="G962" s="29"/>
    </row>
    <row r="963" spans="5:7" hidden="1" x14ac:dyDescent="0.2">
      <c r="E963" s="29"/>
      <c r="G963" s="29"/>
    </row>
    <row r="964" spans="5:7" hidden="1" x14ac:dyDescent="0.2">
      <c r="E964" s="29"/>
      <c r="G964" s="29"/>
    </row>
    <row r="965" spans="5:7" hidden="1" x14ac:dyDescent="0.2">
      <c r="E965" s="29"/>
      <c r="G965" s="29"/>
    </row>
    <row r="966" spans="5:7" hidden="1" x14ac:dyDescent="0.2">
      <c r="E966" s="29"/>
      <c r="G966" s="29"/>
    </row>
    <row r="967" spans="5:7" hidden="1" x14ac:dyDescent="0.2">
      <c r="E967" s="29"/>
      <c r="G967" s="29"/>
    </row>
    <row r="968" spans="5:7" hidden="1" x14ac:dyDescent="0.2">
      <c r="E968" s="29"/>
      <c r="G968" s="29"/>
    </row>
    <row r="969" spans="5:7" hidden="1" x14ac:dyDescent="0.2">
      <c r="E969" s="29"/>
      <c r="G969" s="29"/>
    </row>
    <row r="970" spans="5:7" hidden="1" x14ac:dyDescent="0.2">
      <c r="E970" s="29"/>
      <c r="G970" s="29"/>
    </row>
    <row r="971" spans="5:7" hidden="1" x14ac:dyDescent="0.2">
      <c r="E971" s="29"/>
      <c r="G971" s="29"/>
    </row>
    <row r="972" spans="5:7" hidden="1" x14ac:dyDescent="0.2">
      <c r="E972" s="29"/>
      <c r="G972" s="29"/>
    </row>
    <row r="973" spans="5:7" hidden="1" x14ac:dyDescent="0.2">
      <c r="E973" s="29"/>
      <c r="G973" s="29"/>
    </row>
    <row r="974" spans="5:7" hidden="1" x14ac:dyDescent="0.2">
      <c r="E974" s="29"/>
      <c r="G974" s="29"/>
    </row>
    <row r="975" spans="5:7" hidden="1" x14ac:dyDescent="0.2">
      <c r="E975" s="29"/>
      <c r="G975" s="29"/>
    </row>
    <row r="976" spans="5:7" hidden="1" x14ac:dyDescent="0.2">
      <c r="E976" s="29"/>
      <c r="G976" s="29"/>
    </row>
    <row r="977" spans="1:15" hidden="1" x14ac:dyDescent="0.2">
      <c r="E977" s="29"/>
      <c r="G977" s="29"/>
    </row>
    <row r="978" spans="1:15" hidden="1" x14ac:dyDescent="0.2">
      <c r="E978" s="29"/>
      <c r="G978" s="29"/>
    </row>
    <row r="979" spans="1:15" hidden="1" x14ac:dyDescent="0.2">
      <c r="E979" s="29"/>
      <c r="G979" s="29"/>
    </row>
    <row r="980" spans="1:15" hidden="1" x14ac:dyDescent="0.2">
      <c r="E980" s="29"/>
      <c r="G980" s="29"/>
    </row>
    <row r="981" spans="1:15" hidden="1" x14ac:dyDescent="0.2">
      <c r="E981" s="29"/>
      <c r="G981" s="29"/>
    </row>
    <row r="982" spans="1:15" hidden="1" x14ac:dyDescent="0.2">
      <c r="E982" s="29"/>
      <c r="G982" s="29"/>
    </row>
    <row r="983" spans="1:15" hidden="1" x14ac:dyDescent="0.2">
      <c r="E983" s="29"/>
      <c r="G983" s="29"/>
    </row>
    <row r="984" spans="1:15" hidden="1" x14ac:dyDescent="0.2">
      <c r="E984" s="29"/>
      <c r="G984" s="29"/>
    </row>
    <row r="985" spans="1:15" hidden="1" x14ac:dyDescent="0.2">
      <c r="E985" s="29"/>
      <c r="G985" s="29"/>
    </row>
    <row r="986" spans="1:15" hidden="1" x14ac:dyDescent="0.2">
      <c r="E986" s="29"/>
      <c r="G986" s="29"/>
    </row>
    <row r="987" spans="1:15" hidden="1" x14ac:dyDescent="0.2">
      <c r="E987" s="29"/>
      <c r="G987" s="29"/>
    </row>
    <row r="988" spans="1:15" hidden="1" x14ac:dyDescent="0.2">
      <c r="E988" s="29"/>
      <c r="G988" s="29"/>
    </row>
    <row r="989" spans="1:15" hidden="1" x14ac:dyDescent="0.2">
      <c r="E989" s="29"/>
      <c r="G989" s="29"/>
    </row>
    <row r="990" spans="1:15" hidden="1" x14ac:dyDescent="0.2">
      <c r="E990" s="29"/>
      <c r="G990" s="29"/>
    </row>
    <row r="991" spans="1:15" ht="13.5" hidden="1" thickBot="1" x14ac:dyDescent="0.25">
      <c r="E991" s="29"/>
      <c r="G991" s="29"/>
    </row>
    <row r="992" spans="1:15" ht="13.5" hidden="1" thickTop="1" x14ac:dyDescent="0.2">
      <c r="A992" s="42"/>
      <c r="B992" s="42"/>
      <c r="C992" s="42"/>
      <c r="D992" s="42"/>
      <c r="E992" s="43"/>
      <c r="F992" s="44"/>
      <c r="G992" s="43"/>
      <c r="H992" s="43"/>
      <c r="I992" s="45"/>
      <c r="J992" s="46"/>
      <c r="K992" s="45"/>
      <c r="L992" s="45"/>
      <c r="M992" s="45"/>
      <c r="N992" s="47"/>
      <c r="O992" s="48"/>
    </row>
    <row r="993" spans="1:15" hidden="1" x14ac:dyDescent="0.2">
      <c r="A993" s="29" t="s">
        <v>4</v>
      </c>
      <c r="B993" s="29"/>
      <c r="C993" s="29"/>
      <c r="D993" s="29"/>
      <c r="E993" s="29"/>
      <c r="F993" s="29">
        <f>G60</f>
        <v>0</v>
      </c>
      <c r="G993" s="49"/>
      <c r="H993" s="29"/>
      <c r="I993" s="29"/>
      <c r="J993" s="50"/>
      <c r="K993" s="29"/>
      <c r="L993" s="29"/>
      <c r="M993" s="29">
        <f>IF(AND(I60="oui",F60="ligne directe"),H1005,0)</f>
        <v>0</v>
      </c>
      <c r="O993" s="51"/>
    </row>
    <row r="994" spans="1:15" hidden="1" x14ac:dyDescent="0.2">
      <c r="A994" s="29"/>
      <c r="B994" s="29"/>
      <c r="C994" s="29"/>
      <c r="D994" s="29"/>
      <c r="E994" s="29"/>
      <c r="F994" s="29"/>
      <c r="G994" s="29"/>
      <c r="H994" s="29"/>
      <c r="I994" s="29"/>
      <c r="J994" s="50"/>
      <c r="K994" s="29"/>
      <c r="L994" s="29"/>
      <c r="M994" s="29">
        <f>IF(AND(I60="oui",F60="épou(x)(se)"),H1005,0)</f>
        <v>0</v>
      </c>
      <c r="O994" s="51"/>
    </row>
    <row r="995" spans="1:15" hidden="1" x14ac:dyDescent="0.2">
      <c r="A995" s="52" t="s">
        <v>5</v>
      </c>
      <c r="B995" s="52"/>
      <c r="C995" s="52"/>
      <c r="D995" s="52"/>
      <c r="E995" s="29"/>
      <c r="F995" s="29"/>
      <c r="G995" s="53" t="s">
        <v>6</v>
      </c>
      <c r="H995" s="53" t="s">
        <v>25</v>
      </c>
      <c r="I995" s="29"/>
      <c r="J995" s="50"/>
      <c r="K995" s="29"/>
      <c r="L995" s="29"/>
      <c r="M995" s="29">
        <f>IF(AND(I60="non",F60="ligne directe"),G1005,0)</f>
        <v>0</v>
      </c>
      <c r="O995" s="51"/>
    </row>
    <row r="996" spans="1:15" hidden="1" x14ac:dyDescent="0.2">
      <c r="A996" s="29">
        <v>0</v>
      </c>
      <c r="B996" s="29"/>
      <c r="C996" s="29"/>
      <c r="D996" s="29"/>
      <c r="E996" s="29">
        <v>50000</v>
      </c>
      <c r="F996" s="29">
        <f>IF(AND(F993&gt;A996, F993&lt;=E996),F993,0)</f>
        <v>0</v>
      </c>
      <c r="G996" s="29">
        <f>0+(3/100)*(-A996+F996)</f>
        <v>0</v>
      </c>
      <c r="H996" s="29">
        <f>0+(2/100)*(-A996+F996)</f>
        <v>0</v>
      </c>
      <c r="I996" s="29"/>
      <c r="J996" s="50"/>
      <c r="K996" s="29"/>
      <c r="L996" s="29"/>
      <c r="M996" s="29">
        <f>IF(AND(I60="non",F60="épou(x)(se)"),G1005,0)</f>
        <v>0</v>
      </c>
      <c r="O996" s="51"/>
    </row>
    <row r="997" spans="1:15" hidden="1" x14ac:dyDescent="0.2">
      <c r="A997" s="29">
        <f>E996</f>
        <v>50000</v>
      </c>
      <c r="B997" s="29"/>
      <c r="C997" s="29"/>
      <c r="D997" s="29"/>
      <c r="E997" s="29">
        <v>100000</v>
      </c>
      <c r="F997" s="29">
        <f>IF(AND(F993&gt;A997, F993&lt;=E997),F993,0)</f>
        <v>0</v>
      </c>
      <c r="G997" s="29">
        <f>(50000/100*3)+(8/100)*(-A997+F997)</f>
        <v>-2500</v>
      </c>
      <c r="H997" s="29">
        <f>(50000/100*2)+(5.3/100)*(-A997+F997)</f>
        <v>-1650</v>
      </c>
      <c r="I997" s="29"/>
      <c r="J997" s="50"/>
      <c r="K997" s="29"/>
      <c r="L997" s="29"/>
      <c r="M997" s="29">
        <f>IF(F60="frère/soeur",G1016,0)</f>
        <v>0</v>
      </c>
      <c r="O997" s="51"/>
    </row>
    <row r="998" spans="1:15" hidden="1" x14ac:dyDescent="0.2">
      <c r="A998" s="29">
        <f>E997</f>
        <v>100000</v>
      </c>
      <c r="B998" s="29"/>
      <c r="C998" s="29"/>
      <c r="D998" s="29"/>
      <c r="E998" s="29">
        <v>175000</v>
      </c>
      <c r="F998" s="29">
        <f>IF(AND(F993&gt;A998, F993&lt;=E998),F993,0)</f>
        <v>0</v>
      </c>
      <c r="G998" s="29">
        <f>(50000/100*3)+(50000/100*8)+((9/100)*(-A998+F998))</f>
        <v>-3500</v>
      </c>
      <c r="H998" s="29">
        <f>(50000/100*2)+(50000/100*5.3)+((6/100)*(-A998+F998))</f>
        <v>-2350</v>
      </c>
      <c r="I998" s="29"/>
      <c r="J998" s="50"/>
      <c r="K998" s="29"/>
      <c r="L998" s="29"/>
      <c r="M998" s="29">
        <f>IF(F60="oncle-tante/neveu-nièce",G1029,0)</f>
        <v>0</v>
      </c>
      <c r="O998" s="51"/>
    </row>
    <row r="999" spans="1:15" hidden="1" x14ac:dyDescent="0.2">
      <c r="A999" s="29">
        <f>E998</f>
        <v>175000</v>
      </c>
      <c r="B999" s="29"/>
      <c r="C999" s="29"/>
      <c r="D999" s="29"/>
      <c r="E999" s="29">
        <v>250000</v>
      </c>
      <c r="F999" s="29">
        <f>IF(AND(F993&gt;A999, F993&lt;=E999),F993,0)</f>
        <v>0</v>
      </c>
      <c r="G999" s="29">
        <f>(50000/100*3)+(50000/100*8)+(75000/100*9)+((18/100)*(-A999+F999))</f>
        <v>-19250</v>
      </c>
      <c r="H999" s="29">
        <f>(50000/100*2)+(50000/100*5.3)+(75000/100*6)+((12/100)*(-A999+F999))</f>
        <v>-12850</v>
      </c>
      <c r="I999" s="29"/>
      <c r="J999" s="50"/>
      <c r="K999" s="29"/>
      <c r="L999" s="29"/>
      <c r="M999" s="29">
        <f>IF(F60="étrangers",M1029,0)</f>
        <v>0</v>
      </c>
      <c r="O999" s="51"/>
    </row>
    <row r="1000" spans="1:15" hidden="1" x14ac:dyDescent="0.2">
      <c r="A1000" s="29">
        <f>E999</f>
        <v>250000</v>
      </c>
      <c r="B1000" s="29"/>
      <c r="C1000" s="29"/>
      <c r="D1000" s="29"/>
      <c r="E1000" s="29">
        <v>500000</v>
      </c>
      <c r="F1000" s="29">
        <f>IF(AND(F993&gt;A1000, F993&lt;=E1000),F993,0)</f>
        <v>0</v>
      </c>
      <c r="G1000" s="29">
        <f>(50000/100*3)+(50000/100*8)+(75000/100*9)+(75000/100*18)+((24/100)*(-A1000+F1000))</f>
        <v>-34250</v>
      </c>
      <c r="H1000" s="29">
        <f>(50000/100*2)+(50000/100*5.3)+(75000/100*6)+(75000/100*12)+((24/100)*(-A1000+F1000))</f>
        <v>-42850</v>
      </c>
      <c r="I1000" s="29"/>
      <c r="J1000" s="29"/>
      <c r="K1000" s="29"/>
      <c r="L1000" s="29"/>
      <c r="M1000" s="29"/>
      <c r="O1000" s="51"/>
    </row>
    <row r="1001" spans="1:15" hidden="1" x14ac:dyDescent="0.2">
      <c r="A1001" s="29">
        <f>E1000</f>
        <v>500000</v>
      </c>
      <c r="B1001" s="29"/>
      <c r="C1001" s="29"/>
      <c r="D1001" s="29"/>
      <c r="E1001" s="29">
        <v>999999999</v>
      </c>
      <c r="F1001" s="29">
        <f>IF(AND(F993&gt;A1001, F993&lt;=E1001),F993,0)</f>
        <v>0</v>
      </c>
      <c r="G1001" s="29">
        <f>(50000/100*3)+(50000/100*8)+(75000/100*9)+(75000/100*18)+(250000/100*24)+((30/100)*(-A1001+F1001))</f>
        <v>-64250</v>
      </c>
      <c r="H1001" s="29">
        <f>(50000/100*2)+(50000/100*5.3)+(75000/100*6)+(75000/100*12)+(250000/100*24)+((30/100)*(-A1001+F1001))</f>
        <v>-72850</v>
      </c>
      <c r="I1001" s="29"/>
      <c r="J1001" s="29"/>
      <c r="K1001" s="29"/>
      <c r="L1001" s="29"/>
      <c r="M1001" s="29">
        <f>SUM(M993:M1000)</f>
        <v>0</v>
      </c>
      <c r="O1001" s="51"/>
    </row>
    <row r="1002" spans="1:15" hidden="1" x14ac:dyDescent="0.2">
      <c r="A1002" s="29"/>
      <c r="B1002" s="29"/>
      <c r="C1002" s="29"/>
      <c r="D1002" s="29"/>
      <c r="E1002" s="29"/>
      <c r="F1002" s="29"/>
      <c r="G1002" s="29"/>
      <c r="H1002" s="29"/>
      <c r="I1002" s="29"/>
      <c r="J1002" s="29"/>
      <c r="K1002" s="29"/>
      <c r="L1002" s="29"/>
      <c r="M1002" s="29"/>
      <c r="O1002" s="51"/>
    </row>
    <row r="1003" spans="1:15" hidden="1" x14ac:dyDescent="0.2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  <c r="L1003" s="29"/>
      <c r="M1003" s="29"/>
      <c r="O1003" s="51"/>
    </row>
    <row r="1004" spans="1:15" hidden="1" x14ac:dyDescent="0.2">
      <c r="A1004" s="29"/>
      <c r="B1004" s="29"/>
      <c r="C1004" s="29"/>
      <c r="D1004" s="29"/>
      <c r="E1004" s="29"/>
      <c r="F1004" s="29"/>
      <c r="G1004" s="29"/>
      <c r="H1004" s="29"/>
      <c r="I1004" s="29"/>
      <c r="J1004" s="29"/>
      <c r="K1004" s="29"/>
      <c r="L1004" s="29"/>
      <c r="M1004" s="29"/>
      <c r="O1004" s="51"/>
    </row>
    <row r="1005" spans="1:15" hidden="1" x14ac:dyDescent="0.2">
      <c r="A1005" s="54" t="s">
        <v>7</v>
      </c>
      <c r="B1005" s="54"/>
      <c r="C1005" s="54"/>
      <c r="D1005" s="54"/>
      <c r="E1005" s="29"/>
      <c r="F1005" s="29"/>
      <c r="G1005" s="29">
        <f>VLOOKUP(F993,F996:G1001,2,FALSE)</f>
        <v>0</v>
      </c>
      <c r="H1005" s="29">
        <f>VLOOKUP(F993,F996:H1001,3,FALSE)</f>
        <v>0</v>
      </c>
      <c r="I1005" s="29"/>
      <c r="J1005" s="29"/>
      <c r="K1005" s="29"/>
      <c r="L1005" s="29"/>
      <c r="M1005" s="29"/>
      <c r="O1005" s="51"/>
    </row>
    <row r="1006" spans="1:15" hidden="1" x14ac:dyDescent="0.2">
      <c r="A1006" s="29"/>
      <c r="B1006" s="29"/>
      <c r="C1006" s="29"/>
      <c r="D1006" s="29"/>
      <c r="E1006" s="29"/>
      <c r="F1006" s="29"/>
      <c r="G1006" s="29"/>
      <c r="H1006" s="29"/>
      <c r="I1006" s="29"/>
      <c r="J1006" s="29"/>
      <c r="K1006" s="29"/>
      <c r="L1006" s="29"/>
      <c r="M1006" s="29"/>
      <c r="O1006" s="51"/>
    </row>
    <row r="1007" spans="1:15" hidden="1" x14ac:dyDescent="0.2">
      <c r="A1007" s="29"/>
      <c r="B1007" s="29"/>
      <c r="C1007" s="29"/>
      <c r="D1007" s="29"/>
      <c r="E1007" s="29"/>
      <c r="F1007" s="29"/>
      <c r="G1007" s="29"/>
      <c r="H1007" s="29"/>
      <c r="I1007" s="29"/>
      <c r="J1007" s="29"/>
      <c r="K1007" s="29"/>
      <c r="L1007" s="29"/>
      <c r="M1007" s="29"/>
      <c r="O1007" s="51"/>
    </row>
    <row r="1008" spans="1:15" hidden="1" x14ac:dyDescent="0.2">
      <c r="A1008" s="52" t="s">
        <v>8</v>
      </c>
      <c r="B1008" s="52"/>
      <c r="C1008" s="52"/>
      <c r="D1008" s="52"/>
      <c r="E1008" s="29"/>
      <c r="F1008" s="29"/>
      <c r="G1008" s="53" t="s">
        <v>9</v>
      </c>
      <c r="H1008" s="53"/>
      <c r="I1008" s="42"/>
      <c r="J1008" s="42"/>
      <c r="K1008" s="42"/>
      <c r="L1008" s="42"/>
      <c r="M1008" s="42"/>
    </row>
    <row r="1009" spans="1:15" hidden="1" x14ac:dyDescent="0.2">
      <c r="A1009" s="29">
        <v>0</v>
      </c>
      <c r="B1009" s="29"/>
      <c r="C1009" s="29"/>
      <c r="D1009" s="29"/>
      <c r="E1009" s="29">
        <v>12500</v>
      </c>
      <c r="F1009" s="29">
        <f>IF(AND(F993&gt;A1009, F993&lt;=E1009),F993,0)</f>
        <v>0</v>
      </c>
      <c r="G1009" s="29">
        <f>0+(20/100)*(-A1009+F1009)</f>
        <v>0</v>
      </c>
      <c r="H1009" s="29"/>
      <c r="I1009" s="29"/>
      <c r="J1009" s="29"/>
      <c r="K1009" s="29"/>
      <c r="L1009" s="29"/>
      <c r="M1009" s="29"/>
    </row>
    <row r="1010" spans="1:15" hidden="1" x14ac:dyDescent="0.2">
      <c r="A1010" s="29">
        <f>E1009</f>
        <v>12500</v>
      </c>
      <c r="B1010" s="29"/>
      <c r="C1010" s="29"/>
      <c r="D1010" s="29"/>
      <c r="E1010" s="29">
        <v>25000</v>
      </c>
      <c r="F1010" s="29">
        <f>IF(AND(F993&gt;A1010, F993&lt;=E1010),F993,0)</f>
        <v>0</v>
      </c>
      <c r="G1010" s="29">
        <f>(12500/100*20)+((25/100)*(-A1010+F1010))</f>
        <v>-625</v>
      </c>
      <c r="H1010" s="29"/>
      <c r="I1010" s="29"/>
      <c r="J1010" s="29"/>
      <c r="K1010" s="29"/>
      <c r="L1010" s="29"/>
      <c r="M1010" s="29"/>
    </row>
    <row r="1011" spans="1:15" hidden="1" x14ac:dyDescent="0.2">
      <c r="A1011" s="29">
        <f>E1010</f>
        <v>25000</v>
      </c>
      <c r="B1011" s="29"/>
      <c r="C1011" s="29"/>
      <c r="D1011" s="29"/>
      <c r="E1011" s="29">
        <v>50000</v>
      </c>
      <c r="F1011" s="29">
        <f>IF(AND(F993&gt;A1011, F993&lt;=E1011),F993,0)</f>
        <v>0</v>
      </c>
      <c r="G1011" s="29">
        <f>(12500/100*20)+(12500/100*25)+((30/100)*(-A1011+F1011))</f>
        <v>-1875</v>
      </c>
      <c r="H1011" s="29"/>
      <c r="I1011" s="29"/>
      <c r="J1011" s="29"/>
      <c r="K1011" s="29"/>
      <c r="L1011" s="29"/>
      <c r="M1011" s="29"/>
    </row>
    <row r="1012" spans="1:15" hidden="1" x14ac:dyDescent="0.2">
      <c r="A1012" s="29">
        <f>E1011</f>
        <v>50000</v>
      </c>
      <c r="B1012" s="29"/>
      <c r="C1012" s="29"/>
      <c r="D1012" s="29"/>
      <c r="E1012" s="29">
        <v>100000</v>
      </c>
      <c r="F1012" s="29">
        <f>IF(AND(F993&gt;A1012, F993&lt;=E1012),F993,0)</f>
        <v>0</v>
      </c>
      <c r="G1012" s="29">
        <f>(12500/100*20)+(12500/100*25)+(25000/100*30)+((40/100)*(-A1012+F1012))</f>
        <v>-6875</v>
      </c>
      <c r="H1012" s="29"/>
      <c r="I1012" s="29"/>
      <c r="J1012" s="29"/>
      <c r="K1012" s="29"/>
      <c r="L1012" s="29"/>
      <c r="M1012" s="29"/>
    </row>
    <row r="1013" spans="1:15" hidden="1" x14ac:dyDescent="0.2">
      <c r="A1013" s="29">
        <f>E1012</f>
        <v>100000</v>
      </c>
      <c r="B1013" s="29"/>
      <c r="C1013" s="29"/>
      <c r="D1013" s="29"/>
      <c r="E1013" s="29">
        <v>175000</v>
      </c>
      <c r="F1013" s="29">
        <f>IF(AND(F993&gt;A1013, F993&lt;=E1013),F993,0)</f>
        <v>0</v>
      </c>
      <c r="G1013" s="29">
        <f>(12500/100*20)+(12500/100*25)+(25000/100*30)+(50000/100*40)+((55/100)*(-A1013+F1013))</f>
        <v>-21875.000000000007</v>
      </c>
      <c r="H1013" s="29"/>
      <c r="I1013" s="29"/>
      <c r="J1013" s="29"/>
      <c r="K1013" s="29"/>
      <c r="L1013" s="29"/>
      <c r="M1013" s="29"/>
    </row>
    <row r="1014" spans="1:15" hidden="1" x14ac:dyDescent="0.2">
      <c r="A1014" s="29">
        <v>175000</v>
      </c>
      <c r="B1014" s="29"/>
      <c r="C1014" s="29"/>
      <c r="D1014" s="29"/>
      <c r="E1014" s="29">
        <v>250000</v>
      </c>
      <c r="F1014" s="29">
        <f>IF(AND(F993&gt;A1014, F993&lt;=E1014),F993,0)</f>
        <v>0</v>
      </c>
      <c r="G1014" s="29">
        <f>(12500/100*20)+(12500/100*25)+(25000/100*30)+(50000/100*40)+(75000/100*55)+((60/100)*(-A1014+F1014))</f>
        <v>-30625</v>
      </c>
      <c r="H1014" s="29"/>
      <c r="I1014" s="29"/>
      <c r="J1014" s="29"/>
      <c r="K1014" s="29"/>
      <c r="L1014" s="29"/>
      <c r="M1014" s="29"/>
    </row>
    <row r="1015" spans="1:15" hidden="1" x14ac:dyDescent="0.2">
      <c r="A1015" s="29">
        <f>E1014</f>
        <v>250000</v>
      </c>
      <c r="B1015" s="29"/>
      <c r="C1015" s="29"/>
      <c r="D1015" s="29"/>
      <c r="E1015" s="29">
        <v>999999999</v>
      </c>
      <c r="F1015" s="29">
        <f>IF(AND(F993&gt;A1015, F993&lt;=E1015),F993,0)</f>
        <v>0</v>
      </c>
      <c r="G1015" s="29">
        <f>(12500/100*20)+(12500/100*25)+(25000/100*30)+(50000/100*40)+(75000/100*55)+(75000/100*60)+((65/100)*(-A1015+F1015))</f>
        <v>-43125</v>
      </c>
      <c r="H1015" s="29"/>
      <c r="I1015" s="29"/>
      <c r="J1015" s="29"/>
      <c r="K1015" s="29"/>
      <c r="L1015" s="29"/>
      <c r="M1015" s="29"/>
    </row>
    <row r="1016" spans="1:15" hidden="1" x14ac:dyDescent="0.2">
      <c r="A1016" s="54" t="s">
        <v>7</v>
      </c>
      <c r="B1016" s="54"/>
      <c r="C1016" s="54"/>
      <c r="D1016" s="54"/>
      <c r="E1016" s="29"/>
      <c r="F1016" s="29"/>
      <c r="G1016" s="29">
        <f>VLOOKUP(F993,F1009:G1015,2,FALSE)</f>
        <v>0</v>
      </c>
      <c r="H1016" s="29"/>
      <c r="I1016" s="29"/>
      <c r="J1016" s="29"/>
      <c r="K1016" s="29"/>
      <c r="L1016" s="29"/>
      <c r="M1016" s="29"/>
    </row>
    <row r="1017" spans="1:15" hidden="1" x14ac:dyDescent="0.2"/>
    <row r="1018" spans="1:15" hidden="1" x14ac:dyDescent="0.2">
      <c r="E1018" s="29"/>
      <c r="F1018" s="29"/>
      <c r="G1018" s="29"/>
      <c r="H1018" s="32"/>
      <c r="I1018" s="29"/>
      <c r="J1018" s="33"/>
      <c r="M1018" s="33"/>
      <c r="O1018" s="33"/>
    </row>
    <row r="1019" spans="1:15" hidden="1" x14ac:dyDescent="0.2">
      <c r="E1019" s="29"/>
      <c r="F1019" s="29"/>
      <c r="G1019" s="29"/>
      <c r="H1019" s="32"/>
      <c r="I1019" s="29"/>
      <c r="J1019" s="33"/>
      <c r="M1019" s="33"/>
      <c r="O1019" s="33"/>
    </row>
    <row r="1020" spans="1:15" hidden="1" x14ac:dyDescent="0.2">
      <c r="E1020" s="29"/>
      <c r="F1020" s="29"/>
      <c r="G1020" s="29"/>
      <c r="H1020" s="32"/>
      <c r="I1020" s="29"/>
      <c r="J1020" s="33"/>
      <c r="M1020" s="33"/>
      <c r="O1020" s="33"/>
    </row>
    <row r="1021" spans="1:15" hidden="1" x14ac:dyDescent="0.2">
      <c r="A1021" s="52" t="s">
        <v>26</v>
      </c>
      <c r="B1021" s="52"/>
      <c r="C1021" s="52"/>
      <c r="D1021" s="52"/>
      <c r="E1021" s="29"/>
      <c r="F1021" s="29"/>
      <c r="G1021" s="53" t="s">
        <v>10</v>
      </c>
      <c r="H1021" s="32"/>
      <c r="I1021" s="52" t="s">
        <v>27</v>
      </c>
      <c r="J1021" s="29"/>
      <c r="K1021" s="29"/>
      <c r="L1021" s="29"/>
      <c r="M1021" s="53" t="s">
        <v>11</v>
      </c>
      <c r="O1021" s="33"/>
    </row>
    <row r="1022" spans="1:15" hidden="1" x14ac:dyDescent="0.2">
      <c r="A1022" s="29">
        <v>0</v>
      </c>
      <c r="B1022" s="29"/>
      <c r="C1022" s="29"/>
      <c r="D1022" s="29"/>
      <c r="E1022" s="29">
        <v>50000</v>
      </c>
      <c r="F1022" s="29">
        <f>IF(AND(F993&gt;A1022, F993&lt;=E1022),F993,0)</f>
        <v>0</v>
      </c>
      <c r="G1022" s="29">
        <f>0+(35/100)*(-A1022+F1022)</f>
        <v>0</v>
      </c>
      <c r="H1022" s="32"/>
      <c r="I1022" s="29">
        <v>0</v>
      </c>
      <c r="J1022" s="29">
        <v>50000</v>
      </c>
      <c r="K1022" s="29">
        <f>IF(AND(F993&gt;I1022, F993&lt;=J1022),F993,0)</f>
        <v>0</v>
      </c>
      <c r="L1022" s="29"/>
      <c r="M1022" s="29">
        <f>0+(40/100)*(-I1022+K1022)</f>
        <v>0</v>
      </c>
      <c r="O1022" s="33"/>
    </row>
    <row r="1023" spans="1:15" hidden="1" x14ac:dyDescent="0.2">
      <c r="A1023" s="29">
        <f>E1022</f>
        <v>50000</v>
      </c>
      <c r="B1023" s="29"/>
      <c r="C1023" s="29"/>
      <c r="D1023" s="29"/>
      <c r="E1023" s="29">
        <v>100000</v>
      </c>
      <c r="F1023" s="29">
        <f>IF(AND(F993&gt;A1023, F993&lt;=E1023),F993,0)</f>
        <v>0</v>
      </c>
      <c r="G1023" s="29">
        <f>(50000/100*35)+((50/100)*(-A1023+F1023))</f>
        <v>-7500</v>
      </c>
      <c r="H1023" s="32"/>
      <c r="I1023" s="29">
        <f>J1022</f>
        <v>50000</v>
      </c>
      <c r="J1023" s="29">
        <v>75000</v>
      </c>
      <c r="K1023" s="29">
        <f>IF(AND(F993&gt;I1023, F993&lt;=J1023),F993,0)</f>
        <v>0</v>
      </c>
      <c r="L1023" s="29"/>
      <c r="M1023" s="29">
        <f>(50000/100*40)+((55/100)*(-I1023+K1023))</f>
        <v>-7500.0000000000036</v>
      </c>
      <c r="O1023" s="33"/>
    </row>
    <row r="1024" spans="1:15" hidden="1" x14ac:dyDescent="0.2">
      <c r="A1024" s="29">
        <f>E1023</f>
        <v>100000</v>
      </c>
      <c r="B1024" s="29"/>
      <c r="C1024" s="29"/>
      <c r="D1024" s="29"/>
      <c r="E1024" s="29">
        <v>175000</v>
      </c>
      <c r="F1024" s="29">
        <f>IF(AND(F993&gt;A1024, F993&lt;=E1024),F993,0)</f>
        <v>0</v>
      </c>
      <c r="G1024" s="29">
        <f>(50000/100*35)+(50000/100*50)+((60/100)*(-A1024+F1024))</f>
        <v>-17500</v>
      </c>
      <c r="H1024" s="32"/>
      <c r="I1024" s="29">
        <f>J1023</f>
        <v>75000</v>
      </c>
      <c r="J1024" s="29">
        <v>175000</v>
      </c>
      <c r="K1024" s="29">
        <f>IF(AND(F993&gt;I1024, F993&lt;=J1024),F993,0)</f>
        <v>0</v>
      </c>
      <c r="L1024" s="29"/>
      <c r="M1024" s="29">
        <f>(50000/100*40)+(25000/100*55)+((65/100)*(-I1024+K1024))</f>
        <v>-15000</v>
      </c>
      <c r="O1024" s="33"/>
    </row>
    <row r="1025" spans="1:15" hidden="1" x14ac:dyDescent="0.2">
      <c r="A1025" s="29">
        <f>E1024</f>
        <v>175000</v>
      </c>
      <c r="B1025" s="29"/>
      <c r="C1025" s="29"/>
      <c r="D1025" s="29"/>
      <c r="E1025" s="29">
        <v>999999999</v>
      </c>
      <c r="F1025" s="29">
        <f>IF(AND(F993&gt;A1025, F993&lt;=E1025),F993,0)</f>
        <v>0</v>
      </c>
      <c r="G1025" s="29">
        <f>(50000/100*35)+(50000/100*50)+(75000/100*60)+((70/100)*(-A1025+F1025))</f>
        <v>-34999.999999999985</v>
      </c>
      <c r="H1025" s="32"/>
      <c r="I1025" s="29">
        <f>J1024</f>
        <v>175000</v>
      </c>
      <c r="J1025" s="29">
        <v>999999999</v>
      </c>
      <c r="K1025" s="29">
        <f>IF(AND(F993&gt;I1025, F993&lt;=J1025),F993,0)</f>
        <v>0</v>
      </c>
      <c r="L1025" s="29"/>
      <c r="M1025" s="29">
        <f>(50000/100*40)+(25000/100*55)+(100000/100*65)+((80/100)*(-I1025+K1025))</f>
        <v>-41250</v>
      </c>
      <c r="O1025" s="33"/>
    </row>
    <row r="1026" spans="1:15" hidden="1" x14ac:dyDescent="0.2">
      <c r="A1026" s="29"/>
      <c r="B1026" s="29"/>
      <c r="C1026" s="29"/>
      <c r="D1026" s="29"/>
      <c r="E1026" s="29"/>
      <c r="F1026" s="29"/>
      <c r="G1026" s="29"/>
      <c r="H1026" s="32"/>
      <c r="I1026" s="29"/>
      <c r="J1026" s="29"/>
      <c r="K1026" s="29"/>
      <c r="L1026" s="29"/>
      <c r="M1026" s="29"/>
      <c r="O1026" s="33"/>
    </row>
    <row r="1027" spans="1:15" hidden="1" x14ac:dyDescent="0.2">
      <c r="A1027" s="29"/>
      <c r="B1027" s="29"/>
      <c r="C1027" s="29"/>
      <c r="D1027" s="29"/>
      <c r="E1027" s="29"/>
      <c r="F1027" s="29"/>
      <c r="G1027" s="29"/>
      <c r="H1027" s="32"/>
      <c r="I1027" s="29"/>
      <c r="J1027" s="29"/>
      <c r="K1027" s="29"/>
      <c r="L1027" s="29"/>
      <c r="M1027" s="29"/>
      <c r="O1027" s="33"/>
    </row>
    <row r="1028" spans="1:15" hidden="1" x14ac:dyDescent="0.2">
      <c r="A1028" s="29"/>
      <c r="B1028" s="29"/>
      <c r="C1028" s="29"/>
      <c r="D1028" s="29"/>
      <c r="E1028" s="29"/>
      <c r="F1028" s="29"/>
      <c r="G1028" s="29"/>
      <c r="H1028" s="32"/>
      <c r="I1028" s="29"/>
      <c r="J1028" s="29"/>
      <c r="K1028" s="29"/>
      <c r="L1028" s="29"/>
      <c r="M1028" s="29"/>
      <c r="O1028" s="33"/>
    </row>
    <row r="1029" spans="1:15" hidden="1" x14ac:dyDescent="0.2">
      <c r="A1029" s="54" t="s">
        <v>7</v>
      </c>
      <c r="B1029" s="54"/>
      <c r="C1029" s="54"/>
      <c r="D1029" s="54"/>
      <c r="E1029" s="29"/>
      <c r="F1029" s="29"/>
      <c r="G1029" s="29">
        <f>VLOOKUP(F993,F1022:G1025,2,FALSE)</f>
        <v>0</v>
      </c>
      <c r="H1029" s="32"/>
      <c r="I1029" s="54" t="s">
        <v>7</v>
      </c>
      <c r="J1029" s="29"/>
      <c r="K1029" s="29"/>
      <c r="L1029" s="29"/>
      <c r="M1029" s="29">
        <f>VLOOKUP(F993,K1022:M1025,3,FALSE)</f>
        <v>0</v>
      </c>
      <c r="O1029" s="33"/>
    </row>
    <row r="1030" spans="1:15" hidden="1" x14ac:dyDescent="0.2">
      <c r="H1030" s="32"/>
      <c r="O1030" s="33"/>
    </row>
    <row r="1031" spans="1:15" hidden="1" x14ac:dyDescent="0.2">
      <c r="E1031" s="29"/>
      <c r="F1031" s="29"/>
      <c r="G1031" s="29"/>
      <c r="H1031" s="32"/>
      <c r="J1031" s="29"/>
      <c r="K1031" s="29"/>
      <c r="L1031" s="29"/>
      <c r="M1031" s="29"/>
      <c r="O1031" s="33"/>
    </row>
    <row r="1032" spans="1:15" hidden="1" x14ac:dyDescent="0.2">
      <c r="E1032" s="29"/>
      <c r="G1032" s="29"/>
    </row>
    <row r="1033" spans="1:15" hidden="1" x14ac:dyDescent="0.2"/>
    <row r="1034" spans="1:15" hidden="1" x14ac:dyDescent="0.2">
      <c r="E1034" s="9" t="s">
        <v>84</v>
      </c>
      <c r="F1034" s="9" t="s">
        <v>91</v>
      </c>
    </row>
    <row r="1035" spans="1:15" hidden="1" x14ac:dyDescent="0.2"/>
    <row r="1036" spans="1:15" hidden="1" x14ac:dyDescent="0.2">
      <c r="E1036" s="9" t="s">
        <v>84</v>
      </c>
      <c r="F1036" s="9">
        <f>IF(J60=3,M1001*12%,0)</f>
        <v>0</v>
      </c>
      <c r="G1036" s="9">
        <f>IF(F1036&gt;372,372,F1036)</f>
        <v>0</v>
      </c>
      <c r="I1036" s="9" t="s">
        <v>30</v>
      </c>
      <c r="J1036" s="9">
        <f>M1001*6%</f>
        <v>0</v>
      </c>
      <c r="K1036" s="9">
        <f>IF(J1036&gt;186,186,J1036)</f>
        <v>0</v>
      </c>
      <c r="L1036" s="9">
        <f>IF(J60=3,K1036,0)</f>
        <v>0</v>
      </c>
    </row>
    <row r="1037" spans="1:15" hidden="1" x14ac:dyDescent="0.2">
      <c r="F1037" s="9">
        <f>IF(J60=4,M1001*16%,0)</f>
        <v>0</v>
      </c>
      <c r="G1037" s="9">
        <f>IF(F1037&gt;496,496,F1037)</f>
        <v>0</v>
      </c>
      <c r="I1037" s="9" t="s">
        <v>31</v>
      </c>
      <c r="J1037" s="9">
        <f>M1001*8%</f>
        <v>0</v>
      </c>
      <c r="K1037" s="9">
        <f>IF(J1037&gt;248,248,J1037)</f>
        <v>0</v>
      </c>
      <c r="L1037" s="9">
        <f>IF(J60=4,K1037,0)</f>
        <v>0</v>
      </c>
    </row>
    <row r="1038" spans="1:15" hidden="1" x14ac:dyDescent="0.2">
      <c r="F1038" s="9">
        <f>IF(J60=5,M1001*20%,0)</f>
        <v>0</v>
      </c>
      <c r="G1038" s="9">
        <f>IF(F1038&gt;620,620,F1038)</f>
        <v>0</v>
      </c>
      <c r="J1038" s="9">
        <f>M1001*10%</f>
        <v>0</v>
      </c>
      <c r="K1038" s="9">
        <f>IF(J1038&gt;310,310,J1038)</f>
        <v>0</v>
      </c>
      <c r="L1038" s="9">
        <f>IF(J60=5,K1038,0)</f>
        <v>0</v>
      </c>
    </row>
    <row r="1039" spans="1:15" hidden="1" x14ac:dyDescent="0.2">
      <c r="F1039" s="9">
        <f>IF(J60=6,M1001*24%,0)</f>
        <v>0</v>
      </c>
      <c r="G1039" s="9">
        <f>IF(F1039&gt;744,744,F1039)</f>
        <v>0</v>
      </c>
      <c r="J1039" s="9">
        <f>M1001*12%</f>
        <v>0</v>
      </c>
      <c r="K1039" s="9">
        <f>IF(J1039&gt;372,372,J1039)</f>
        <v>0</v>
      </c>
      <c r="L1039" s="9">
        <f>IF(J60=6,K1039,0)</f>
        <v>0</v>
      </c>
    </row>
    <row r="1040" spans="1:15" hidden="1" x14ac:dyDescent="0.2">
      <c r="F1040" s="9">
        <f>IF(J60=7,M1001*28%,0)</f>
        <v>0</v>
      </c>
      <c r="G1040" s="9">
        <f>IF(F1040&gt;868,868,F1040)</f>
        <v>0</v>
      </c>
      <c r="J1040" s="9">
        <f>M1001*14%</f>
        <v>0</v>
      </c>
      <c r="K1040" s="9">
        <f>IF(J1040&gt;434,434,J1040)</f>
        <v>0</v>
      </c>
      <c r="L1040" s="9">
        <f>IF(J60=7,K1040,0)</f>
        <v>0</v>
      </c>
    </row>
    <row r="1041" spans="5:12" hidden="1" x14ac:dyDescent="0.2">
      <c r="F1041" s="9">
        <f>IF(J60=8,M1001*32%,0)</f>
        <v>0</v>
      </c>
      <c r="G1041" s="9">
        <f>IF(F1041&gt;992,992,F1041)</f>
        <v>0</v>
      </c>
      <c r="J1041" s="9">
        <f>M1001*16%</f>
        <v>0</v>
      </c>
      <c r="K1041" s="9">
        <f>IF(J1041&gt;496,496,J1041)</f>
        <v>0</v>
      </c>
      <c r="L1041" s="9">
        <f>IF(J60=8,K1041,0)</f>
        <v>0</v>
      </c>
    </row>
    <row r="1042" spans="5:12" hidden="1" x14ac:dyDescent="0.2">
      <c r="F1042" s="9">
        <f>IF(J60=9,M1001*36%,0)</f>
        <v>0</v>
      </c>
      <c r="G1042" s="9">
        <f>IF(F1042&gt;1116,1116,F1042)</f>
        <v>0</v>
      </c>
      <c r="J1042" s="9">
        <f>M1001*18%</f>
        <v>0</v>
      </c>
      <c r="K1042" s="9">
        <f>IF(J1042&gt;558,558,J1042)</f>
        <v>0</v>
      </c>
      <c r="L1042" s="9">
        <f>IF(J60=9,K1042,0)</f>
        <v>0</v>
      </c>
    </row>
    <row r="1043" spans="5:12" hidden="1" x14ac:dyDescent="0.2">
      <c r="F1043" s="9">
        <f>IF(J60=10,M1001*40%,0)</f>
        <v>0</v>
      </c>
      <c r="G1043" s="9">
        <f>IF(F1043&gt;1240,1240,F1043)</f>
        <v>0</v>
      </c>
      <c r="J1043" s="9">
        <f>M1001*20%</f>
        <v>0</v>
      </c>
      <c r="K1043" s="9">
        <f>IF(J1043&gt;620,620,J1043)</f>
        <v>0</v>
      </c>
      <c r="L1043" s="9">
        <f>IF(J60=10,K1043,0)</f>
        <v>0</v>
      </c>
    </row>
    <row r="1044" spans="5:12" hidden="1" x14ac:dyDescent="0.2"/>
    <row r="1045" spans="5:12" hidden="1" x14ac:dyDescent="0.2">
      <c r="G1045" s="9">
        <f>SUM(G1036:G1044)</f>
        <v>0</v>
      </c>
      <c r="L1045" s="9">
        <f>SUM(L1036:L1044)</f>
        <v>0</v>
      </c>
    </row>
    <row r="1046" spans="5:12" hidden="1" x14ac:dyDescent="0.2">
      <c r="G1046" s="22"/>
    </row>
    <row r="1047" spans="5:12" hidden="1" x14ac:dyDescent="0.2">
      <c r="G1047" s="22"/>
    </row>
    <row r="1048" spans="5:12" hidden="1" x14ac:dyDescent="0.2">
      <c r="G1048" s="22"/>
    </row>
    <row r="1049" spans="5:12" hidden="1" x14ac:dyDescent="0.2">
      <c r="E1049" s="9" t="s">
        <v>32</v>
      </c>
      <c r="F1049" s="23">
        <f>M1001-G1045</f>
        <v>0</v>
      </c>
      <c r="G1049" s="22"/>
      <c r="H1049" s="9" t="s">
        <v>33</v>
      </c>
      <c r="I1049" s="56">
        <f>M1001-L1045</f>
        <v>0</v>
      </c>
    </row>
    <row r="1050" spans="5:12" hidden="1" x14ac:dyDescent="0.2">
      <c r="E1050" s="29"/>
      <c r="G1050" s="29"/>
    </row>
    <row r="1051" spans="5:12" hidden="1" x14ac:dyDescent="0.2">
      <c r="E1051" s="29"/>
      <c r="G1051" s="29"/>
    </row>
    <row r="1052" spans="5:12" hidden="1" x14ac:dyDescent="0.2">
      <c r="E1052" s="29"/>
      <c r="G1052" s="29"/>
    </row>
    <row r="1053" spans="5:12" hidden="1" x14ac:dyDescent="0.2">
      <c r="E1053" s="29"/>
      <c r="G1053" s="29"/>
    </row>
    <row r="1054" spans="5:12" hidden="1" x14ac:dyDescent="0.2">
      <c r="E1054" s="29"/>
      <c r="G1054" s="29"/>
    </row>
    <row r="1055" spans="5:12" hidden="1" x14ac:dyDescent="0.2">
      <c r="E1055" s="29"/>
      <c r="G1055" s="29"/>
    </row>
    <row r="1056" spans="5:12" hidden="1" x14ac:dyDescent="0.2">
      <c r="E1056" s="29"/>
      <c r="G1056" s="29"/>
    </row>
    <row r="1057" spans="5:7" hidden="1" x14ac:dyDescent="0.2">
      <c r="E1057" s="29"/>
      <c r="G1057" s="29"/>
    </row>
    <row r="1058" spans="5:7" hidden="1" x14ac:dyDescent="0.2">
      <c r="E1058" s="29"/>
      <c r="G1058" s="29"/>
    </row>
    <row r="1059" spans="5:7" hidden="1" x14ac:dyDescent="0.2">
      <c r="E1059" s="29"/>
      <c r="G1059" s="29"/>
    </row>
    <row r="1060" spans="5:7" hidden="1" x14ac:dyDescent="0.2">
      <c r="E1060" s="29"/>
      <c r="G1060" s="29"/>
    </row>
    <row r="1061" spans="5:7" hidden="1" x14ac:dyDescent="0.2">
      <c r="E1061" s="29"/>
      <c r="G1061" s="29"/>
    </row>
    <row r="1062" spans="5:7" hidden="1" x14ac:dyDescent="0.2">
      <c r="E1062" s="29"/>
      <c r="G1062" s="29"/>
    </row>
    <row r="1063" spans="5:7" hidden="1" x14ac:dyDescent="0.2">
      <c r="E1063" s="29"/>
      <c r="G1063" s="29"/>
    </row>
    <row r="1064" spans="5:7" hidden="1" x14ac:dyDescent="0.2">
      <c r="E1064" s="29"/>
      <c r="G1064" s="29"/>
    </row>
    <row r="1065" spans="5:7" hidden="1" x14ac:dyDescent="0.2">
      <c r="E1065" s="29"/>
      <c r="G1065" s="29"/>
    </row>
    <row r="1066" spans="5:7" hidden="1" x14ac:dyDescent="0.2">
      <c r="E1066" s="29"/>
      <c r="G1066" s="29"/>
    </row>
    <row r="1067" spans="5:7" hidden="1" x14ac:dyDescent="0.2">
      <c r="E1067" s="29"/>
      <c r="G1067" s="29"/>
    </row>
    <row r="1068" spans="5:7" hidden="1" x14ac:dyDescent="0.2">
      <c r="E1068" s="29"/>
      <c r="G1068" s="29"/>
    </row>
    <row r="1069" spans="5:7" hidden="1" x14ac:dyDescent="0.2">
      <c r="E1069" s="29"/>
      <c r="G1069" s="29"/>
    </row>
    <row r="1070" spans="5:7" hidden="1" x14ac:dyDescent="0.2">
      <c r="E1070" s="29"/>
      <c r="G1070" s="29"/>
    </row>
    <row r="1071" spans="5:7" hidden="1" x14ac:dyDescent="0.2">
      <c r="E1071" s="29"/>
      <c r="G1071" s="29"/>
    </row>
    <row r="1072" spans="5:7" hidden="1" x14ac:dyDescent="0.2">
      <c r="E1072" s="29"/>
      <c r="G1072" s="29"/>
    </row>
    <row r="1073" spans="5:7" hidden="1" x14ac:dyDescent="0.2">
      <c r="E1073" s="29"/>
      <c r="G1073" s="29"/>
    </row>
    <row r="1074" spans="5:7" hidden="1" x14ac:dyDescent="0.2">
      <c r="E1074" s="29"/>
      <c r="G1074" s="29"/>
    </row>
    <row r="1075" spans="5:7" hidden="1" x14ac:dyDescent="0.2">
      <c r="E1075" s="29"/>
      <c r="G1075" s="29"/>
    </row>
    <row r="1076" spans="5:7" hidden="1" x14ac:dyDescent="0.2">
      <c r="E1076" s="29"/>
      <c r="G1076" s="29"/>
    </row>
    <row r="1077" spans="5:7" hidden="1" x14ac:dyDescent="0.2">
      <c r="E1077" s="29"/>
      <c r="G1077" s="29"/>
    </row>
    <row r="1078" spans="5:7" hidden="1" x14ac:dyDescent="0.2">
      <c r="E1078" s="29"/>
      <c r="G1078" s="29"/>
    </row>
    <row r="1079" spans="5:7" hidden="1" x14ac:dyDescent="0.2">
      <c r="E1079" s="29"/>
      <c r="G1079" s="29"/>
    </row>
    <row r="1080" spans="5:7" hidden="1" x14ac:dyDescent="0.2">
      <c r="E1080" s="29"/>
      <c r="G1080" s="29"/>
    </row>
    <row r="1081" spans="5:7" hidden="1" x14ac:dyDescent="0.2">
      <c r="E1081" s="29"/>
      <c r="G1081" s="29"/>
    </row>
    <row r="1082" spans="5:7" hidden="1" x14ac:dyDescent="0.2">
      <c r="E1082" s="29"/>
      <c r="G1082" s="29"/>
    </row>
    <row r="1083" spans="5:7" hidden="1" x14ac:dyDescent="0.2">
      <c r="E1083" s="29"/>
      <c r="G1083" s="29"/>
    </row>
    <row r="1084" spans="5:7" hidden="1" x14ac:dyDescent="0.2">
      <c r="E1084" s="29"/>
      <c r="G1084" s="29"/>
    </row>
    <row r="1085" spans="5:7" hidden="1" x14ac:dyDescent="0.2">
      <c r="E1085" s="29"/>
      <c r="G1085" s="29"/>
    </row>
    <row r="1086" spans="5:7" hidden="1" x14ac:dyDescent="0.2">
      <c r="E1086" s="29"/>
      <c r="G1086" s="29"/>
    </row>
    <row r="1087" spans="5:7" hidden="1" x14ac:dyDescent="0.2">
      <c r="E1087" s="29"/>
      <c r="G1087" s="29"/>
    </row>
    <row r="1088" spans="5:7" hidden="1" x14ac:dyDescent="0.2">
      <c r="E1088" s="29"/>
      <c r="G1088" s="29"/>
    </row>
    <row r="1089" spans="5:7" hidden="1" x14ac:dyDescent="0.2">
      <c r="E1089" s="29"/>
      <c r="G1089" s="29"/>
    </row>
    <row r="1090" spans="5:7" hidden="1" x14ac:dyDescent="0.2">
      <c r="E1090" s="29"/>
      <c r="G1090" s="29"/>
    </row>
    <row r="1091" spans="5:7" hidden="1" x14ac:dyDescent="0.2">
      <c r="E1091" s="29"/>
      <c r="G1091" s="29"/>
    </row>
    <row r="1092" spans="5:7" hidden="1" x14ac:dyDescent="0.2">
      <c r="E1092" s="29"/>
      <c r="G1092" s="29"/>
    </row>
    <row r="1093" spans="5:7" hidden="1" x14ac:dyDescent="0.2">
      <c r="E1093" s="29"/>
      <c r="G1093" s="29"/>
    </row>
    <row r="1094" spans="5:7" hidden="1" x14ac:dyDescent="0.2">
      <c r="E1094" s="29"/>
      <c r="G1094" s="29"/>
    </row>
    <row r="1095" spans="5:7" hidden="1" x14ac:dyDescent="0.2">
      <c r="E1095" s="29"/>
      <c r="G1095" s="29"/>
    </row>
    <row r="1096" spans="5:7" hidden="1" x14ac:dyDescent="0.2">
      <c r="E1096" s="29"/>
      <c r="G1096" s="29"/>
    </row>
    <row r="1097" spans="5:7" hidden="1" x14ac:dyDescent="0.2">
      <c r="E1097" s="29"/>
      <c r="G1097" s="29"/>
    </row>
    <row r="1098" spans="5:7" hidden="1" x14ac:dyDescent="0.2">
      <c r="E1098" s="29"/>
      <c r="G1098" s="29"/>
    </row>
    <row r="1099" spans="5:7" hidden="1" x14ac:dyDescent="0.2">
      <c r="E1099" s="29"/>
      <c r="G1099" s="29"/>
    </row>
    <row r="1100" spans="5:7" hidden="1" x14ac:dyDescent="0.2">
      <c r="E1100" s="29"/>
      <c r="G1100" s="29"/>
    </row>
    <row r="1101" spans="5:7" hidden="1" x14ac:dyDescent="0.2">
      <c r="E1101" s="29"/>
      <c r="G1101" s="29"/>
    </row>
    <row r="1102" spans="5:7" hidden="1" x14ac:dyDescent="0.2">
      <c r="E1102" s="29"/>
      <c r="G1102" s="29"/>
    </row>
    <row r="1103" spans="5:7" hidden="1" x14ac:dyDescent="0.2">
      <c r="E1103" s="29"/>
      <c r="G1103" s="29"/>
    </row>
    <row r="1104" spans="5:7" hidden="1" x14ac:dyDescent="0.2">
      <c r="E1104" s="29"/>
      <c r="G1104" s="29"/>
    </row>
    <row r="1105" spans="5:7" hidden="1" x14ac:dyDescent="0.2">
      <c r="E1105" s="29"/>
      <c r="G1105" s="29"/>
    </row>
    <row r="1106" spans="5:7" hidden="1" x14ac:dyDescent="0.2">
      <c r="E1106" s="29"/>
      <c r="G1106" s="29"/>
    </row>
    <row r="1107" spans="5:7" hidden="1" x14ac:dyDescent="0.2">
      <c r="E1107" s="29"/>
      <c r="G1107" s="29"/>
    </row>
    <row r="1108" spans="5:7" hidden="1" x14ac:dyDescent="0.2">
      <c r="E1108" s="29"/>
      <c r="G1108" s="29"/>
    </row>
    <row r="1109" spans="5:7" hidden="1" x14ac:dyDescent="0.2">
      <c r="E1109" s="29"/>
      <c r="G1109" s="29"/>
    </row>
    <row r="1110" spans="5:7" hidden="1" x14ac:dyDescent="0.2">
      <c r="E1110" s="29"/>
      <c r="G1110" s="29"/>
    </row>
    <row r="1111" spans="5:7" hidden="1" x14ac:dyDescent="0.2">
      <c r="E1111" s="29"/>
      <c r="G1111" s="29"/>
    </row>
    <row r="1112" spans="5:7" hidden="1" x14ac:dyDescent="0.2">
      <c r="E1112" s="29"/>
      <c r="G1112" s="29"/>
    </row>
    <row r="1113" spans="5:7" hidden="1" x14ac:dyDescent="0.2">
      <c r="E1113" s="29"/>
      <c r="G1113" s="29"/>
    </row>
    <row r="1114" spans="5:7" hidden="1" x14ac:dyDescent="0.2">
      <c r="E1114" s="29"/>
      <c r="G1114" s="29"/>
    </row>
    <row r="1115" spans="5:7" hidden="1" x14ac:dyDescent="0.2">
      <c r="E1115" s="29"/>
      <c r="G1115" s="29"/>
    </row>
    <row r="1116" spans="5:7" hidden="1" x14ac:dyDescent="0.2">
      <c r="E1116" s="29"/>
      <c r="G1116" s="29"/>
    </row>
    <row r="1117" spans="5:7" hidden="1" x14ac:dyDescent="0.2">
      <c r="E1117" s="29"/>
      <c r="G1117" s="29"/>
    </row>
    <row r="1118" spans="5:7" hidden="1" x14ac:dyDescent="0.2">
      <c r="E1118" s="29"/>
      <c r="G1118" s="29"/>
    </row>
    <row r="1119" spans="5:7" hidden="1" x14ac:dyDescent="0.2">
      <c r="E1119" s="29"/>
      <c r="G1119" s="29"/>
    </row>
    <row r="1120" spans="5:7" hidden="1" x14ac:dyDescent="0.2">
      <c r="E1120" s="29"/>
      <c r="G1120" s="29"/>
    </row>
    <row r="1121" spans="5:7" hidden="1" x14ac:dyDescent="0.2">
      <c r="E1121" s="29"/>
      <c r="G1121" s="29"/>
    </row>
    <row r="1122" spans="5:7" hidden="1" x14ac:dyDescent="0.2">
      <c r="E1122" s="29"/>
      <c r="G1122" s="29"/>
    </row>
    <row r="1123" spans="5:7" hidden="1" x14ac:dyDescent="0.2">
      <c r="E1123" s="29"/>
      <c r="G1123" s="29"/>
    </row>
    <row r="1124" spans="5:7" hidden="1" x14ac:dyDescent="0.2">
      <c r="E1124" s="29"/>
      <c r="G1124" s="29"/>
    </row>
    <row r="1125" spans="5:7" hidden="1" x14ac:dyDescent="0.2">
      <c r="E1125" s="29"/>
      <c r="G1125" s="29"/>
    </row>
    <row r="1126" spans="5:7" hidden="1" x14ac:dyDescent="0.2">
      <c r="E1126" s="29"/>
      <c r="G1126" s="29"/>
    </row>
    <row r="1127" spans="5:7" hidden="1" x14ac:dyDescent="0.2">
      <c r="E1127" s="29"/>
      <c r="G1127" s="29"/>
    </row>
    <row r="1128" spans="5:7" hidden="1" x14ac:dyDescent="0.2">
      <c r="E1128" s="29"/>
      <c r="G1128" s="29"/>
    </row>
    <row r="1129" spans="5:7" hidden="1" x14ac:dyDescent="0.2">
      <c r="E1129" s="29"/>
      <c r="G1129" s="29"/>
    </row>
    <row r="1130" spans="5:7" hidden="1" x14ac:dyDescent="0.2">
      <c r="E1130" s="29"/>
      <c r="G1130" s="29"/>
    </row>
    <row r="1131" spans="5:7" hidden="1" x14ac:dyDescent="0.2">
      <c r="E1131" s="29"/>
      <c r="G1131" s="29"/>
    </row>
    <row r="1132" spans="5:7" hidden="1" x14ac:dyDescent="0.2">
      <c r="E1132" s="29"/>
      <c r="G1132" s="29"/>
    </row>
    <row r="1133" spans="5:7" hidden="1" x14ac:dyDescent="0.2">
      <c r="E1133" s="29"/>
      <c r="G1133" s="29"/>
    </row>
    <row r="1134" spans="5:7" hidden="1" x14ac:dyDescent="0.2">
      <c r="E1134" s="29"/>
      <c r="G1134" s="29"/>
    </row>
    <row r="1135" spans="5:7" hidden="1" x14ac:dyDescent="0.2">
      <c r="E1135" s="29"/>
      <c r="G1135" s="29"/>
    </row>
    <row r="1136" spans="5:7" hidden="1" x14ac:dyDescent="0.2">
      <c r="E1136" s="29"/>
      <c r="G1136" s="29"/>
    </row>
    <row r="1137" spans="5:7" hidden="1" x14ac:dyDescent="0.2">
      <c r="E1137" s="29"/>
      <c r="G1137" s="29"/>
    </row>
    <row r="1138" spans="5:7" hidden="1" x14ac:dyDescent="0.2">
      <c r="E1138" s="29"/>
      <c r="G1138" s="29"/>
    </row>
    <row r="1139" spans="5:7" hidden="1" x14ac:dyDescent="0.2">
      <c r="E1139" s="29"/>
      <c r="G1139" s="29"/>
    </row>
    <row r="1140" spans="5:7" hidden="1" x14ac:dyDescent="0.2">
      <c r="E1140" s="29"/>
      <c r="G1140" s="29"/>
    </row>
    <row r="1141" spans="5:7" hidden="1" x14ac:dyDescent="0.2">
      <c r="E1141" s="29"/>
      <c r="G1141" s="29"/>
    </row>
    <row r="1142" spans="5:7" hidden="1" x14ac:dyDescent="0.2">
      <c r="E1142" s="29"/>
      <c r="G1142" s="29"/>
    </row>
    <row r="1143" spans="5:7" hidden="1" x14ac:dyDescent="0.2">
      <c r="E1143" s="29"/>
      <c r="G1143" s="29"/>
    </row>
    <row r="1144" spans="5:7" hidden="1" x14ac:dyDescent="0.2">
      <c r="E1144" s="29"/>
      <c r="G1144" s="29"/>
    </row>
    <row r="1145" spans="5:7" hidden="1" x14ac:dyDescent="0.2">
      <c r="E1145" s="29"/>
      <c r="G1145" s="29"/>
    </row>
    <row r="1146" spans="5:7" hidden="1" x14ac:dyDescent="0.2">
      <c r="E1146" s="29"/>
      <c r="G1146" s="29"/>
    </row>
    <row r="1147" spans="5:7" hidden="1" x14ac:dyDescent="0.2">
      <c r="E1147" s="29"/>
      <c r="G1147" s="29"/>
    </row>
    <row r="1148" spans="5:7" hidden="1" x14ac:dyDescent="0.2">
      <c r="E1148" s="29"/>
      <c r="G1148" s="29"/>
    </row>
    <row r="1149" spans="5:7" hidden="1" x14ac:dyDescent="0.2">
      <c r="E1149" s="29"/>
      <c r="G1149" s="29"/>
    </row>
    <row r="1150" spans="5:7" hidden="1" x14ac:dyDescent="0.2">
      <c r="E1150" s="29"/>
      <c r="G1150" s="29"/>
    </row>
    <row r="1151" spans="5:7" hidden="1" x14ac:dyDescent="0.2">
      <c r="E1151" s="29"/>
      <c r="G1151" s="29"/>
    </row>
    <row r="1152" spans="5:7" hidden="1" x14ac:dyDescent="0.2">
      <c r="E1152" s="29"/>
      <c r="G1152" s="29"/>
    </row>
    <row r="1153" spans="5:7" hidden="1" x14ac:dyDescent="0.2">
      <c r="E1153" s="29"/>
      <c r="G1153" s="29"/>
    </row>
    <row r="1154" spans="5:7" hidden="1" x14ac:dyDescent="0.2">
      <c r="E1154" s="29"/>
      <c r="G1154" s="29"/>
    </row>
    <row r="1155" spans="5:7" hidden="1" x14ac:dyDescent="0.2">
      <c r="E1155" s="29"/>
      <c r="G1155" s="29"/>
    </row>
    <row r="1156" spans="5:7" hidden="1" x14ac:dyDescent="0.2">
      <c r="E1156" s="29"/>
      <c r="G1156" s="29"/>
    </row>
    <row r="1157" spans="5:7" hidden="1" x14ac:dyDescent="0.2">
      <c r="E1157" s="29"/>
      <c r="G1157" s="29"/>
    </row>
    <row r="1158" spans="5:7" hidden="1" x14ac:dyDescent="0.2">
      <c r="E1158" s="29"/>
      <c r="G1158" s="29"/>
    </row>
    <row r="1159" spans="5:7" hidden="1" x14ac:dyDescent="0.2">
      <c r="E1159" s="29"/>
      <c r="G1159" s="29"/>
    </row>
    <row r="1160" spans="5:7" hidden="1" x14ac:dyDescent="0.2">
      <c r="E1160" s="29"/>
      <c r="G1160" s="29"/>
    </row>
    <row r="1161" spans="5:7" hidden="1" x14ac:dyDescent="0.2">
      <c r="E1161" s="29"/>
      <c r="G1161" s="29"/>
    </row>
    <row r="1162" spans="5:7" hidden="1" x14ac:dyDescent="0.2">
      <c r="E1162" s="29"/>
      <c r="G1162" s="29"/>
    </row>
    <row r="1163" spans="5:7" hidden="1" x14ac:dyDescent="0.2">
      <c r="E1163" s="29"/>
      <c r="G1163" s="29"/>
    </row>
    <row r="1164" spans="5:7" hidden="1" x14ac:dyDescent="0.2">
      <c r="E1164" s="29"/>
      <c r="G1164" s="29"/>
    </row>
    <row r="1165" spans="5:7" hidden="1" x14ac:dyDescent="0.2">
      <c r="E1165" s="29"/>
      <c r="G1165" s="29"/>
    </row>
    <row r="1166" spans="5:7" hidden="1" x14ac:dyDescent="0.2">
      <c r="E1166" s="29"/>
      <c r="G1166" s="29"/>
    </row>
    <row r="1167" spans="5:7" hidden="1" x14ac:dyDescent="0.2">
      <c r="E1167" s="29"/>
      <c r="G1167" s="29"/>
    </row>
    <row r="1168" spans="5:7" hidden="1" x14ac:dyDescent="0.2">
      <c r="E1168" s="29"/>
      <c r="G1168" s="29"/>
    </row>
    <row r="1169" spans="5:7" hidden="1" x14ac:dyDescent="0.2">
      <c r="E1169" s="29"/>
      <c r="G1169" s="29"/>
    </row>
    <row r="1170" spans="5:7" hidden="1" x14ac:dyDescent="0.2">
      <c r="E1170" s="29"/>
      <c r="G1170" s="29"/>
    </row>
    <row r="1171" spans="5:7" hidden="1" x14ac:dyDescent="0.2">
      <c r="E1171" s="29"/>
      <c r="G1171" s="29"/>
    </row>
    <row r="1172" spans="5:7" hidden="1" x14ac:dyDescent="0.2">
      <c r="E1172" s="29"/>
      <c r="G1172" s="29"/>
    </row>
    <row r="1173" spans="5:7" hidden="1" x14ac:dyDescent="0.2">
      <c r="E1173" s="29"/>
      <c r="G1173" s="29"/>
    </row>
    <row r="1174" spans="5:7" hidden="1" x14ac:dyDescent="0.2">
      <c r="E1174" s="29"/>
      <c r="G1174" s="29"/>
    </row>
    <row r="1175" spans="5:7" hidden="1" x14ac:dyDescent="0.2">
      <c r="E1175" s="29"/>
      <c r="G1175" s="29"/>
    </row>
    <row r="1176" spans="5:7" hidden="1" x14ac:dyDescent="0.2">
      <c r="E1176" s="29"/>
      <c r="G1176" s="29"/>
    </row>
    <row r="1177" spans="5:7" hidden="1" x14ac:dyDescent="0.2">
      <c r="E1177" s="29"/>
      <c r="G1177" s="29"/>
    </row>
    <row r="1178" spans="5:7" hidden="1" x14ac:dyDescent="0.2">
      <c r="E1178" s="29"/>
      <c r="G1178" s="29"/>
    </row>
    <row r="1179" spans="5:7" hidden="1" x14ac:dyDescent="0.2">
      <c r="E1179" s="29"/>
      <c r="G1179" s="29"/>
    </row>
    <row r="1180" spans="5:7" hidden="1" x14ac:dyDescent="0.2">
      <c r="E1180" s="29"/>
      <c r="G1180" s="29"/>
    </row>
    <row r="1181" spans="5:7" hidden="1" x14ac:dyDescent="0.2">
      <c r="E1181" s="29"/>
      <c r="G1181" s="29"/>
    </row>
    <row r="1182" spans="5:7" hidden="1" x14ac:dyDescent="0.2">
      <c r="E1182" s="29"/>
      <c r="G1182" s="29"/>
    </row>
    <row r="1183" spans="5:7" hidden="1" x14ac:dyDescent="0.2">
      <c r="E1183" s="29"/>
      <c r="G1183" s="29"/>
    </row>
    <row r="1184" spans="5:7" hidden="1" x14ac:dyDescent="0.2">
      <c r="E1184" s="29"/>
      <c r="G1184" s="29"/>
    </row>
    <row r="1185" spans="5:7" hidden="1" x14ac:dyDescent="0.2">
      <c r="E1185" s="29"/>
      <c r="G1185" s="29"/>
    </row>
    <row r="1186" spans="5:7" hidden="1" x14ac:dyDescent="0.2">
      <c r="E1186" s="29"/>
      <c r="G1186" s="29"/>
    </row>
    <row r="1187" spans="5:7" hidden="1" x14ac:dyDescent="0.2">
      <c r="E1187" s="29"/>
      <c r="G1187" s="29"/>
    </row>
    <row r="1188" spans="5:7" hidden="1" x14ac:dyDescent="0.2">
      <c r="E1188" s="29"/>
      <c r="G1188" s="29"/>
    </row>
    <row r="1189" spans="5:7" hidden="1" x14ac:dyDescent="0.2">
      <c r="E1189" s="29"/>
      <c r="G1189" s="29"/>
    </row>
    <row r="1190" spans="5:7" hidden="1" x14ac:dyDescent="0.2">
      <c r="E1190" s="29"/>
      <c r="G1190" s="29"/>
    </row>
    <row r="1191" spans="5:7" hidden="1" x14ac:dyDescent="0.2">
      <c r="E1191" s="29"/>
      <c r="G1191" s="29"/>
    </row>
    <row r="1192" spans="5:7" hidden="1" x14ac:dyDescent="0.2">
      <c r="E1192" s="29"/>
      <c r="G1192" s="29"/>
    </row>
    <row r="1193" spans="5:7" hidden="1" x14ac:dyDescent="0.2">
      <c r="E1193" s="29"/>
      <c r="G1193" s="29"/>
    </row>
    <row r="1194" spans="5:7" hidden="1" x14ac:dyDescent="0.2">
      <c r="E1194" s="29"/>
      <c r="G1194" s="29"/>
    </row>
    <row r="1195" spans="5:7" hidden="1" x14ac:dyDescent="0.2">
      <c r="E1195" s="29"/>
      <c r="G1195" s="29"/>
    </row>
    <row r="1196" spans="5:7" hidden="1" x14ac:dyDescent="0.2">
      <c r="E1196" s="29"/>
      <c r="G1196" s="29"/>
    </row>
    <row r="1197" spans="5:7" hidden="1" x14ac:dyDescent="0.2">
      <c r="E1197" s="29"/>
      <c r="G1197" s="29"/>
    </row>
    <row r="1198" spans="5:7" hidden="1" x14ac:dyDescent="0.2">
      <c r="E1198" s="29"/>
      <c r="G1198" s="29"/>
    </row>
    <row r="1199" spans="5:7" hidden="1" x14ac:dyDescent="0.2">
      <c r="E1199" s="29"/>
      <c r="G1199" s="29"/>
    </row>
    <row r="1200" spans="5:7" hidden="1" x14ac:dyDescent="0.2">
      <c r="E1200" s="29"/>
      <c r="G1200" s="29"/>
    </row>
    <row r="1201" spans="1:16" hidden="1" x14ac:dyDescent="0.2">
      <c r="E1201" s="29"/>
      <c r="G1201" s="29"/>
    </row>
    <row r="1202" spans="1:16" hidden="1" x14ac:dyDescent="0.2">
      <c r="E1202" s="29"/>
      <c r="G1202" s="29"/>
    </row>
    <row r="1203" spans="1:16" hidden="1" x14ac:dyDescent="0.2">
      <c r="E1203" s="29"/>
      <c r="G1203" s="29"/>
    </row>
    <row r="1204" spans="1:16" hidden="1" x14ac:dyDescent="0.2">
      <c r="E1204" s="29"/>
      <c r="G1204" s="29"/>
    </row>
    <row r="1205" spans="1:16" hidden="1" x14ac:dyDescent="0.2">
      <c r="E1205" s="29"/>
      <c r="G1205" s="29"/>
    </row>
    <row r="1206" spans="1:16" hidden="1" x14ac:dyDescent="0.2">
      <c r="E1206" s="29"/>
      <c r="G1206" s="29"/>
    </row>
    <row r="1207" spans="1:16" hidden="1" x14ac:dyDescent="0.2">
      <c r="E1207" s="29"/>
      <c r="G1207" s="29"/>
    </row>
    <row r="1208" spans="1:16" hidden="1" x14ac:dyDescent="0.2">
      <c r="E1208" s="29"/>
      <c r="G1208" s="29"/>
    </row>
    <row r="1209" spans="1:16" hidden="1" x14ac:dyDescent="0.2">
      <c r="A1209" s="42"/>
      <c r="B1209" s="42"/>
      <c r="C1209" s="42"/>
      <c r="D1209" s="42"/>
      <c r="E1209" s="29"/>
      <c r="F1209" s="52"/>
      <c r="G1209" s="29"/>
      <c r="H1209" s="29"/>
      <c r="I1209" s="53"/>
      <c r="J1209" s="50"/>
      <c r="K1209" s="53"/>
      <c r="L1209" s="53"/>
      <c r="M1209" s="53"/>
      <c r="O1209" s="9" t="e">
        <f>IF(AND(#REF!="oui",#REF!="ligne directe"),H1222*E6*#REF!+(G1222*E6*(1-#REF!)),0)</f>
        <v>#REF!</v>
      </c>
    </row>
    <row r="1210" spans="1:16" hidden="1" x14ac:dyDescent="0.2">
      <c r="A1210" s="29" t="s">
        <v>4</v>
      </c>
      <c r="B1210" s="29"/>
      <c r="C1210" s="29"/>
      <c r="D1210" s="29"/>
      <c r="E1210" s="29"/>
      <c r="F1210" s="29">
        <f>E7</f>
        <v>0</v>
      </c>
      <c r="G1210" s="49"/>
      <c r="H1210" s="29"/>
      <c r="I1210" s="29"/>
      <c r="J1210" s="50"/>
      <c r="K1210" s="29"/>
      <c r="L1210" s="29"/>
      <c r="M1210" s="29"/>
      <c r="O1210" s="9" t="e">
        <f>IF(AND(#REF!="non",#REF!="ligne directe"),G1222,0)*E6</f>
        <v>#REF!</v>
      </c>
    </row>
    <row r="1211" spans="1:16" hidden="1" x14ac:dyDescent="0.2">
      <c r="A1211" s="29"/>
      <c r="B1211" s="29"/>
      <c r="C1211" s="29"/>
      <c r="D1211" s="29"/>
      <c r="E1211" s="29"/>
      <c r="F1211" s="29"/>
      <c r="G1211" s="29"/>
      <c r="H1211" s="29"/>
      <c r="I1211" s="29"/>
      <c r="J1211" s="50"/>
      <c r="K1211" s="29"/>
      <c r="L1211" s="29"/>
      <c r="M1211" s="29"/>
      <c r="O1211" s="9" t="e">
        <f>IF(#REF!="frère/soeur",G1233,0)*E6</f>
        <v>#REF!</v>
      </c>
    </row>
    <row r="1212" spans="1:16" hidden="1" x14ac:dyDescent="0.2">
      <c r="A1212" s="52" t="s">
        <v>5</v>
      </c>
      <c r="B1212" s="52"/>
      <c r="C1212" s="52"/>
      <c r="D1212" s="52"/>
      <c r="E1212" s="29"/>
      <c r="F1212" s="29"/>
      <c r="G1212" s="53" t="s">
        <v>6</v>
      </c>
      <c r="H1212" s="53" t="s">
        <v>25</v>
      </c>
      <c r="I1212" s="29"/>
      <c r="J1212" s="50"/>
      <c r="K1212" s="29"/>
      <c r="L1212" s="29"/>
      <c r="M1212" s="29"/>
      <c r="O1212" s="9" t="e">
        <f>IF(#REF!="oncle-tante/neveu-nièce",G1246,0)*E6</f>
        <v>#REF!</v>
      </c>
    </row>
    <row r="1213" spans="1:16" hidden="1" x14ac:dyDescent="0.2">
      <c r="A1213" s="29">
        <v>0</v>
      </c>
      <c r="B1213" s="29"/>
      <c r="C1213" s="29"/>
      <c r="D1213" s="29"/>
      <c r="E1213" s="29">
        <v>50000</v>
      </c>
      <c r="F1213" s="29">
        <f>IF(AND(F1210&gt;A1213, F1210&lt;=E1213),F1210,0)</f>
        <v>0</v>
      </c>
      <c r="G1213" s="29">
        <f>0+(3/100)*(-A1213+F1213)</f>
        <v>0</v>
      </c>
      <c r="H1213" s="29">
        <f>0+(2/100)*(-A1213+F1213)</f>
        <v>0</v>
      </c>
      <c r="I1213" s="29"/>
      <c r="J1213" s="50"/>
      <c r="K1213" s="29"/>
      <c r="L1213" s="29"/>
      <c r="M1213" s="29"/>
      <c r="O1213" s="9" t="e">
        <f>IF(#REF!="étrangers",M1246,0)*E6</f>
        <v>#REF!</v>
      </c>
      <c r="P1213" s="29"/>
    </row>
    <row r="1214" spans="1:16" hidden="1" x14ac:dyDescent="0.2">
      <c r="A1214" s="29">
        <f>E1213</f>
        <v>50000</v>
      </c>
      <c r="B1214" s="29"/>
      <c r="C1214" s="29"/>
      <c r="D1214" s="29"/>
      <c r="E1214" s="29">
        <v>100000</v>
      </c>
      <c r="F1214" s="29">
        <f>IF(AND(F1210&gt;A1214, F1210&lt;=E1214),F1210,0)</f>
        <v>0</v>
      </c>
      <c r="G1214" s="29">
        <f>(50000/100*3)+(8/100)*(-A1214+F1214)</f>
        <v>-2500</v>
      </c>
      <c r="H1214" s="29">
        <f>(50000/100*2)+(5.3/100)*(-A1214+F1214)</f>
        <v>-1650</v>
      </c>
      <c r="I1214" s="29"/>
      <c r="J1214" s="50"/>
      <c r="K1214" s="29"/>
      <c r="L1214" s="29"/>
      <c r="M1214" s="29"/>
      <c r="P1214" s="29"/>
    </row>
    <row r="1215" spans="1:16" hidden="1" x14ac:dyDescent="0.2">
      <c r="A1215" s="29">
        <f>E1214</f>
        <v>100000</v>
      </c>
      <c r="B1215" s="29"/>
      <c r="C1215" s="29"/>
      <c r="D1215" s="29"/>
      <c r="E1215" s="29">
        <v>175000</v>
      </c>
      <c r="F1215" s="29">
        <f>IF(AND(F1210&gt;A1215, F1210&lt;=E1215),F1210,0)</f>
        <v>0</v>
      </c>
      <c r="G1215" s="29">
        <f>(50000/100*3)+(50000/100*8)+((9/100)*(-A1215+F1215))</f>
        <v>-3500</v>
      </c>
      <c r="H1215" s="29">
        <f>(50000/100*2)+(50000/100*5.3)+((6/100)*(-A1215+F1215))</f>
        <v>-2350</v>
      </c>
      <c r="I1215" s="29"/>
      <c r="J1215" s="50"/>
      <c r="K1215" s="29"/>
      <c r="L1215" s="29"/>
      <c r="M1215" s="29"/>
      <c r="O1215" s="9" t="e">
        <f>SUM(O1209:O1214)</f>
        <v>#REF!</v>
      </c>
    </row>
    <row r="1216" spans="1:16" hidden="1" x14ac:dyDescent="0.2">
      <c r="A1216" s="29">
        <f>E1215</f>
        <v>175000</v>
      </c>
      <c r="B1216" s="29"/>
      <c r="C1216" s="29"/>
      <c r="D1216" s="29"/>
      <c r="E1216" s="29">
        <v>250000</v>
      </c>
      <c r="F1216" s="29">
        <f>IF(AND(F1210&gt;A1216, F1210&lt;=E1216),F1210,0)</f>
        <v>0</v>
      </c>
      <c r="G1216" s="29">
        <f>(50000/100*3)+(50000/100*8)+(75000/100*9)+((18/100)*(-A1216+F1216))</f>
        <v>-19250</v>
      </c>
      <c r="H1216" s="29">
        <f>(50000/100*2)+(50000/100*5.3)+(75000/100*6)+((12/100)*(-A1216+F1216))</f>
        <v>-12850</v>
      </c>
      <c r="I1216" s="29"/>
      <c r="J1216" s="50"/>
      <c r="K1216" s="29"/>
      <c r="L1216" s="29"/>
      <c r="M1216" s="29"/>
    </row>
    <row r="1217" spans="1:13" hidden="1" x14ac:dyDescent="0.2">
      <c r="A1217" s="29">
        <f>E1216</f>
        <v>250000</v>
      </c>
      <c r="B1217" s="29"/>
      <c r="C1217" s="29"/>
      <c r="D1217" s="29"/>
      <c r="E1217" s="29">
        <v>500000</v>
      </c>
      <c r="F1217" s="29">
        <f>IF(AND(F1210&gt;A1217, F1210&lt;=E1217),F1210,0)</f>
        <v>0</v>
      </c>
      <c r="G1217" s="29">
        <f>(50000/100*3)+(50000/100*8)+(75000/100*9)+(75000/100*18)+((24/100)*(-A1217+F1217))</f>
        <v>-34250</v>
      </c>
      <c r="H1217" s="29">
        <f>(50000/100*2)+(50000/100*5.3)+(75000/100*6)+(75000/100*12)+((24/100)*(-A1217+F1217))</f>
        <v>-42850</v>
      </c>
      <c r="I1217" s="29"/>
      <c r="J1217" s="29"/>
      <c r="K1217" s="29"/>
      <c r="L1217" s="29"/>
      <c r="M1217" s="29"/>
    </row>
    <row r="1218" spans="1:13" hidden="1" x14ac:dyDescent="0.2">
      <c r="A1218" s="29">
        <f>E1217</f>
        <v>500000</v>
      </c>
      <c r="B1218" s="29"/>
      <c r="C1218" s="29"/>
      <c r="D1218" s="29"/>
      <c r="E1218" s="29">
        <v>999999999</v>
      </c>
      <c r="F1218" s="29">
        <f>IF(AND(F1210&gt;A1218, F1210&lt;=E1218),F1210,0)</f>
        <v>0</v>
      </c>
      <c r="G1218" s="29">
        <f>(50000/100*3)+(50000/100*8)+(75000/100*9)+(75000/100*18)+(250000/100*24)+((30/100)*(-A1218+F1218))</f>
        <v>-64250</v>
      </c>
      <c r="H1218" s="29">
        <f>(50000/100*2)+(50000/100*5.3)+(75000/100*6)+(75000/100*12)+(250000/100*24)+((30/100)*(-A1218+F1218))</f>
        <v>-72850</v>
      </c>
      <c r="I1218" s="29"/>
      <c r="J1218" s="29"/>
      <c r="K1218" s="29"/>
      <c r="L1218" s="29"/>
      <c r="M1218" s="29"/>
    </row>
    <row r="1219" spans="1:13" hidden="1" x14ac:dyDescent="0.2">
      <c r="A1219" s="29"/>
      <c r="B1219" s="29"/>
      <c r="C1219" s="29"/>
      <c r="D1219" s="29"/>
      <c r="E1219" s="29"/>
      <c r="F1219" s="29"/>
      <c r="G1219" s="29"/>
      <c r="H1219" s="29"/>
      <c r="I1219" s="29"/>
      <c r="J1219" s="29"/>
      <c r="K1219" s="29"/>
      <c r="L1219" s="29"/>
      <c r="M1219" s="29"/>
    </row>
    <row r="1220" spans="1:13" hidden="1" x14ac:dyDescent="0.2">
      <c r="A1220" s="29"/>
      <c r="B1220" s="29"/>
      <c r="C1220" s="29"/>
      <c r="D1220" s="29"/>
      <c r="E1220" s="29"/>
      <c r="F1220" s="29"/>
      <c r="G1220" s="29"/>
      <c r="H1220" s="29"/>
      <c r="I1220" s="29"/>
      <c r="J1220" s="29"/>
      <c r="K1220" s="29"/>
      <c r="L1220" s="29"/>
      <c r="M1220" s="29"/>
    </row>
    <row r="1221" spans="1:13" hidden="1" x14ac:dyDescent="0.2">
      <c r="A1221" s="29"/>
      <c r="B1221" s="29"/>
      <c r="C1221" s="29"/>
      <c r="D1221" s="29"/>
      <c r="E1221" s="29"/>
      <c r="F1221" s="29"/>
      <c r="G1221" s="29"/>
      <c r="H1221" s="29"/>
      <c r="I1221" s="29"/>
      <c r="J1221" s="29"/>
      <c r="K1221" s="29"/>
      <c r="L1221" s="29"/>
      <c r="M1221" s="29"/>
    </row>
    <row r="1222" spans="1:13" hidden="1" x14ac:dyDescent="0.2">
      <c r="A1222" s="54" t="s">
        <v>7</v>
      </c>
      <c r="B1222" s="54"/>
      <c r="C1222" s="54"/>
      <c r="D1222" s="54"/>
      <c r="E1222" s="29"/>
      <c r="F1222" s="29"/>
      <c r="G1222" s="29">
        <f>VLOOKUP(F1210,F1213:G1218,2,FALSE)</f>
        <v>0</v>
      </c>
      <c r="H1222" s="29">
        <f>VLOOKUP(F1210,F1213:H1218,3,FALSE)</f>
        <v>0</v>
      </c>
      <c r="I1222" s="29"/>
      <c r="J1222" s="29"/>
      <c r="K1222" s="29"/>
      <c r="L1222" s="29"/>
      <c r="M1222" s="29"/>
    </row>
    <row r="1223" spans="1:13" hidden="1" x14ac:dyDescent="0.2">
      <c r="A1223" s="29"/>
      <c r="B1223" s="29"/>
      <c r="C1223" s="29"/>
      <c r="D1223" s="29"/>
      <c r="E1223" s="29"/>
      <c r="F1223" s="29"/>
      <c r="G1223" s="29"/>
      <c r="H1223" s="29"/>
      <c r="I1223" s="29"/>
      <c r="J1223" s="29"/>
      <c r="K1223" s="29"/>
      <c r="L1223" s="29"/>
      <c r="M1223" s="29"/>
    </row>
    <row r="1224" spans="1:13" hidden="1" x14ac:dyDescent="0.2">
      <c r="A1224" s="29"/>
      <c r="B1224" s="29"/>
      <c r="C1224" s="29"/>
      <c r="D1224" s="29"/>
      <c r="E1224" s="29"/>
      <c r="F1224" s="29"/>
      <c r="G1224" s="29"/>
      <c r="H1224" s="29"/>
      <c r="I1224" s="29"/>
      <c r="J1224" s="29"/>
      <c r="K1224" s="29"/>
      <c r="L1224" s="29"/>
      <c r="M1224" s="29"/>
    </row>
    <row r="1225" spans="1:13" hidden="1" x14ac:dyDescent="0.2">
      <c r="A1225" s="52" t="s">
        <v>8</v>
      </c>
      <c r="B1225" s="52"/>
      <c r="C1225" s="52"/>
      <c r="D1225" s="52"/>
      <c r="E1225" s="29"/>
      <c r="F1225" s="29"/>
      <c r="G1225" s="53" t="s">
        <v>9</v>
      </c>
      <c r="H1225" s="53"/>
      <c r="I1225" s="42"/>
      <c r="J1225" s="42"/>
      <c r="K1225" s="42"/>
      <c r="L1225" s="42"/>
      <c r="M1225" s="42"/>
    </row>
    <row r="1226" spans="1:13" hidden="1" x14ac:dyDescent="0.2">
      <c r="A1226" s="29">
        <v>0</v>
      </c>
      <c r="B1226" s="29"/>
      <c r="C1226" s="29"/>
      <c r="D1226" s="29"/>
      <c r="E1226" s="29">
        <v>12500</v>
      </c>
      <c r="F1226" s="29">
        <f>IF(AND(F1210&gt;A1226, F1210&lt;=E1226),F1210,0)</f>
        <v>0</v>
      </c>
      <c r="G1226" s="29">
        <f>0+(20/100)*(-A1226+F1226)</f>
        <v>0</v>
      </c>
      <c r="H1226" s="29"/>
      <c r="I1226" s="29"/>
      <c r="J1226" s="29"/>
      <c r="K1226" s="29"/>
      <c r="L1226" s="29"/>
      <c r="M1226" s="29"/>
    </row>
    <row r="1227" spans="1:13" hidden="1" x14ac:dyDescent="0.2">
      <c r="A1227" s="29">
        <f>E1226</f>
        <v>12500</v>
      </c>
      <c r="B1227" s="29"/>
      <c r="C1227" s="29"/>
      <c r="D1227" s="29"/>
      <c r="E1227" s="29">
        <v>25000</v>
      </c>
      <c r="F1227" s="29">
        <f>IF(AND(F1210&gt;A1227, F1210&lt;=E1227),F1210,0)</f>
        <v>0</v>
      </c>
      <c r="G1227" s="29">
        <f>(12500/100*20)+((25/100)*(-A1227+F1227))</f>
        <v>-625</v>
      </c>
      <c r="H1227" s="29"/>
      <c r="I1227" s="29"/>
      <c r="J1227" s="29"/>
      <c r="K1227" s="29"/>
      <c r="L1227" s="29"/>
      <c r="M1227" s="29"/>
    </row>
    <row r="1228" spans="1:13" hidden="1" x14ac:dyDescent="0.2">
      <c r="A1228" s="29">
        <f>E1227</f>
        <v>25000</v>
      </c>
      <c r="B1228" s="29"/>
      <c r="C1228" s="29"/>
      <c r="D1228" s="29"/>
      <c r="E1228" s="29">
        <v>50000</v>
      </c>
      <c r="F1228" s="29">
        <f>IF(AND(F1210&gt;A1228, F1210&lt;=E1228),F1210,0)</f>
        <v>0</v>
      </c>
      <c r="G1228" s="29">
        <f>(12500/100*20)+(12500/100*25)+((30/100)*(-A1228+F1228))</f>
        <v>-1875</v>
      </c>
      <c r="H1228" s="29"/>
      <c r="I1228" s="29"/>
      <c r="J1228" s="29"/>
      <c r="K1228" s="29"/>
      <c r="L1228" s="29"/>
      <c r="M1228" s="29"/>
    </row>
    <row r="1229" spans="1:13" hidden="1" x14ac:dyDescent="0.2">
      <c r="A1229" s="29">
        <f>E1228</f>
        <v>50000</v>
      </c>
      <c r="B1229" s="29"/>
      <c r="C1229" s="29"/>
      <c r="D1229" s="29"/>
      <c r="E1229" s="29">
        <v>100000</v>
      </c>
      <c r="F1229" s="29">
        <f>IF(AND(F1210&gt;A1229, F1210&lt;=E1229),F1210,0)</f>
        <v>0</v>
      </c>
      <c r="G1229" s="29">
        <f>(12500/100*20)+(12500/100*25)+(25000/100*30)+((40/100)*(-A1229+F1229))</f>
        <v>-6875</v>
      </c>
      <c r="H1229" s="29"/>
      <c r="I1229" s="29"/>
      <c r="J1229" s="29"/>
      <c r="K1229" s="29"/>
      <c r="L1229" s="29"/>
      <c r="M1229" s="29"/>
    </row>
    <row r="1230" spans="1:13" hidden="1" x14ac:dyDescent="0.2">
      <c r="A1230" s="29">
        <f>E1229</f>
        <v>100000</v>
      </c>
      <c r="B1230" s="29"/>
      <c r="C1230" s="29"/>
      <c r="D1230" s="29"/>
      <c r="E1230" s="29">
        <v>175000</v>
      </c>
      <c r="F1230" s="29">
        <f>IF(AND(F1210&gt;A1230, F1210&lt;=E1230),F1210,0)</f>
        <v>0</v>
      </c>
      <c r="G1230" s="29">
        <f>(12500/100*20)+(12500/100*25)+(25000/100*30)+(50000/100*40)+((55/100)*(-A1230+F1230))</f>
        <v>-21875.000000000007</v>
      </c>
      <c r="H1230" s="29"/>
      <c r="I1230" s="29"/>
      <c r="J1230" s="29"/>
      <c r="K1230" s="29"/>
      <c r="L1230" s="29"/>
      <c r="M1230" s="29"/>
    </row>
    <row r="1231" spans="1:13" hidden="1" x14ac:dyDescent="0.2">
      <c r="A1231" s="29">
        <v>175000</v>
      </c>
      <c r="B1231" s="29"/>
      <c r="C1231" s="29"/>
      <c r="D1231" s="29"/>
      <c r="E1231" s="29">
        <v>250000</v>
      </c>
      <c r="F1231" s="29">
        <f>IF(AND(F1210&gt;A1231, F1210&lt;=E1231),F1210,0)</f>
        <v>0</v>
      </c>
      <c r="G1231" s="29">
        <f>(12500/100*20)+(12500/100*25)+(25000/100*30)+(50000/100*40)+(75000/100*55)+((60/100)*(-A1231+F1231))</f>
        <v>-30625</v>
      </c>
      <c r="H1231" s="29"/>
      <c r="I1231" s="29"/>
      <c r="J1231" s="29"/>
      <c r="K1231" s="29"/>
      <c r="L1231" s="29"/>
      <c r="M1231" s="29"/>
    </row>
    <row r="1232" spans="1:13" hidden="1" x14ac:dyDescent="0.2">
      <c r="A1232" s="29">
        <f>E1231</f>
        <v>250000</v>
      </c>
      <c r="B1232" s="29"/>
      <c r="C1232" s="29"/>
      <c r="D1232" s="29"/>
      <c r="E1232" s="29">
        <v>999999999</v>
      </c>
      <c r="F1232" s="29">
        <f>IF(AND(F1210&gt;A1232, F1210&lt;=E1232),F1210,0)</f>
        <v>0</v>
      </c>
      <c r="G1232" s="29">
        <f>(12500/100*20)+(12500/100*25)+(25000/100*30)+(50000/100*40)+(75000/100*55)+(75000/100*60)+((65/100)*(-A1232+F1232))</f>
        <v>-43125</v>
      </c>
      <c r="H1232" s="29"/>
      <c r="I1232" s="29"/>
      <c r="J1232" s="29"/>
      <c r="K1232" s="29"/>
      <c r="L1232" s="29"/>
      <c r="M1232" s="29"/>
    </row>
    <row r="1233" spans="1:29" hidden="1" x14ac:dyDescent="0.2">
      <c r="A1233" s="54" t="s">
        <v>7</v>
      </c>
      <c r="B1233" s="54"/>
      <c r="C1233" s="54"/>
      <c r="D1233" s="54"/>
      <c r="E1233" s="29"/>
      <c r="F1233" s="29"/>
      <c r="G1233" s="29">
        <f>VLOOKUP(F1210,F1226:G1232,2,FALSE)</f>
        <v>0</v>
      </c>
      <c r="H1233" s="29"/>
      <c r="I1233" s="29"/>
      <c r="J1233" s="29"/>
      <c r="K1233" s="29"/>
      <c r="L1233" s="29"/>
      <c r="M1233" s="29"/>
    </row>
    <row r="1234" spans="1:29" hidden="1" x14ac:dyDescent="0.2"/>
    <row r="1235" spans="1:29" hidden="1" x14ac:dyDescent="0.2">
      <c r="E1235" s="29">
        <f>E5</f>
        <v>0</v>
      </c>
      <c r="F1235" s="29"/>
      <c r="G1235" s="29"/>
      <c r="H1235" s="32"/>
      <c r="I1235" s="29"/>
      <c r="J1235" s="33"/>
      <c r="M1235" s="33"/>
      <c r="O1235" s="33"/>
      <c r="Q1235" s="33"/>
      <c r="S1235" s="33"/>
      <c r="U1235" s="33"/>
      <c r="W1235" s="33"/>
      <c r="Y1235" s="33"/>
      <c r="AA1235" s="33"/>
      <c r="AC1235" s="33"/>
    </row>
    <row r="1236" spans="1:29" hidden="1" x14ac:dyDescent="0.2">
      <c r="E1236" s="29"/>
      <c r="F1236" s="29"/>
      <c r="G1236" s="29"/>
      <c r="H1236" s="32"/>
      <c r="I1236" s="29"/>
      <c r="J1236" s="33"/>
      <c r="M1236" s="33"/>
      <c r="O1236" s="33"/>
      <c r="Q1236" s="33"/>
      <c r="S1236" s="33"/>
      <c r="U1236" s="33"/>
      <c r="W1236" s="33"/>
      <c r="Y1236" s="33"/>
      <c r="AA1236" s="33"/>
      <c r="AC1236" s="33"/>
    </row>
    <row r="1237" spans="1:29" hidden="1" x14ac:dyDescent="0.2">
      <c r="E1237" s="29"/>
      <c r="F1237" s="29"/>
      <c r="G1237" s="29"/>
      <c r="H1237" s="32"/>
      <c r="I1237" s="29"/>
      <c r="J1237" s="33"/>
      <c r="M1237" s="33"/>
      <c r="O1237" s="33"/>
      <c r="Q1237" s="33"/>
      <c r="S1237" s="33"/>
      <c r="U1237" s="33"/>
      <c r="W1237" s="33"/>
      <c r="Y1237" s="33"/>
      <c r="AA1237" s="33"/>
      <c r="AC1237" s="33"/>
    </row>
    <row r="1238" spans="1:29" hidden="1" x14ac:dyDescent="0.2">
      <c r="A1238" s="52" t="s">
        <v>26</v>
      </c>
      <c r="B1238" s="52"/>
      <c r="C1238" s="52"/>
      <c r="D1238" s="52"/>
      <c r="E1238" s="29"/>
      <c r="F1238" s="29"/>
      <c r="G1238" s="53" t="s">
        <v>10</v>
      </c>
      <c r="H1238" s="32"/>
      <c r="I1238" s="52" t="s">
        <v>27</v>
      </c>
      <c r="J1238" s="29"/>
      <c r="K1238" s="29"/>
      <c r="L1238" s="29"/>
      <c r="M1238" s="53" t="s">
        <v>11</v>
      </c>
      <c r="O1238" s="33"/>
      <c r="Q1238" s="33"/>
      <c r="S1238" s="33"/>
      <c r="U1238" s="33"/>
      <c r="W1238" s="33"/>
      <c r="Y1238" s="33"/>
      <c r="AA1238" s="33"/>
      <c r="AC1238" s="33"/>
    </row>
    <row r="1239" spans="1:29" hidden="1" x14ac:dyDescent="0.2">
      <c r="A1239" s="29">
        <v>0</v>
      </c>
      <c r="B1239" s="29"/>
      <c r="C1239" s="29"/>
      <c r="D1239" s="29"/>
      <c r="E1239" s="29">
        <v>50000</v>
      </c>
      <c r="F1239" s="29">
        <f>IF(AND(F1210&gt;A1239, F1210&lt;=E1239),F1210,0)</f>
        <v>0</v>
      </c>
      <c r="G1239" s="29">
        <f>0+(35/100)*(-A1239+F1239)</f>
        <v>0</v>
      </c>
      <c r="H1239" s="32"/>
      <c r="I1239" s="29">
        <v>0</v>
      </c>
      <c r="J1239" s="29">
        <v>50000</v>
      </c>
      <c r="K1239" s="29">
        <f>IF(AND(F1210&gt;I1239, F1210&lt;=J1239),F1210,0)</f>
        <v>0</v>
      </c>
      <c r="L1239" s="29"/>
      <c r="M1239" s="29">
        <f>0+(40/100)*(-I1239+K1239)</f>
        <v>0</v>
      </c>
      <c r="O1239" s="33"/>
      <c r="Q1239" s="33"/>
      <c r="S1239" s="33"/>
      <c r="U1239" s="33"/>
      <c r="W1239" s="33"/>
      <c r="Y1239" s="33"/>
      <c r="AA1239" s="33"/>
      <c r="AC1239" s="33"/>
    </row>
    <row r="1240" spans="1:29" hidden="1" x14ac:dyDescent="0.2">
      <c r="A1240" s="29">
        <f>E1239</f>
        <v>50000</v>
      </c>
      <c r="B1240" s="29"/>
      <c r="C1240" s="29"/>
      <c r="D1240" s="29"/>
      <c r="E1240" s="29">
        <v>100000</v>
      </c>
      <c r="F1240" s="29">
        <f>IF(AND(F1210&gt;A1240, F1210&lt;=E1240),F1210,0)</f>
        <v>0</v>
      </c>
      <c r="G1240" s="29">
        <f>(50000/100*35)+((50/100)*(-A1240+F1240))</f>
        <v>-7500</v>
      </c>
      <c r="H1240" s="32"/>
      <c r="I1240" s="29">
        <f>J1239</f>
        <v>50000</v>
      </c>
      <c r="J1240" s="29">
        <v>75000</v>
      </c>
      <c r="K1240" s="29">
        <f>IF(AND(F1210&gt;I1240, F1210&lt;=J1240),F1210,0)</f>
        <v>0</v>
      </c>
      <c r="L1240" s="29"/>
      <c r="M1240" s="29">
        <f>(50000/100*40)+((55/100)*(-I1240+K1240))</f>
        <v>-7500.0000000000036</v>
      </c>
      <c r="O1240" s="33"/>
      <c r="Q1240" s="33"/>
      <c r="S1240" s="33"/>
      <c r="U1240" s="33"/>
      <c r="W1240" s="33"/>
      <c r="Y1240" s="33"/>
      <c r="AA1240" s="33"/>
      <c r="AC1240" s="33"/>
    </row>
    <row r="1241" spans="1:29" hidden="1" x14ac:dyDescent="0.2">
      <c r="A1241" s="29">
        <f>E1240</f>
        <v>100000</v>
      </c>
      <c r="B1241" s="29"/>
      <c r="C1241" s="29"/>
      <c r="D1241" s="29"/>
      <c r="E1241" s="29">
        <v>175000</v>
      </c>
      <c r="F1241" s="29">
        <f>IF(AND(F1210&gt;A1241, F1210&lt;=E1241),F1210,0)</f>
        <v>0</v>
      </c>
      <c r="G1241" s="29">
        <f>(50000/100*35)+(50000/100*50)+((60/100)*(-A1241+F1241))</f>
        <v>-17500</v>
      </c>
      <c r="H1241" s="32"/>
      <c r="I1241" s="29">
        <f>J1240</f>
        <v>75000</v>
      </c>
      <c r="J1241" s="29">
        <v>175000</v>
      </c>
      <c r="K1241" s="29">
        <f>IF(AND(F1210&gt;I1241, F1210&lt;=J1241),F1210,0)</f>
        <v>0</v>
      </c>
      <c r="L1241" s="29"/>
      <c r="M1241" s="29">
        <f>(50000/100*40)+(25000/100*55)+((65/100)*(-I1241+K1241))</f>
        <v>-15000</v>
      </c>
      <c r="O1241" s="33"/>
      <c r="Q1241" s="33"/>
      <c r="S1241" s="33"/>
      <c r="U1241" s="33"/>
      <c r="W1241" s="33"/>
      <c r="Y1241" s="33"/>
      <c r="AA1241" s="33"/>
      <c r="AC1241" s="33"/>
    </row>
    <row r="1242" spans="1:29" hidden="1" x14ac:dyDescent="0.2">
      <c r="A1242" s="29">
        <f>E1241</f>
        <v>175000</v>
      </c>
      <c r="B1242" s="29"/>
      <c r="C1242" s="29"/>
      <c r="D1242" s="29"/>
      <c r="E1242" s="29">
        <v>999999999</v>
      </c>
      <c r="F1242" s="29">
        <f>IF(AND(F1210&gt;A1242, F1210&lt;=E1242),F1210,0)</f>
        <v>0</v>
      </c>
      <c r="G1242" s="29">
        <f>(50000/100*35)+(50000/100*50)+(75000/100*60)+((70/100)*(-A1242+F1242))</f>
        <v>-34999.999999999985</v>
      </c>
      <c r="H1242" s="32"/>
      <c r="I1242" s="29">
        <f>J1241</f>
        <v>175000</v>
      </c>
      <c r="J1242" s="29">
        <v>999999999</v>
      </c>
      <c r="K1242" s="29">
        <f>IF(AND(F1210&gt;I1242, F1210&lt;=J1242),F1210,0)</f>
        <v>0</v>
      </c>
      <c r="L1242" s="29"/>
      <c r="M1242" s="29">
        <f>(50000/100*40)+(25000/100*55)+(100000/100*65)+((80/100)*(-I1242+K1242))</f>
        <v>-41250</v>
      </c>
      <c r="O1242" s="33"/>
      <c r="Q1242" s="33"/>
      <c r="S1242" s="33"/>
      <c r="U1242" s="33"/>
      <c r="W1242" s="33"/>
      <c r="Y1242" s="33"/>
      <c r="AA1242" s="33"/>
      <c r="AC1242" s="33"/>
    </row>
    <row r="1243" spans="1:29" hidden="1" x14ac:dyDescent="0.2">
      <c r="A1243" s="29"/>
      <c r="B1243" s="29"/>
      <c r="C1243" s="29"/>
      <c r="D1243" s="29"/>
      <c r="E1243" s="29"/>
      <c r="F1243" s="29"/>
      <c r="G1243" s="29"/>
      <c r="H1243" s="32"/>
      <c r="I1243" s="29"/>
      <c r="J1243" s="29"/>
      <c r="K1243" s="29"/>
      <c r="L1243" s="29"/>
      <c r="M1243" s="29"/>
      <c r="O1243" s="33"/>
      <c r="Q1243" s="33"/>
      <c r="S1243" s="33"/>
      <c r="U1243" s="33"/>
      <c r="W1243" s="33"/>
      <c r="Y1243" s="33"/>
      <c r="AA1243" s="33"/>
      <c r="AC1243" s="33"/>
    </row>
    <row r="1244" spans="1:29" hidden="1" x14ac:dyDescent="0.2">
      <c r="A1244" s="29"/>
      <c r="B1244" s="29"/>
      <c r="C1244" s="29"/>
      <c r="D1244" s="29"/>
      <c r="E1244" s="29"/>
      <c r="F1244" s="29"/>
      <c r="G1244" s="29"/>
      <c r="H1244" s="32"/>
      <c r="I1244" s="29"/>
      <c r="J1244" s="29"/>
      <c r="K1244" s="29"/>
      <c r="L1244" s="29"/>
      <c r="M1244" s="29"/>
      <c r="O1244" s="33"/>
      <c r="Q1244" s="33"/>
      <c r="S1244" s="33"/>
      <c r="U1244" s="33"/>
      <c r="W1244" s="33"/>
      <c r="Y1244" s="33"/>
      <c r="AA1244" s="33"/>
      <c r="AC1244" s="33"/>
    </row>
    <row r="1245" spans="1:29" hidden="1" x14ac:dyDescent="0.2">
      <c r="A1245" s="29"/>
      <c r="B1245" s="29"/>
      <c r="C1245" s="29"/>
      <c r="D1245" s="29"/>
      <c r="E1245" s="29"/>
      <c r="F1245" s="29"/>
      <c r="G1245" s="29"/>
      <c r="H1245" s="32"/>
      <c r="I1245" s="29"/>
      <c r="J1245" s="29"/>
      <c r="K1245" s="29"/>
      <c r="L1245" s="29"/>
      <c r="M1245" s="29"/>
      <c r="O1245" s="33"/>
      <c r="Q1245" s="33"/>
      <c r="S1245" s="33"/>
      <c r="U1245" s="33"/>
      <c r="W1245" s="33"/>
      <c r="Y1245" s="33"/>
      <c r="AA1245" s="33"/>
      <c r="AC1245" s="33"/>
    </row>
    <row r="1246" spans="1:29" hidden="1" x14ac:dyDescent="0.2">
      <c r="A1246" s="54" t="s">
        <v>7</v>
      </c>
      <c r="B1246" s="54"/>
      <c r="C1246" s="54"/>
      <c r="D1246" s="54"/>
      <c r="E1246" s="29"/>
      <c r="F1246" s="29"/>
      <c r="G1246" s="29">
        <f>VLOOKUP(F1210,F1239:G1242,2,FALSE)</f>
        <v>0</v>
      </c>
      <c r="H1246" s="32"/>
      <c r="I1246" s="54" t="s">
        <v>7</v>
      </c>
      <c r="J1246" s="29"/>
      <c r="K1246" s="29"/>
      <c r="L1246" s="29"/>
      <c r="M1246" s="29">
        <f>VLOOKUP(F1210,K1239:M1242,2,FALSE)</f>
        <v>0</v>
      </c>
      <c r="O1246" s="33"/>
      <c r="Q1246" s="33"/>
      <c r="S1246" s="33"/>
      <c r="U1246" s="33"/>
      <c r="W1246" s="33"/>
      <c r="Y1246" s="33"/>
      <c r="AA1246" s="33"/>
      <c r="AC1246" s="33"/>
    </row>
    <row r="1247" spans="1:29" hidden="1" x14ac:dyDescent="0.2">
      <c r="H1247" s="32"/>
      <c r="O1247" s="33"/>
      <c r="Q1247" s="33"/>
      <c r="S1247" s="33"/>
      <c r="U1247" s="33"/>
      <c r="W1247" s="33"/>
      <c r="Y1247" s="33"/>
      <c r="AA1247" s="33"/>
      <c r="AC1247" s="33"/>
    </row>
    <row r="1248" spans="1:29" hidden="1" x14ac:dyDescent="0.2">
      <c r="E1248" s="29">
        <f>E71</f>
        <v>0</v>
      </c>
      <c r="F1248" s="29"/>
      <c r="G1248" s="29"/>
      <c r="H1248" s="32"/>
      <c r="J1248" s="29">
        <f>J71</f>
        <v>0</v>
      </c>
      <c r="K1248" s="29"/>
      <c r="L1248" s="29"/>
      <c r="M1248" s="29"/>
      <c r="O1248" s="33"/>
      <c r="Q1248" s="33"/>
      <c r="S1248" s="33"/>
      <c r="U1248" s="33"/>
      <c r="W1248" s="33"/>
      <c r="Y1248" s="33"/>
      <c r="AA1248" s="33"/>
      <c r="AC1248" s="33"/>
    </row>
    <row r="1249" spans="1:30" hidden="1" x14ac:dyDescent="0.2">
      <c r="E1249" s="29"/>
      <c r="F1249" s="29"/>
      <c r="G1249" s="29"/>
      <c r="H1249" s="32"/>
      <c r="I1249" s="29"/>
      <c r="J1249" s="33"/>
      <c r="M1249" s="33"/>
      <c r="O1249" s="33"/>
      <c r="Q1249" s="33"/>
      <c r="S1249" s="33"/>
      <c r="U1249" s="33"/>
      <c r="W1249" s="33"/>
      <c r="Y1249" s="33"/>
      <c r="AA1249" s="33"/>
      <c r="AC1249" s="33"/>
    </row>
    <row r="1250" spans="1:30" ht="18" hidden="1" x14ac:dyDescent="0.25">
      <c r="E1250" s="29"/>
      <c r="F1250" s="29"/>
      <c r="G1250" s="29"/>
      <c r="H1250" s="235" t="s">
        <v>12</v>
      </c>
      <c r="I1250" s="235"/>
      <c r="J1250" s="234" t="s">
        <v>13</v>
      </c>
      <c r="K1250" s="234"/>
      <c r="L1250" s="36"/>
      <c r="M1250" s="234" t="s">
        <v>14</v>
      </c>
      <c r="N1250" s="234"/>
      <c r="O1250" s="234" t="s">
        <v>15</v>
      </c>
      <c r="P1250" s="234"/>
      <c r="Q1250" s="234" t="s">
        <v>16</v>
      </c>
      <c r="R1250" s="234"/>
      <c r="S1250" s="234" t="s">
        <v>17</v>
      </c>
      <c r="T1250" s="234"/>
      <c r="U1250" s="234" t="s">
        <v>18</v>
      </c>
      <c r="V1250" s="234"/>
      <c r="W1250" s="234" t="s">
        <v>19</v>
      </c>
      <c r="X1250" s="234"/>
      <c r="Y1250" s="234" t="s">
        <v>20</v>
      </c>
      <c r="Z1250" s="234"/>
      <c r="AA1250" s="234" t="s">
        <v>21</v>
      </c>
      <c r="AB1250" s="234"/>
      <c r="AC1250" s="234" t="s">
        <v>22</v>
      </c>
      <c r="AD1250" s="234"/>
    </row>
    <row r="1251" spans="1:30" hidden="1" x14ac:dyDescent="0.2">
      <c r="E1251" s="29">
        <v>0</v>
      </c>
      <c r="F1251" s="29">
        <v>7500</v>
      </c>
      <c r="G1251" s="29"/>
      <c r="H1251" s="33">
        <v>2.8500000000000001E-3</v>
      </c>
      <c r="I1251" s="29">
        <f t="shared" ref="I1251:I1257" si="21">IF((IF($F1251-($E$1235-$E1251)&gt;$E1251,($E$1235-$E1251)*H1251,($F1251-$E1251)*H1251))&lt;0,0,(IF($F1251-($E$1235-$E1251)&gt;$E1251,($E$1235-$E1251)*H1251,($F1251-$E1251)*H1251)))</f>
        <v>0</v>
      </c>
      <c r="J1251" s="33">
        <v>3.9899999999999996E-3</v>
      </c>
      <c r="K1251" s="29">
        <f t="shared" ref="K1251:K1257" si="22">IF((IF($F1251-($E$1235-$E1251)&gt;$E1251,($E$1235-$E1251)*J1251,($F1251-$E1251)*J1251))&lt;0,0,(IF($F1251-($E$1235-$E1251)&gt;$E1251,($E$1235-$E1251)*J1251,($F1251-$E1251)*J1251)))</f>
        <v>0</v>
      </c>
      <c r="L1251" s="29"/>
      <c r="M1251" s="33">
        <v>5.7000000000000002E-3</v>
      </c>
      <c r="N1251" s="29">
        <f t="shared" ref="N1251:N1257" si="23">IF((IF($F1251-($E$1235-$E1251)&gt;$E1251,($E$1235-$E1251)*M1251,($F1251-$E1251)*M1251))&lt;0,0,(IF($F1251-($E$1235-$E1251)&gt;$E1251,($E$1235-$E1251)*M1251,($F1251-$E1251)*M1251)))</f>
        <v>0</v>
      </c>
      <c r="O1251" s="33">
        <v>8.5500000000000003E-3</v>
      </c>
      <c r="P1251" s="29">
        <f t="shared" ref="P1251:P1257" si="24">IF((IF($F1251-($E$1235-$E1251)&gt;$E1251,($E$1235-$E1251)*O1251,($F1251-$E1251)*O1251))&lt;0,0,(IF($F1251-($E$1235-$E1251)&gt;$E1251,($E$1235-$E1251)*O1251,($F1251-$E1251)*O1251)))</f>
        <v>0</v>
      </c>
      <c r="Q1251" s="33">
        <v>1.14E-2</v>
      </c>
      <c r="R1251" s="29">
        <f t="shared" ref="R1251:R1257" si="25">IF((IF($F1251-($E$1235-$E1251)&gt;$E1251,($E$1235-$E1251)*Q1251,($F1251-$E1251)*Q1251))&lt;0,0,(IF($F1251-($E$1235-$E1251)&gt;$E1251,($E$1235-$E1251)*Q1251,($F1251-$E1251)*Q1251)))</f>
        <v>0</v>
      </c>
      <c r="S1251" s="33">
        <v>1.4250000000000001E-2</v>
      </c>
      <c r="T1251" s="29">
        <f t="shared" ref="T1251:T1257" si="26">IF((IF($F1251-($E$1235-$E1251)&gt;$E1251,($E$1235-$E1251)*S1251,($F1251-$E1251)*S1251))&lt;0,0,(IF($F1251-($E$1235-$E1251)&gt;$E1251,($E$1235-$E1251)*S1251,($F1251-$E1251)*S1251)))</f>
        <v>0</v>
      </c>
      <c r="U1251" s="33">
        <v>1.7100000000000001E-2</v>
      </c>
      <c r="V1251" s="29">
        <f t="shared" ref="V1251:V1257" si="27">IF((IF($F1251-($E$1235-$E1251)&gt;$E1251,($E$1235-$E1251)*U1251,($F1251-$E1251)*U1251))&lt;0,0,(IF($F1251-($E$1235-$E1251)&gt;$E1251,($E$1235-$E1251)*U1251,($F1251-$E1251)*U1251)))</f>
        <v>0</v>
      </c>
      <c r="W1251" s="33">
        <v>2.8500000000000001E-2</v>
      </c>
      <c r="X1251" s="29">
        <f t="shared" ref="X1251:X1257" si="28">IF((IF($F1251-($E$1235-$E1251)&gt;$E1251,($E$1235-$E1251)*W1251,($F1251-$E1251)*W1251))&lt;0,0,(IF($F1251-($E$1235-$E1251)&gt;$E1251,($E$1235-$E1251)*W1251,($F1251-$E1251)*W1251)))</f>
        <v>0</v>
      </c>
      <c r="Y1251" s="33">
        <v>3.4200000000000001E-2</v>
      </c>
      <c r="Z1251" s="29">
        <f t="shared" ref="Z1251:Z1257" si="29">IF((IF($F1251-($E$1235-$E1251)&gt;$E1251,($E$1235-$E1251)*Y1251,($F1251-$E1251)*Y1251))&lt;0,0,(IF($F1251-($E$1235-$E1251)&gt;$E1251,($E$1235-$E1251)*Y1251,($F1251-$E1251)*Y1251)))</f>
        <v>0</v>
      </c>
      <c r="AA1251" s="33">
        <v>4.5600000000000002E-2</v>
      </c>
      <c r="AB1251" s="29">
        <f t="shared" ref="AB1251:AB1257" si="30">IF((IF($F1251-($E$1235-$E1251)&gt;$E1251,($E$1235-$E1251)*AA1251,($F1251-$E1251)*AA1251))&lt;0,0,(IF($F1251-($E$1235-$E1251)&gt;$E1251,($E$1235-$E1251)*AA1251,($F1251-$E1251)*AA1251)))</f>
        <v>0</v>
      </c>
      <c r="AC1251" s="33">
        <v>5.7000000000000002E-2</v>
      </c>
      <c r="AD1251" s="29">
        <f t="shared" ref="AD1251:AD1257" si="31">IF((IF($F1251-($E$1235-$E1251)&gt;$E1251,($E$1235-$E1251)*AC1251,($F1251-$E1251)*AC1251))&lt;0,0,(IF($F1251-($E$1235-$E1251)&gt;$E1251,($E$1235-$E1251)*AC1251,($F1251-$E1251)*AC1251)))</f>
        <v>0</v>
      </c>
    </row>
    <row r="1252" spans="1:30" hidden="1" x14ac:dyDescent="0.2">
      <c r="E1252" s="29">
        <v>7500</v>
      </c>
      <c r="F1252" s="29">
        <v>17500</v>
      </c>
      <c r="G1252" s="29"/>
      <c r="H1252" s="33">
        <v>2.2799999999999999E-3</v>
      </c>
      <c r="I1252" s="29">
        <f t="shared" si="21"/>
        <v>0</v>
      </c>
      <c r="J1252" s="33">
        <v>3.4199999999999999E-3</v>
      </c>
      <c r="K1252" s="29">
        <f t="shared" si="22"/>
        <v>0</v>
      </c>
      <c r="L1252" s="29"/>
      <c r="M1252" s="33">
        <v>4.5599999999999998E-3</v>
      </c>
      <c r="N1252" s="29">
        <f t="shared" si="23"/>
        <v>0</v>
      </c>
      <c r="O1252" s="33">
        <v>6.8399999999999997E-3</v>
      </c>
      <c r="P1252" s="29">
        <f t="shared" si="24"/>
        <v>0</v>
      </c>
      <c r="Q1252" s="33">
        <v>8.5500000000000003E-3</v>
      </c>
      <c r="R1252" s="29">
        <f t="shared" si="25"/>
        <v>0</v>
      </c>
      <c r="S1252" s="33">
        <v>1.14E-2</v>
      </c>
      <c r="T1252" s="29">
        <f t="shared" si="26"/>
        <v>0</v>
      </c>
      <c r="U1252" s="33">
        <v>1.3679999999999999E-2</v>
      </c>
      <c r="V1252" s="29">
        <f t="shared" si="27"/>
        <v>0</v>
      </c>
      <c r="W1252" s="33">
        <v>1.7100000000000001E-2</v>
      </c>
      <c r="X1252" s="29">
        <f t="shared" si="28"/>
        <v>0</v>
      </c>
      <c r="Y1252" s="33">
        <v>2.5649999999999999E-2</v>
      </c>
      <c r="Z1252" s="29">
        <f t="shared" si="29"/>
        <v>0</v>
      </c>
      <c r="AA1252" s="33">
        <v>2.8500000000000001E-2</v>
      </c>
      <c r="AB1252" s="29">
        <f t="shared" si="30"/>
        <v>0</v>
      </c>
      <c r="AC1252" s="33">
        <v>5.1299999999999998E-2</v>
      </c>
      <c r="AD1252" s="29">
        <f t="shared" si="31"/>
        <v>0</v>
      </c>
    </row>
    <row r="1253" spans="1:30" hidden="1" x14ac:dyDescent="0.2">
      <c r="E1253" s="29">
        <v>17500</v>
      </c>
      <c r="F1253" s="29">
        <v>30000</v>
      </c>
      <c r="G1253" s="29"/>
      <c r="H1253" s="33">
        <v>1.7099999999999999E-3</v>
      </c>
      <c r="I1253" s="29">
        <f t="shared" si="21"/>
        <v>0</v>
      </c>
      <c r="J1253" s="33">
        <v>2.2799999999999999E-3</v>
      </c>
      <c r="K1253" s="29">
        <f t="shared" si="22"/>
        <v>0</v>
      </c>
      <c r="L1253" s="29"/>
      <c r="M1253" s="33">
        <v>3.4199999999999999E-3</v>
      </c>
      <c r="N1253" s="29">
        <f t="shared" si="23"/>
        <v>0</v>
      </c>
      <c r="O1253" s="33">
        <v>4.5599999999999998E-3</v>
      </c>
      <c r="P1253" s="29">
        <f t="shared" si="24"/>
        <v>0</v>
      </c>
      <c r="Q1253" s="33">
        <v>5.7000000000000002E-3</v>
      </c>
      <c r="R1253" s="29">
        <f t="shared" si="25"/>
        <v>0</v>
      </c>
      <c r="S1253" s="33">
        <v>6.8399999999999997E-3</v>
      </c>
      <c r="T1253" s="29">
        <f t="shared" si="26"/>
        <v>0</v>
      </c>
      <c r="U1253" s="33">
        <v>9.1199999999999996E-3</v>
      </c>
      <c r="V1253" s="29">
        <f t="shared" si="27"/>
        <v>0</v>
      </c>
      <c r="W1253" s="33">
        <v>1.4250000000000001E-2</v>
      </c>
      <c r="X1253" s="29">
        <f t="shared" si="28"/>
        <v>0</v>
      </c>
      <c r="Y1253" s="33">
        <v>1.7100000000000001E-2</v>
      </c>
      <c r="Z1253" s="29">
        <f t="shared" si="29"/>
        <v>0</v>
      </c>
      <c r="AA1253" s="33">
        <v>2.2800000000000001E-2</v>
      </c>
      <c r="AB1253" s="29">
        <f t="shared" si="30"/>
        <v>0</v>
      </c>
      <c r="AC1253" s="33">
        <v>4.5600000000000002E-2</v>
      </c>
      <c r="AD1253" s="29">
        <f t="shared" si="31"/>
        <v>0</v>
      </c>
    </row>
    <row r="1254" spans="1:30" hidden="1" x14ac:dyDescent="0.2">
      <c r="E1254" s="29">
        <v>30000</v>
      </c>
      <c r="F1254" s="29">
        <v>45495</v>
      </c>
      <c r="G1254" s="29"/>
      <c r="H1254" s="33">
        <v>1.14E-3</v>
      </c>
      <c r="I1254" s="29">
        <f t="shared" si="21"/>
        <v>0</v>
      </c>
      <c r="J1254" s="33">
        <v>1.7099999999999999E-3</v>
      </c>
      <c r="K1254" s="29">
        <f t="shared" si="22"/>
        <v>0</v>
      </c>
      <c r="L1254" s="29"/>
      <c r="M1254" s="33">
        <v>2.2799999999999999E-3</v>
      </c>
      <c r="N1254" s="29">
        <f t="shared" si="23"/>
        <v>0</v>
      </c>
      <c r="O1254" s="33">
        <v>3.4199999999999999E-3</v>
      </c>
      <c r="P1254" s="29">
        <f t="shared" si="24"/>
        <v>0</v>
      </c>
      <c r="Q1254" s="33">
        <v>4.5599999999999998E-3</v>
      </c>
      <c r="R1254" s="29">
        <f t="shared" si="25"/>
        <v>0</v>
      </c>
      <c r="S1254" s="33">
        <v>5.7000000000000002E-3</v>
      </c>
      <c r="T1254" s="29">
        <f t="shared" si="26"/>
        <v>0</v>
      </c>
      <c r="U1254" s="33">
        <v>6.8399999999999997E-3</v>
      </c>
      <c r="V1254" s="29">
        <f t="shared" si="27"/>
        <v>0</v>
      </c>
      <c r="W1254" s="33">
        <v>1.14E-2</v>
      </c>
      <c r="X1254" s="29">
        <f t="shared" si="28"/>
        <v>0</v>
      </c>
      <c r="Y1254" s="33">
        <v>1.14E-2</v>
      </c>
      <c r="Z1254" s="29">
        <f t="shared" si="29"/>
        <v>0</v>
      </c>
      <c r="AA1254" s="33">
        <v>1.7100000000000001E-2</v>
      </c>
      <c r="AB1254" s="29">
        <f t="shared" si="30"/>
        <v>0</v>
      </c>
      <c r="AC1254" s="33">
        <v>3.9899999999999998E-2</v>
      </c>
      <c r="AD1254" s="29">
        <f t="shared" si="31"/>
        <v>0</v>
      </c>
    </row>
    <row r="1255" spans="1:30" hidden="1" x14ac:dyDescent="0.2">
      <c r="E1255" s="29">
        <v>45495</v>
      </c>
      <c r="F1255" s="29">
        <v>64095</v>
      </c>
      <c r="G1255" s="29"/>
      <c r="H1255" s="33">
        <v>5.6999999999999998E-4</v>
      </c>
      <c r="I1255" s="29">
        <f t="shared" si="21"/>
        <v>0</v>
      </c>
      <c r="J1255" s="33">
        <v>1.14E-3</v>
      </c>
      <c r="K1255" s="29">
        <f t="shared" si="22"/>
        <v>0</v>
      </c>
      <c r="L1255" s="29"/>
      <c r="M1255" s="33">
        <v>1.14E-3</v>
      </c>
      <c r="N1255" s="29">
        <f t="shared" si="23"/>
        <v>0</v>
      </c>
      <c r="O1255" s="33">
        <v>2.2799999999999999E-3</v>
      </c>
      <c r="P1255" s="29">
        <f t="shared" si="24"/>
        <v>0</v>
      </c>
      <c r="Q1255" s="33">
        <v>2.8500000000000001E-3</v>
      </c>
      <c r="R1255" s="29">
        <f t="shared" si="25"/>
        <v>0</v>
      </c>
      <c r="S1255" s="33">
        <v>4.5599999999999998E-3</v>
      </c>
      <c r="T1255" s="29">
        <f t="shared" si="26"/>
        <v>0</v>
      </c>
      <c r="U1255" s="33">
        <v>4.5599999999999998E-3</v>
      </c>
      <c r="V1255" s="29">
        <f t="shared" si="27"/>
        <v>0</v>
      </c>
      <c r="W1255" s="33">
        <v>8.5500000000000003E-3</v>
      </c>
      <c r="X1255" s="29">
        <f t="shared" si="28"/>
        <v>0</v>
      </c>
      <c r="Y1255" s="33">
        <v>8.5500000000000003E-3</v>
      </c>
      <c r="Z1255" s="29">
        <f t="shared" si="29"/>
        <v>0</v>
      </c>
      <c r="AA1255" s="33">
        <v>1.14E-2</v>
      </c>
      <c r="AB1255" s="29">
        <f t="shared" si="30"/>
        <v>0</v>
      </c>
      <c r="AC1255" s="33">
        <v>2.8500000000000001E-2</v>
      </c>
      <c r="AD1255" s="29">
        <f t="shared" si="31"/>
        <v>0</v>
      </c>
    </row>
    <row r="1256" spans="1:30" hidden="1" x14ac:dyDescent="0.2">
      <c r="E1256" s="29">
        <v>64095</v>
      </c>
      <c r="F1256" s="29">
        <v>250095</v>
      </c>
      <c r="G1256" s="29"/>
      <c r="H1256" s="33">
        <v>2.2800000000000001E-4</v>
      </c>
      <c r="I1256" s="29">
        <f t="shared" si="21"/>
        <v>0</v>
      </c>
      <c r="J1256" s="33">
        <v>5.6999999999999998E-4</v>
      </c>
      <c r="K1256" s="29">
        <f t="shared" si="22"/>
        <v>0</v>
      </c>
      <c r="L1256" s="29"/>
      <c r="M1256" s="33">
        <v>5.6999999999999998E-4</v>
      </c>
      <c r="N1256" s="29">
        <f t="shared" si="23"/>
        <v>0</v>
      </c>
      <c r="O1256" s="33">
        <v>1.14E-3</v>
      </c>
      <c r="P1256" s="29">
        <f t="shared" si="24"/>
        <v>0</v>
      </c>
      <c r="Q1256" s="33">
        <v>1.14E-3</v>
      </c>
      <c r="R1256" s="29">
        <f t="shared" si="25"/>
        <v>0</v>
      </c>
      <c r="S1256" s="33">
        <v>2.2799999999999999E-3</v>
      </c>
      <c r="T1256" s="29">
        <f t="shared" si="26"/>
        <v>0</v>
      </c>
      <c r="U1256" s="33">
        <v>2.2799999999999999E-3</v>
      </c>
      <c r="V1256" s="29">
        <f t="shared" si="27"/>
        <v>0</v>
      </c>
      <c r="W1256" s="33">
        <v>5.7000000000000002E-3</v>
      </c>
      <c r="X1256" s="29">
        <f t="shared" si="28"/>
        <v>0</v>
      </c>
      <c r="Y1256" s="33">
        <v>5.7000000000000002E-3</v>
      </c>
      <c r="Z1256" s="29">
        <f t="shared" si="29"/>
        <v>0</v>
      </c>
      <c r="AA1256" s="33">
        <v>5.7000000000000002E-3</v>
      </c>
      <c r="AB1256" s="29">
        <f t="shared" si="30"/>
        <v>0</v>
      </c>
      <c r="AC1256" s="33">
        <v>1.3679999999999999E-2</v>
      </c>
      <c r="AD1256" s="29">
        <f t="shared" si="31"/>
        <v>0</v>
      </c>
    </row>
    <row r="1257" spans="1:30" hidden="1" x14ac:dyDescent="0.2">
      <c r="E1257" s="29">
        <v>250095</v>
      </c>
      <c r="F1257" s="29">
        <v>999999999999</v>
      </c>
      <c r="G1257" s="29"/>
      <c r="H1257" s="33">
        <v>1.1400000000000001E-4</v>
      </c>
      <c r="I1257" s="29">
        <f t="shared" si="21"/>
        <v>0</v>
      </c>
      <c r="J1257" s="33">
        <v>2.2800000000000001E-4</v>
      </c>
      <c r="K1257" s="29">
        <f t="shared" si="22"/>
        <v>0</v>
      </c>
      <c r="L1257" s="29"/>
      <c r="M1257" s="33">
        <v>2.2800000000000001E-4</v>
      </c>
      <c r="N1257" s="29">
        <f t="shared" si="23"/>
        <v>0</v>
      </c>
      <c r="O1257" s="33">
        <v>3.4200000000000002E-4</v>
      </c>
      <c r="P1257" s="29">
        <f t="shared" si="24"/>
        <v>0</v>
      </c>
      <c r="Q1257" s="33">
        <v>3.4200000000000002E-4</v>
      </c>
      <c r="R1257" s="29">
        <f t="shared" si="25"/>
        <v>0</v>
      </c>
      <c r="S1257" s="33">
        <v>4.5600000000000003E-4</v>
      </c>
      <c r="T1257" s="29">
        <f t="shared" si="26"/>
        <v>0</v>
      </c>
      <c r="U1257" s="33">
        <v>4.5600000000000003E-4</v>
      </c>
      <c r="V1257" s="29">
        <f t="shared" si="27"/>
        <v>0</v>
      </c>
      <c r="W1257" s="33">
        <v>5.6999999999999998E-4</v>
      </c>
      <c r="X1257" s="29">
        <f t="shared" si="28"/>
        <v>0</v>
      </c>
      <c r="Y1257" s="33">
        <v>5.6999999999999998E-4</v>
      </c>
      <c r="Z1257" s="29">
        <f t="shared" si="29"/>
        <v>0</v>
      </c>
      <c r="AA1257" s="33">
        <v>5.6999999999999998E-4</v>
      </c>
      <c r="AB1257" s="29">
        <f t="shared" si="30"/>
        <v>0</v>
      </c>
      <c r="AC1257" s="33">
        <v>1.14E-3</v>
      </c>
      <c r="AD1257" s="29">
        <f t="shared" si="31"/>
        <v>0</v>
      </c>
    </row>
    <row r="1258" spans="1:30" hidden="1" x14ac:dyDescent="0.2">
      <c r="E1258" s="29"/>
      <c r="F1258" s="29"/>
      <c r="G1258" s="29"/>
      <c r="H1258" s="33"/>
      <c r="I1258" s="29"/>
      <c r="J1258" s="33"/>
      <c r="K1258" s="29"/>
      <c r="L1258" s="29"/>
      <c r="M1258" s="33"/>
      <c r="N1258" s="29"/>
      <c r="O1258" s="33"/>
      <c r="P1258" s="29"/>
      <c r="Q1258" s="33"/>
      <c r="R1258" s="29"/>
      <c r="S1258" s="33"/>
      <c r="T1258" s="29"/>
      <c r="U1258" s="33"/>
      <c r="V1258" s="29"/>
      <c r="W1258" s="33"/>
      <c r="X1258" s="29"/>
      <c r="Y1258" s="33"/>
      <c r="Z1258" s="29"/>
      <c r="AA1258" s="33"/>
      <c r="AB1258" s="29"/>
      <c r="AC1258" s="33"/>
      <c r="AD1258" s="29"/>
    </row>
    <row r="1259" spans="1:30" hidden="1" x14ac:dyDescent="0.2">
      <c r="E1259" s="29"/>
      <c r="F1259" s="29"/>
      <c r="G1259" s="29"/>
      <c r="H1259" s="33"/>
      <c r="I1259" s="29"/>
      <c r="J1259" s="33"/>
      <c r="K1259" s="29"/>
      <c r="L1259" s="29"/>
      <c r="M1259" s="33"/>
      <c r="N1259" s="29"/>
      <c r="O1259" s="33"/>
      <c r="P1259" s="29"/>
      <c r="Q1259" s="33"/>
      <c r="R1259" s="29"/>
      <c r="S1259" s="33"/>
      <c r="T1259" s="29"/>
      <c r="U1259" s="33"/>
      <c r="V1259" s="29"/>
      <c r="W1259" s="33"/>
      <c r="X1259" s="29"/>
      <c r="Y1259" s="33"/>
      <c r="Z1259" s="29"/>
      <c r="AA1259" s="33"/>
      <c r="AB1259" s="29"/>
      <c r="AC1259" s="33"/>
      <c r="AD1259" s="29"/>
    </row>
    <row r="1260" spans="1:30" hidden="1" x14ac:dyDescent="0.2">
      <c r="A1260" s="29"/>
      <c r="B1260" s="29"/>
      <c r="C1260" s="29"/>
      <c r="D1260" s="29"/>
      <c r="E1260" s="29"/>
      <c r="F1260" s="29"/>
      <c r="G1260" s="29"/>
      <c r="H1260" s="32"/>
      <c r="I1260" s="29">
        <f>SUM(I1251:I1257)</f>
        <v>0</v>
      </c>
      <c r="J1260" s="32"/>
      <c r="K1260" s="29">
        <f>SUM(K1251:K1257)</f>
        <v>0</v>
      </c>
      <c r="L1260" s="29"/>
      <c r="M1260" s="32"/>
      <c r="N1260" s="29">
        <f>SUM(N1251:N1257)</f>
        <v>0</v>
      </c>
      <c r="O1260" s="32"/>
      <c r="P1260" s="29">
        <f>SUM(P1251:P1257)</f>
        <v>0</v>
      </c>
      <c r="Q1260" s="32"/>
      <c r="R1260" s="29">
        <f>SUM(R1251:R1257)</f>
        <v>0</v>
      </c>
      <c r="S1260" s="32"/>
      <c r="T1260" s="29">
        <f>SUM(T1251:T1257)</f>
        <v>0</v>
      </c>
      <c r="U1260" s="32"/>
      <c r="V1260" s="29">
        <f>SUM(V1251:V1257)</f>
        <v>0</v>
      </c>
      <c r="W1260" s="32"/>
      <c r="X1260" s="29">
        <f>SUM(X1251:X1257)</f>
        <v>0</v>
      </c>
      <c r="Y1260" s="32"/>
      <c r="Z1260" s="29">
        <f>SUM(Z1251:Z1257)</f>
        <v>0</v>
      </c>
      <c r="AA1260" s="32"/>
      <c r="AB1260" s="29">
        <f>SUM(AB1251:AB1257)</f>
        <v>0</v>
      </c>
      <c r="AC1260" s="32"/>
      <c r="AD1260" s="29">
        <f>SUM(AD1251:AD1257)</f>
        <v>0</v>
      </c>
    </row>
    <row r="1261" spans="1:30" hidden="1" x14ac:dyDescent="0.2">
      <c r="E1261" s="29"/>
      <c r="F1261" s="29"/>
      <c r="G1261" s="29"/>
      <c r="H1261" s="33"/>
      <c r="I1261" s="29"/>
      <c r="J1261" s="33"/>
      <c r="K1261" s="29"/>
      <c r="L1261" s="29"/>
      <c r="M1261" s="33"/>
      <c r="N1261" s="29"/>
      <c r="O1261" s="33"/>
      <c r="P1261" s="29"/>
      <c r="Q1261" s="33"/>
      <c r="R1261" s="29"/>
      <c r="S1261" s="33"/>
      <c r="T1261" s="29"/>
      <c r="U1261" s="33"/>
      <c r="V1261" s="29"/>
      <c r="W1261" s="33"/>
      <c r="X1261" s="29"/>
      <c r="Y1261" s="33"/>
      <c r="Z1261" s="29"/>
      <c r="AA1261" s="33"/>
      <c r="AB1261" s="29"/>
      <c r="AC1261" s="33"/>
      <c r="AD1261" s="29"/>
    </row>
    <row r="1262" spans="1:30" ht="18" hidden="1" x14ac:dyDescent="0.25">
      <c r="E1262" s="29"/>
      <c r="F1262" s="29"/>
      <c r="G1262" s="29"/>
      <c r="H1262" s="234" t="s">
        <v>23</v>
      </c>
      <c r="I1262" s="234"/>
      <c r="J1262" s="234" t="s">
        <v>24</v>
      </c>
      <c r="K1262" s="234"/>
      <c r="L1262" s="36"/>
      <c r="M1262" s="33"/>
      <c r="N1262" s="29"/>
      <c r="O1262" s="33"/>
      <c r="P1262" s="29"/>
      <c r="Q1262" s="33"/>
      <c r="R1262" s="29"/>
      <c r="S1262" s="33"/>
      <c r="T1262" s="29"/>
      <c r="U1262" s="33"/>
      <c r="V1262" s="29"/>
      <c r="W1262" s="33"/>
      <c r="X1262" s="29"/>
      <c r="Y1262" s="33"/>
      <c r="Z1262" s="29"/>
      <c r="AA1262" s="33"/>
      <c r="AB1262" s="29"/>
      <c r="AC1262" s="33"/>
      <c r="AD1262" s="29"/>
    </row>
    <row r="1263" spans="1:30" hidden="1" x14ac:dyDescent="0.2">
      <c r="E1263" s="29">
        <v>0</v>
      </c>
      <c r="F1263" s="29">
        <v>37000</v>
      </c>
      <c r="G1263" s="29"/>
      <c r="H1263" s="33">
        <v>5.7000000000000002E-3</v>
      </c>
      <c r="I1263" s="29">
        <f t="shared" ref="I1263:I1269" si="32">IF((IF($F1263-($E$1235-$E1263)&gt;$E1263,($E$1235-$E1263)*H1263,($F1263-$E1263)*H1263))&lt;0,0,(IF($F1263-($E$1235-$E1263)&gt;$E1263,($E$1235-$E1263)*H1263,($F1263-$E1263)*H1263)))</f>
        <v>0</v>
      </c>
      <c r="J1263" s="33">
        <v>8.5500000000000003E-3</v>
      </c>
      <c r="K1263" s="29">
        <f t="shared" ref="K1263:K1269" si="33">IF((IF($F1263-($E$1235-$E1263)&gt;$E1263,($E$1235-$E1263)*J1263,($F1263-$E1263)*J1263))&lt;0,0,(IF($F1263-($E$1235-$E1263)&gt;$E1263,($E$1235-$E1263)*J1263,($F1263-$E1263)*J1263)))</f>
        <v>0</v>
      </c>
      <c r="L1263" s="29"/>
      <c r="M1263" s="33"/>
      <c r="N1263" s="29"/>
      <c r="O1263" s="33"/>
      <c r="P1263" s="29"/>
      <c r="Q1263" s="33"/>
      <c r="R1263" s="29"/>
      <c r="S1263" s="33"/>
      <c r="T1263" s="29"/>
      <c r="U1263" s="33"/>
      <c r="V1263" s="29"/>
      <c r="W1263" s="33"/>
      <c r="X1263" s="29"/>
      <c r="Y1263" s="33"/>
      <c r="Z1263" s="29"/>
      <c r="AA1263" s="33"/>
      <c r="AB1263" s="29"/>
      <c r="AC1263" s="33"/>
      <c r="AD1263" s="29"/>
    </row>
    <row r="1264" spans="1:30" hidden="1" x14ac:dyDescent="0.2">
      <c r="E1264" s="29">
        <v>37000</v>
      </c>
      <c r="F1264" s="29">
        <v>99000</v>
      </c>
      <c r="G1264" s="29"/>
      <c r="H1264" s="33">
        <v>3.9899999999999996E-3</v>
      </c>
      <c r="I1264" s="29">
        <f t="shared" si="32"/>
        <v>0</v>
      </c>
      <c r="J1264" s="33">
        <v>5.7000000000000002E-3</v>
      </c>
      <c r="K1264" s="29">
        <f t="shared" si="33"/>
        <v>0</v>
      </c>
      <c r="L1264" s="29"/>
      <c r="M1264" s="33"/>
      <c r="N1264" s="29"/>
      <c r="O1264" s="33"/>
      <c r="P1264" s="29"/>
      <c r="Q1264" s="33"/>
      <c r="R1264" s="29"/>
      <c r="S1264" s="33"/>
      <c r="T1264" s="29"/>
      <c r="U1264" s="33"/>
      <c r="V1264" s="29"/>
      <c r="W1264" s="33"/>
      <c r="X1264" s="29"/>
      <c r="Y1264" s="33"/>
      <c r="Z1264" s="29"/>
      <c r="AA1264" s="33"/>
      <c r="AB1264" s="29"/>
      <c r="AC1264" s="33"/>
      <c r="AD1264" s="29"/>
    </row>
    <row r="1265" spans="1:30" hidden="1" x14ac:dyDescent="0.2">
      <c r="E1265" s="29">
        <v>99000</v>
      </c>
      <c r="F1265" s="29">
        <v>224000</v>
      </c>
      <c r="G1265" s="29"/>
      <c r="H1265" s="33">
        <v>2.8500000000000001E-3</v>
      </c>
      <c r="I1265" s="29">
        <f t="shared" si="32"/>
        <v>0</v>
      </c>
      <c r="J1265" s="33">
        <v>3.9899999999999996E-3</v>
      </c>
      <c r="K1265" s="29">
        <f t="shared" si="33"/>
        <v>0</v>
      </c>
      <c r="L1265" s="29"/>
      <c r="M1265" s="33"/>
      <c r="N1265" s="29"/>
      <c r="O1265" s="33"/>
      <c r="P1265" s="29"/>
      <c r="Q1265" s="33"/>
      <c r="R1265" s="29"/>
      <c r="S1265" s="33"/>
      <c r="T1265" s="29"/>
      <c r="U1265" s="33"/>
      <c r="V1265" s="29"/>
      <c r="W1265" s="33"/>
      <c r="X1265" s="29"/>
      <c r="Y1265" s="33"/>
      <c r="Z1265" s="29"/>
      <c r="AA1265" s="33"/>
      <c r="AB1265" s="29"/>
      <c r="AC1265" s="33"/>
      <c r="AD1265" s="29"/>
    </row>
    <row r="1266" spans="1:30" hidden="1" x14ac:dyDescent="0.2">
      <c r="E1266" s="29">
        <v>224000</v>
      </c>
      <c r="F1266" s="29">
        <v>534000</v>
      </c>
      <c r="G1266" s="29"/>
      <c r="H1266" s="33">
        <v>1.7099999999999999E-3</v>
      </c>
      <c r="I1266" s="29">
        <f t="shared" si="32"/>
        <v>0</v>
      </c>
      <c r="J1266" s="33">
        <v>2.2799999999999999E-3</v>
      </c>
      <c r="K1266" s="29">
        <f t="shared" si="33"/>
        <v>0</v>
      </c>
      <c r="L1266" s="29"/>
      <c r="M1266" s="33"/>
      <c r="N1266" s="29"/>
      <c r="O1266" s="33"/>
      <c r="P1266" s="29"/>
      <c r="Q1266" s="33"/>
      <c r="R1266" s="29"/>
      <c r="S1266" s="33"/>
      <c r="T1266" s="29"/>
      <c r="U1266" s="33"/>
      <c r="V1266" s="29"/>
      <c r="W1266" s="33"/>
      <c r="X1266" s="29"/>
      <c r="Y1266" s="33"/>
      <c r="Z1266" s="29"/>
      <c r="AA1266" s="33"/>
      <c r="AB1266" s="29"/>
      <c r="AC1266" s="33"/>
      <c r="AD1266" s="29"/>
    </row>
    <row r="1267" spans="1:30" hidden="1" x14ac:dyDescent="0.2">
      <c r="E1267" s="29">
        <v>534000</v>
      </c>
      <c r="F1267" s="29">
        <v>1784000</v>
      </c>
      <c r="G1267" s="29"/>
      <c r="H1267" s="33">
        <v>5.6999999999999998E-4</v>
      </c>
      <c r="I1267" s="29">
        <f t="shared" si="32"/>
        <v>0</v>
      </c>
      <c r="J1267" s="33">
        <v>1.14E-3</v>
      </c>
      <c r="K1267" s="29">
        <f t="shared" si="33"/>
        <v>0</v>
      </c>
      <c r="L1267" s="29"/>
      <c r="M1267" s="33"/>
      <c r="N1267" s="29"/>
      <c r="O1267" s="33"/>
      <c r="P1267" s="29"/>
      <c r="Q1267" s="33"/>
      <c r="R1267" s="29"/>
      <c r="S1267" s="33"/>
      <c r="T1267" s="29"/>
      <c r="U1267" s="33"/>
      <c r="V1267" s="29"/>
      <c r="W1267" s="33"/>
      <c r="X1267" s="29"/>
      <c r="Y1267" s="33"/>
      <c r="Z1267" s="29"/>
      <c r="AA1267" s="33"/>
      <c r="AB1267" s="29"/>
      <c r="AC1267" s="33"/>
      <c r="AD1267" s="29"/>
    </row>
    <row r="1268" spans="1:30" hidden="1" x14ac:dyDescent="0.2">
      <c r="E1268" s="29">
        <v>1784000</v>
      </c>
      <c r="F1268" s="29">
        <v>3333500</v>
      </c>
      <c r="G1268" s="29"/>
      <c r="H1268" s="33">
        <v>2.2800000000000001E-4</v>
      </c>
      <c r="I1268" s="29">
        <f t="shared" si="32"/>
        <v>0</v>
      </c>
      <c r="J1268" s="33">
        <v>4.5600000000000003E-4</v>
      </c>
      <c r="K1268" s="29">
        <f t="shared" si="33"/>
        <v>0</v>
      </c>
      <c r="L1268" s="29"/>
      <c r="M1268" s="33"/>
      <c r="N1268" s="29"/>
      <c r="O1268" s="33"/>
      <c r="P1268" s="29"/>
      <c r="Q1268" s="33"/>
      <c r="R1268" s="29"/>
      <c r="S1268" s="33"/>
      <c r="T1268" s="29"/>
      <c r="U1268" s="33"/>
      <c r="V1268" s="29"/>
      <c r="W1268" s="33"/>
      <c r="X1268" s="29"/>
      <c r="Y1268" s="33"/>
      <c r="Z1268" s="29"/>
      <c r="AA1268" s="33"/>
      <c r="AB1268" s="29"/>
      <c r="AC1268" s="33"/>
      <c r="AD1268" s="29"/>
    </row>
    <row r="1269" spans="1:30" hidden="1" x14ac:dyDescent="0.2">
      <c r="E1269" s="29">
        <v>3333500</v>
      </c>
      <c r="F1269" s="29">
        <v>999999999999</v>
      </c>
      <c r="G1269" s="29"/>
      <c r="H1269" s="33">
        <v>1.1400000000000001E-4</v>
      </c>
      <c r="I1269" s="29">
        <f t="shared" si="32"/>
        <v>0</v>
      </c>
      <c r="J1269" s="33">
        <v>2.2800000000000001E-4</v>
      </c>
      <c r="K1269" s="29">
        <f t="shared" si="33"/>
        <v>0</v>
      </c>
      <c r="L1269" s="29"/>
      <c r="M1269" s="33"/>
      <c r="N1269" s="29"/>
      <c r="O1269" s="33"/>
      <c r="P1269" s="29"/>
      <c r="Q1269" s="33"/>
      <c r="R1269" s="29"/>
      <c r="S1269" s="33"/>
      <c r="T1269" s="29"/>
      <c r="U1269" s="33"/>
      <c r="V1269" s="29"/>
      <c r="W1269" s="33"/>
      <c r="X1269" s="29"/>
      <c r="Y1269" s="33"/>
      <c r="Z1269" s="29"/>
      <c r="AA1269" s="33"/>
      <c r="AB1269" s="29"/>
      <c r="AC1269" s="33"/>
      <c r="AD1269" s="29"/>
    </row>
    <row r="1270" spans="1:30" hidden="1" x14ac:dyDescent="0.2">
      <c r="A1270" s="29"/>
      <c r="B1270" s="29"/>
      <c r="C1270" s="29"/>
      <c r="D1270" s="29"/>
      <c r="E1270" s="29"/>
      <c r="F1270" s="29"/>
      <c r="G1270" s="29"/>
      <c r="H1270" s="32"/>
      <c r="I1270" s="29">
        <f>SUM(I1263:I1269)</f>
        <v>0</v>
      </c>
      <c r="J1270" s="32"/>
      <c r="K1270" s="29">
        <f>SUM(K1263:K1269)</f>
        <v>0</v>
      </c>
      <c r="L1270" s="29"/>
      <c r="M1270" s="32"/>
      <c r="N1270" s="29"/>
      <c r="O1270" s="32"/>
      <c r="P1270" s="29"/>
      <c r="Q1270" s="32"/>
      <c r="R1270" s="29"/>
      <c r="S1270" s="32"/>
      <c r="T1270" s="29"/>
      <c r="U1270" s="32"/>
      <c r="V1270" s="29"/>
      <c r="W1270" s="32"/>
      <c r="X1270" s="29"/>
      <c r="Y1270" s="32"/>
      <c r="Z1270" s="29"/>
      <c r="AA1270" s="32"/>
      <c r="AB1270" s="29"/>
      <c r="AC1270" s="32"/>
      <c r="AD1270" s="29"/>
    </row>
    <row r="1271" spans="1:30" hidden="1" x14ac:dyDescent="0.2"/>
    <row r="1272" spans="1:30" hidden="1" x14ac:dyDescent="0.2"/>
    <row r="1273" spans="1:30" hidden="1" x14ac:dyDescent="0.2"/>
    <row r="1274" spans="1:30" hidden="1" x14ac:dyDescent="0.2"/>
    <row r="1275" spans="1:30" hidden="1" x14ac:dyDescent="0.2"/>
    <row r="1276" spans="1:30" hidden="1" x14ac:dyDescent="0.2"/>
    <row r="1277" spans="1:30" hidden="1" x14ac:dyDescent="0.2"/>
    <row r="1278" spans="1:30" hidden="1" x14ac:dyDescent="0.2"/>
    <row r="1279" spans="1:30" hidden="1" x14ac:dyDescent="0.2"/>
    <row r="1280" spans="1:3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</sheetData>
  <sheetProtection algorithmName="SHA-512" hashValue="hnfBmFZt4Hib4BVJPOon7pCqLjEP19ao6wXVR3UTwT1jb1ATHH4ynb4v43x6EnLujxI2ehQw7vm+OBkMMFm+Kg==" saltValue="v4g+13DG40m7wjdfql7zWg==" spinCount="100000" sheet="1" objects="1" scenarios="1"/>
  <mergeCells count="26">
    <mergeCell ref="AB102:AC102"/>
    <mergeCell ref="AD102:AE102"/>
    <mergeCell ref="AF102:AG102"/>
    <mergeCell ref="J114:K114"/>
    <mergeCell ref="N114:O114"/>
    <mergeCell ref="P102:Q102"/>
    <mergeCell ref="R102:S102"/>
    <mergeCell ref="T102:U102"/>
    <mergeCell ref="V102:W102"/>
    <mergeCell ref="X102:Y102"/>
    <mergeCell ref="Z102:AA102"/>
    <mergeCell ref="J102:K102"/>
    <mergeCell ref="N102:O102"/>
    <mergeCell ref="M1250:N1250"/>
    <mergeCell ref="H1262:I1262"/>
    <mergeCell ref="J1262:K1262"/>
    <mergeCell ref="H1250:I1250"/>
    <mergeCell ref="J1250:K1250"/>
    <mergeCell ref="AC1250:AD1250"/>
    <mergeCell ref="O1250:P1250"/>
    <mergeCell ref="Q1250:R1250"/>
    <mergeCell ref="S1250:T1250"/>
    <mergeCell ref="U1250:V1250"/>
    <mergeCell ref="W1250:X1250"/>
    <mergeCell ref="Y1250:Z1250"/>
    <mergeCell ref="AA1250:AB1250"/>
  </mergeCells>
  <phoneticPr fontId="0" type="noConversion"/>
  <dataValidations count="5">
    <dataValidation type="list" allowBlank="1" showInputMessage="1" showErrorMessage="1" sqref="E17">
      <formula1>$M$112:$M$113</formula1>
    </dataValidation>
    <dataValidation type="list" allowBlank="1" showInputMessage="1" showErrorMessage="1" sqref="I20 I55 I25 I30 I35 I40 I45 I50 I60">
      <formula1>$M$102:$M$103</formula1>
    </dataValidation>
    <dataValidation type="list" allowBlank="1" showInputMessage="1" showErrorMessage="1" sqref="F20 F25 F30 F35 F40 F45 F50 F55 F60">
      <formula1>$M$106:$M$110</formula1>
    </dataValidation>
    <dataValidation type="list" allowBlank="1" showInputMessage="1" showErrorMessage="1" sqref="E20 E22 E50 E25 E30 E35 E40 E45 E57 E52 E27 E32 E37 E42 E47 E55 E60 E62">
      <formula1>$M$115:$M$118</formula1>
    </dataValidation>
    <dataValidation type="list" allowBlank="1" showInputMessage="1" showErrorMessage="1" sqref="E9">
      <formula1>$M$102:$M$103</formula1>
    </dataValidation>
  </dataValidations>
  <hyperlinks>
    <hyperlink ref="G93" r:id="rId1"/>
    <hyperlink ref="E89" r:id="rId2"/>
    <hyperlink ref="E90" r:id="rId3"/>
    <hyperlink ref="E91" r:id="rId4"/>
    <hyperlink ref="E92" r:id="rId5"/>
    <hyperlink ref="E93" r:id="rId6"/>
    <hyperlink ref="G89" r:id="rId7"/>
    <hyperlink ref="G90" r:id="rId8"/>
    <hyperlink ref="G91" r:id="rId9"/>
    <hyperlink ref="G92" r:id="rId10"/>
    <hyperlink ref="F95" r:id="rId11"/>
  </hyperlinks>
  <pageMargins left="0.75" right="0.75" top="1" bottom="1" header="0.5" footer="0.5"/>
  <pageSetup paperSize="9" orientation="landscape" horizontalDpi="4294967293" r:id="rId12"/>
  <headerFooter alignWithMargins="0"/>
  <legacy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70"/>
  <sheetViews>
    <sheetView topLeftCell="G664" workbookViewId="0">
      <selection activeCell="M684" sqref="M684"/>
    </sheetView>
  </sheetViews>
  <sheetFormatPr defaultRowHeight="12.75" x14ac:dyDescent="0.2"/>
  <cols>
    <col min="1" max="1" width="50.5703125" style="9" customWidth="1"/>
    <col min="2" max="2" width="3.5703125" style="9" customWidth="1"/>
    <col min="3" max="3" width="2.140625" style="9" customWidth="1"/>
    <col min="4" max="4" width="4" style="9" customWidth="1"/>
    <col min="5" max="5" width="28.42578125" style="9" customWidth="1"/>
    <col min="6" max="6" width="15.7109375" style="9" customWidth="1"/>
    <col min="7" max="7" width="15.85546875" style="9" customWidth="1"/>
    <col min="8" max="8" width="11.42578125" style="9" customWidth="1"/>
    <col min="9" max="9" width="12.85546875" style="9" customWidth="1"/>
    <col min="10" max="10" width="17" style="9" customWidth="1"/>
    <col min="11" max="11" width="12.7109375" style="9" customWidth="1"/>
    <col min="12" max="12" width="13.42578125" style="9" customWidth="1"/>
    <col min="13" max="13" width="16.7109375" style="9" customWidth="1"/>
    <col min="14" max="14" width="18.7109375" style="9" customWidth="1"/>
    <col min="15" max="15" width="9.140625" style="9"/>
    <col min="16" max="16" width="13.140625" style="9" customWidth="1"/>
    <col min="17" max="26" width="9.140625" style="9"/>
    <col min="27" max="27" width="11" style="9" customWidth="1"/>
    <col min="28" max="41" width="9.140625" style="9"/>
    <col min="42" max="42" width="12.5703125" style="9" customWidth="1"/>
    <col min="43" max="16384" width="9.140625" style="9"/>
  </cols>
  <sheetData>
    <row r="1" spans="1:34" ht="22.5" customHeight="1" x14ac:dyDescent="0.3">
      <c r="A1" s="165"/>
      <c r="B1" s="166"/>
      <c r="C1" s="166"/>
      <c r="D1" s="166"/>
      <c r="E1" s="166"/>
      <c r="F1" s="115"/>
      <c r="G1" s="115"/>
      <c r="H1" s="116"/>
      <c r="I1" s="117"/>
      <c r="J1" s="117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 x14ac:dyDescent="0.2">
      <c r="A2" s="115"/>
      <c r="B2" s="115"/>
      <c r="C2" s="115"/>
      <c r="D2" s="115"/>
      <c r="E2" s="115"/>
      <c r="F2" s="115"/>
      <c r="G2" s="115"/>
      <c r="H2" s="117"/>
      <c r="I2" s="117"/>
      <c r="J2" s="117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</row>
    <row r="3" spans="1:34" x14ac:dyDescent="0.2">
      <c r="A3" s="115"/>
      <c r="B3" s="115"/>
      <c r="C3" s="115"/>
      <c r="D3" s="115"/>
      <c r="E3" s="118"/>
      <c r="F3" s="115"/>
      <c r="G3" s="115"/>
      <c r="H3" s="117"/>
      <c r="I3" s="117"/>
      <c r="J3" s="116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</row>
    <row r="4" spans="1:34" x14ac:dyDescent="0.2">
      <c r="A4" s="115"/>
      <c r="B4" s="115"/>
      <c r="C4" s="115"/>
      <c r="D4" s="115"/>
      <c r="E4" s="118"/>
      <c r="F4" s="115"/>
      <c r="G4" s="115"/>
      <c r="H4" s="117"/>
      <c r="I4" s="117"/>
      <c r="J4" s="116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</row>
    <row r="5" spans="1:34" x14ac:dyDescent="0.2">
      <c r="A5" s="117"/>
      <c r="B5" s="117"/>
      <c r="C5" s="117"/>
      <c r="D5" s="117"/>
      <c r="E5" s="119"/>
      <c r="F5" s="79"/>
      <c r="G5" s="115"/>
      <c r="H5" s="117"/>
      <c r="I5" s="117"/>
      <c r="J5" s="117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</row>
    <row r="6" spans="1:34" x14ac:dyDescent="0.2">
      <c r="A6" s="117"/>
      <c r="B6" s="117"/>
      <c r="C6" s="117"/>
      <c r="D6" s="117"/>
      <c r="E6" s="120"/>
      <c r="F6" s="79"/>
      <c r="G6" s="121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</row>
    <row r="7" spans="1:34" x14ac:dyDescent="0.2">
      <c r="A7" s="122"/>
      <c r="B7" s="122"/>
      <c r="C7" s="122"/>
      <c r="D7" s="122"/>
      <c r="E7" s="77"/>
      <c r="F7" s="79"/>
      <c r="G7" s="115"/>
      <c r="H7" s="117"/>
      <c r="I7" s="117"/>
      <c r="J7" s="117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</row>
    <row r="8" spans="1:34" x14ac:dyDescent="0.2">
      <c r="A8" s="122"/>
      <c r="B8" s="122"/>
      <c r="C8" s="122"/>
      <c r="D8" s="122"/>
      <c r="E8" s="77"/>
      <c r="F8" s="79"/>
      <c r="G8" s="115"/>
      <c r="H8" s="117"/>
      <c r="I8" s="117"/>
      <c r="J8" s="117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</row>
    <row r="9" spans="1:34" x14ac:dyDescent="0.2">
      <c r="A9" s="123"/>
      <c r="B9" s="122"/>
      <c r="C9" s="122"/>
      <c r="D9" s="122"/>
      <c r="E9" s="124"/>
      <c r="F9" s="79"/>
      <c r="G9" s="115"/>
      <c r="H9" s="117"/>
      <c r="I9" s="117"/>
      <c r="J9" s="117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</row>
    <row r="10" spans="1:34" x14ac:dyDescent="0.2">
      <c r="A10" s="123"/>
      <c r="B10" s="122"/>
      <c r="C10" s="122"/>
      <c r="D10" s="122"/>
      <c r="E10" s="79"/>
      <c r="F10" s="79"/>
      <c r="G10" s="115"/>
      <c r="H10" s="117"/>
      <c r="I10" s="117"/>
      <c r="J10" s="117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</row>
    <row r="11" spans="1:34" x14ac:dyDescent="0.2">
      <c r="A11" s="123"/>
      <c r="B11" s="123"/>
      <c r="C11" s="122"/>
      <c r="D11" s="122"/>
      <c r="E11" s="79"/>
      <c r="F11" s="79"/>
      <c r="G11" s="115"/>
      <c r="H11" s="117"/>
      <c r="I11" s="117"/>
      <c r="J11" s="117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</row>
    <row r="12" spans="1:34" x14ac:dyDescent="0.2">
      <c r="A12" s="123"/>
      <c r="B12" s="123"/>
      <c r="C12" s="122"/>
      <c r="D12" s="122"/>
      <c r="E12" s="79"/>
      <c r="F12" s="79"/>
      <c r="G12" s="115"/>
      <c r="H12" s="117"/>
      <c r="I12" s="117"/>
      <c r="J12" s="117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</row>
    <row r="13" spans="1:34" x14ac:dyDescent="0.2">
      <c r="A13" s="123"/>
      <c r="B13" s="123"/>
      <c r="C13" s="122"/>
      <c r="D13" s="122"/>
      <c r="E13" s="79"/>
      <c r="F13" s="125"/>
      <c r="G13" s="115"/>
      <c r="H13" s="117"/>
      <c r="I13" s="117"/>
      <c r="J13" s="117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</row>
    <row r="14" spans="1:34" x14ac:dyDescent="0.2">
      <c r="A14" s="122"/>
      <c r="B14" s="122"/>
      <c r="C14" s="122"/>
      <c r="D14" s="122"/>
      <c r="E14" s="126"/>
      <c r="F14" s="79"/>
      <c r="G14" s="115"/>
      <c r="H14" s="117"/>
      <c r="I14" s="117"/>
      <c r="J14" s="117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</row>
    <row r="15" spans="1:34" x14ac:dyDescent="0.2">
      <c r="A15" s="122"/>
      <c r="B15" s="123"/>
      <c r="C15" s="122"/>
      <c r="D15" s="122"/>
      <c r="E15" s="126"/>
      <c r="F15" s="127"/>
      <c r="G15" s="115"/>
      <c r="H15" s="117"/>
      <c r="I15" s="117"/>
      <c r="J15" s="117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</row>
    <row r="16" spans="1:34" x14ac:dyDescent="0.2">
      <c r="A16" s="122"/>
      <c r="B16" s="122"/>
      <c r="C16" s="122"/>
      <c r="D16" s="122"/>
      <c r="E16" s="126"/>
      <c r="F16" s="79"/>
      <c r="G16" s="115"/>
      <c r="H16" s="117"/>
      <c r="I16" s="117"/>
      <c r="J16" s="117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</row>
    <row r="17" spans="1:34" x14ac:dyDescent="0.2">
      <c r="A17" s="121"/>
      <c r="B17" s="121"/>
      <c r="C17" s="121"/>
      <c r="D17" s="121"/>
      <c r="E17" s="128"/>
      <c r="F17" s="79"/>
      <c r="G17" s="115"/>
      <c r="H17" s="117"/>
      <c r="I17" s="117"/>
      <c r="J17" s="117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</row>
    <row r="18" spans="1:34" x14ac:dyDescent="0.2">
      <c r="A18" s="79"/>
      <c r="B18" s="79"/>
      <c r="C18" s="79"/>
      <c r="D18" s="79"/>
      <c r="E18" s="79"/>
      <c r="F18" s="79"/>
      <c r="G18" s="79"/>
      <c r="H18" s="79"/>
      <c r="I18" s="12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</row>
    <row r="19" spans="1:34" ht="15" x14ac:dyDescent="0.35">
      <c r="A19" s="121"/>
      <c r="B19" s="167"/>
      <c r="C19" s="144"/>
      <c r="D19" s="121"/>
      <c r="E19" s="121"/>
      <c r="F19" s="129"/>
      <c r="G19" s="130"/>
      <c r="H19" s="130"/>
      <c r="I19" s="130"/>
      <c r="J19" s="130"/>
      <c r="K19" s="12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</row>
    <row r="20" spans="1:34" x14ac:dyDescent="0.2">
      <c r="A20" s="131"/>
      <c r="B20" s="132"/>
      <c r="C20" s="133"/>
      <c r="D20" s="134"/>
      <c r="E20" s="135"/>
      <c r="F20" s="128"/>
      <c r="G20" s="136"/>
      <c r="H20" s="137"/>
      <c r="I20" s="138"/>
      <c r="J20" s="139"/>
      <c r="K20" s="136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</row>
    <row r="21" spans="1:34" x14ac:dyDescent="0.2">
      <c r="A21" s="131"/>
      <c r="B21" s="140"/>
      <c r="C21" s="141"/>
      <c r="D21" s="79"/>
      <c r="E21" s="121"/>
      <c r="F21" s="115"/>
      <c r="G21" s="79"/>
      <c r="H21" s="125"/>
      <c r="I21" s="125"/>
      <c r="J21" s="142"/>
      <c r="K21" s="136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</row>
    <row r="22" spans="1:34" x14ac:dyDescent="0.2">
      <c r="A22" s="131"/>
      <c r="B22" s="132"/>
      <c r="C22" s="133"/>
      <c r="D22" s="134"/>
      <c r="E22" s="135"/>
      <c r="F22" s="115"/>
      <c r="G22" s="79"/>
      <c r="H22" s="125"/>
      <c r="I22" s="125"/>
      <c r="J22" s="142"/>
      <c r="K22" s="136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</row>
    <row r="23" spans="1:34" x14ac:dyDescent="0.2">
      <c r="A23" s="131"/>
      <c r="B23" s="140"/>
      <c r="C23" s="141"/>
      <c r="D23" s="79"/>
      <c r="E23" s="121"/>
      <c r="F23" s="115"/>
      <c r="G23" s="79"/>
      <c r="H23" s="125"/>
      <c r="I23" s="125"/>
      <c r="J23" s="142"/>
      <c r="K23" s="136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</row>
    <row r="24" spans="1:34" x14ac:dyDescent="0.2">
      <c r="A24" s="121"/>
      <c r="B24" s="167"/>
      <c r="C24" s="168"/>
      <c r="D24" s="169"/>
      <c r="E24" s="121"/>
      <c r="F24" s="143"/>
      <c r="G24" s="136"/>
      <c r="H24" s="137"/>
      <c r="I24" s="137"/>
      <c r="J24" s="142"/>
      <c r="K24" s="136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</row>
    <row r="25" spans="1:34" x14ac:dyDescent="0.2">
      <c r="A25" s="131"/>
      <c r="B25" s="132"/>
      <c r="C25" s="133"/>
      <c r="D25" s="134"/>
      <c r="E25" s="135"/>
      <c r="F25" s="128"/>
      <c r="G25" s="136"/>
      <c r="H25" s="137"/>
      <c r="I25" s="138"/>
      <c r="J25" s="139"/>
      <c r="K25" s="136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</row>
    <row r="26" spans="1:34" x14ac:dyDescent="0.2">
      <c r="A26" s="131"/>
      <c r="B26" s="140"/>
      <c r="C26" s="141"/>
      <c r="D26" s="79"/>
      <c r="E26" s="121"/>
      <c r="F26" s="115"/>
      <c r="G26" s="79"/>
      <c r="H26" s="125"/>
      <c r="I26" s="125"/>
      <c r="J26" s="142"/>
      <c r="K26" s="136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</row>
    <row r="27" spans="1:34" x14ac:dyDescent="0.2">
      <c r="A27" s="131"/>
      <c r="B27" s="132"/>
      <c r="C27" s="133"/>
      <c r="D27" s="134"/>
      <c r="E27" s="135"/>
      <c r="F27" s="115"/>
      <c r="G27" s="79"/>
      <c r="H27" s="125"/>
      <c r="I27" s="125"/>
      <c r="J27" s="142"/>
      <c r="K27" s="136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</row>
    <row r="28" spans="1:34" x14ac:dyDescent="0.2">
      <c r="A28" s="131"/>
      <c r="B28" s="140"/>
      <c r="C28" s="141"/>
      <c r="D28" s="79"/>
      <c r="E28" s="121"/>
      <c r="F28" s="115"/>
      <c r="G28" s="79"/>
      <c r="H28" s="125"/>
      <c r="I28" s="125"/>
      <c r="J28" s="142"/>
      <c r="K28" s="136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</row>
    <row r="29" spans="1:34" x14ac:dyDescent="0.2">
      <c r="A29" s="121"/>
      <c r="B29" s="167"/>
      <c r="C29" s="168"/>
      <c r="D29" s="169"/>
      <c r="E29" s="121"/>
      <c r="F29" s="143"/>
      <c r="G29" s="136"/>
      <c r="H29" s="137"/>
      <c r="I29" s="137"/>
      <c r="J29" s="142"/>
      <c r="K29" s="136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</row>
    <row r="30" spans="1:34" x14ac:dyDescent="0.2">
      <c r="A30" s="131"/>
      <c r="B30" s="132"/>
      <c r="C30" s="133"/>
      <c r="D30" s="134"/>
      <c r="E30" s="135"/>
      <c r="F30" s="128"/>
      <c r="G30" s="136"/>
      <c r="H30" s="137"/>
      <c r="I30" s="138"/>
      <c r="J30" s="139"/>
      <c r="K30" s="136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</row>
    <row r="31" spans="1:34" x14ac:dyDescent="0.2">
      <c r="A31" s="131"/>
      <c r="B31" s="140"/>
      <c r="C31" s="141"/>
      <c r="D31" s="79"/>
      <c r="E31" s="121"/>
      <c r="F31" s="115"/>
      <c r="G31" s="79"/>
      <c r="H31" s="125"/>
      <c r="I31" s="125"/>
      <c r="J31" s="142"/>
      <c r="K31" s="136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</row>
    <row r="32" spans="1:34" x14ac:dyDescent="0.2">
      <c r="A32" s="131"/>
      <c r="B32" s="132"/>
      <c r="C32" s="133"/>
      <c r="D32" s="134"/>
      <c r="E32" s="135"/>
      <c r="F32" s="115"/>
      <c r="G32" s="79"/>
      <c r="H32" s="125"/>
      <c r="I32" s="125"/>
      <c r="J32" s="142"/>
      <c r="K32" s="136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</row>
    <row r="33" spans="1:34" x14ac:dyDescent="0.2">
      <c r="A33" s="131"/>
      <c r="B33" s="140"/>
      <c r="C33" s="141"/>
      <c r="D33" s="79"/>
      <c r="E33" s="121"/>
      <c r="F33" s="115"/>
      <c r="G33" s="79"/>
      <c r="H33" s="125"/>
      <c r="I33" s="125"/>
      <c r="J33" s="142"/>
      <c r="K33" s="136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</row>
    <row r="34" spans="1:34" x14ac:dyDescent="0.2">
      <c r="A34" s="121"/>
      <c r="B34" s="167"/>
      <c r="C34" s="168"/>
      <c r="D34" s="169"/>
      <c r="E34" s="121"/>
      <c r="F34" s="143"/>
      <c r="G34" s="136"/>
      <c r="H34" s="137"/>
      <c r="I34" s="137"/>
      <c r="J34" s="142"/>
      <c r="K34" s="136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</row>
    <row r="35" spans="1:34" x14ac:dyDescent="0.2">
      <c r="A35" s="131"/>
      <c r="B35" s="132"/>
      <c r="C35" s="133"/>
      <c r="D35" s="134"/>
      <c r="E35" s="135"/>
      <c r="F35" s="128"/>
      <c r="G35" s="136"/>
      <c r="H35" s="137"/>
      <c r="I35" s="138"/>
      <c r="J35" s="139"/>
      <c r="K35" s="136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</row>
    <row r="36" spans="1:34" x14ac:dyDescent="0.2">
      <c r="A36" s="131"/>
      <c r="B36" s="140"/>
      <c r="C36" s="141"/>
      <c r="D36" s="79"/>
      <c r="E36" s="121"/>
      <c r="F36" s="115"/>
      <c r="G36" s="79"/>
      <c r="H36" s="125"/>
      <c r="I36" s="125"/>
      <c r="J36" s="142"/>
      <c r="K36" s="136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</row>
    <row r="37" spans="1:34" x14ac:dyDescent="0.2">
      <c r="A37" s="131"/>
      <c r="B37" s="132"/>
      <c r="C37" s="133"/>
      <c r="D37" s="134"/>
      <c r="E37" s="135"/>
      <c r="F37" s="115"/>
      <c r="G37" s="79"/>
      <c r="H37" s="125"/>
      <c r="I37" s="125"/>
      <c r="J37" s="142"/>
      <c r="K37" s="136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</row>
    <row r="38" spans="1:34" x14ac:dyDescent="0.2">
      <c r="A38" s="131"/>
      <c r="B38" s="140"/>
      <c r="C38" s="141"/>
      <c r="D38" s="79"/>
      <c r="E38" s="121"/>
      <c r="F38" s="115"/>
      <c r="G38" s="79"/>
      <c r="H38" s="125"/>
      <c r="I38" s="125"/>
      <c r="J38" s="142"/>
      <c r="K38" s="136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</row>
    <row r="39" spans="1:34" x14ac:dyDescent="0.2">
      <c r="A39" s="121"/>
      <c r="B39" s="167"/>
      <c r="C39" s="168"/>
      <c r="D39" s="169"/>
      <c r="E39" s="121"/>
      <c r="F39" s="143"/>
      <c r="G39" s="136"/>
      <c r="H39" s="137"/>
      <c r="I39" s="137"/>
      <c r="J39" s="142"/>
      <c r="K39" s="127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</row>
    <row r="40" spans="1:34" x14ac:dyDescent="0.2">
      <c r="A40" s="131"/>
      <c r="B40" s="132"/>
      <c r="C40" s="133"/>
      <c r="D40" s="134"/>
      <c r="E40" s="135"/>
      <c r="F40" s="128"/>
      <c r="G40" s="136"/>
      <c r="H40" s="137"/>
      <c r="I40" s="138"/>
      <c r="J40" s="139"/>
      <c r="K40" s="136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</row>
    <row r="41" spans="1:34" x14ac:dyDescent="0.2">
      <c r="A41" s="131"/>
      <c r="B41" s="140"/>
      <c r="C41" s="141"/>
      <c r="D41" s="79"/>
      <c r="E41" s="121"/>
      <c r="F41" s="115"/>
      <c r="G41" s="79"/>
      <c r="H41" s="125"/>
      <c r="I41" s="125"/>
      <c r="J41" s="142"/>
      <c r="K41" s="127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</row>
    <row r="42" spans="1:34" x14ac:dyDescent="0.2">
      <c r="A42" s="131"/>
      <c r="B42" s="132"/>
      <c r="C42" s="133"/>
      <c r="D42" s="134"/>
      <c r="E42" s="135"/>
      <c r="F42" s="115"/>
      <c r="G42" s="79"/>
      <c r="H42" s="125"/>
      <c r="I42" s="125"/>
      <c r="J42" s="142"/>
      <c r="K42" s="127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</row>
    <row r="43" spans="1:34" x14ac:dyDescent="0.2">
      <c r="A43" s="131"/>
      <c r="B43" s="140"/>
      <c r="C43" s="141"/>
      <c r="D43" s="79"/>
      <c r="E43" s="121"/>
      <c r="F43" s="115"/>
      <c r="G43" s="79"/>
      <c r="H43" s="125"/>
      <c r="I43" s="125"/>
      <c r="J43" s="142"/>
      <c r="K43" s="127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</row>
    <row r="44" spans="1:34" x14ac:dyDescent="0.2">
      <c r="A44" s="121"/>
      <c r="B44" s="167"/>
      <c r="C44" s="168"/>
      <c r="D44" s="169"/>
      <c r="E44" s="121"/>
      <c r="F44" s="143"/>
      <c r="G44" s="136"/>
      <c r="H44" s="137"/>
      <c r="I44" s="137"/>
      <c r="J44" s="142"/>
      <c r="K44" s="136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</row>
    <row r="45" spans="1:34" x14ac:dyDescent="0.2">
      <c r="A45" s="131"/>
      <c r="B45" s="132"/>
      <c r="C45" s="133"/>
      <c r="D45" s="134"/>
      <c r="E45" s="135"/>
      <c r="F45" s="128"/>
      <c r="G45" s="136"/>
      <c r="H45" s="137"/>
      <c r="I45" s="138"/>
      <c r="J45" s="139"/>
      <c r="K45" s="136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</row>
    <row r="46" spans="1:34" x14ac:dyDescent="0.2">
      <c r="A46" s="131"/>
      <c r="B46" s="140"/>
      <c r="C46" s="141"/>
      <c r="D46" s="79"/>
      <c r="E46" s="121"/>
      <c r="F46" s="115"/>
      <c r="G46" s="79"/>
      <c r="H46" s="125"/>
      <c r="I46" s="125"/>
      <c r="J46" s="142"/>
      <c r="K46" s="136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</row>
    <row r="47" spans="1:34" x14ac:dyDescent="0.2">
      <c r="A47" s="131"/>
      <c r="B47" s="132"/>
      <c r="C47" s="133"/>
      <c r="D47" s="134"/>
      <c r="E47" s="135"/>
      <c r="F47" s="115"/>
      <c r="G47" s="79"/>
      <c r="H47" s="125"/>
      <c r="I47" s="125"/>
      <c r="J47" s="142"/>
      <c r="K47" s="136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</row>
    <row r="48" spans="1:34" x14ac:dyDescent="0.2">
      <c r="A48" s="131"/>
      <c r="B48" s="140"/>
      <c r="C48" s="141"/>
      <c r="D48" s="79"/>
      <c r="E48" s="121"/>
      <c r="F48" s="115"/>
      <c r="G48" s="79"/>
      <c r="H48" s="125"/>
      <c r="I48" s="125"/>
      <c r="J48" s="142"/>
      <c r="K48" s="136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</row>
    <row r="49" spans="1:34" x14ac:dyDescent="0.2">
      <c r="A49" s="121"/>
      <c r="B49" s="167"/>
      <c r="C49" s="168"/>
      <c r="D49" s="169"/>
      <c r="E49" s="121"/>
      <c r="F49" s="115"/>
      <c r="G49" s="136"/>
      <c r="H49" s="137"/>
      <c r="I49" s="137"/>
      <c r="J49" s="142"/>
      <c r="K49" s="136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</row>
    <row r="50" spans="1:34" x14ac:dyDescent="0.2">
      <c r="A50" s="131"/>
      <c r="B50" s="132"/>
      <c r="C50" s="133"/>
      <c r="D50" s="134"/>
      <c r="E50" s="135"/>
      <c r="F50" s="128"/>
      <c r="G50" s="136"/>
      <c r="H50" s="137"/>
      <c r="I50" s="138"/>
      <c r="J50" s="139"/>
      <c r="K50" s="136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</row>
    <row r="51" spans="1:34" x14ac:dyDescent="0.2">
      <c r="A51" s="131"/>
      <c r="B51" s="140"/>
      <c r="C51" s="141"/>
      <c r="D51" s="79"/>
      <c r="E51" s="121"/>
      <c r="F51" s="115"/>
      <c r="G51" s="79"/>
      <c r="H51" s="125"/>
      <c r="I51" s="125"/>
      <c r="J51" s="142"/>
      <c r="K51" s="136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</row>
    <row r="52" spans="1:34" x14ac:dyDescent="0.2">
      <c r="A52" s="131"/>
      <c r="B52" s="132"/>
      <c r="C52" s="133"/>
      <c r="D52" s="134"/>
      <c r="E52" s="135"/>
      <c r="F52" s="115"/>
      <c r="G52" s="79"/>
      <c r="H52" s="125"/>
      <c r="I52" s="125"/>
      <c r="J52" s="142"/>
      <c r="K52" s="136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</row>
    <row r="53" spans="1:34" x14ac:dyDescent="0.2">
      <c r="A53" s="131"/>
      <c r="B53" s="140"/>
      <c r="C53" s="141"/>
      <c r="D53" s="79"/>
      <c r="E53" s="121"/>
      <c r="F53" s="115"/>
      <c r="G53" s="79"/>
      <c r="H53" s="125"/>
      <c r="I53" s="125"/>
      <c r="J53" s="142"/>
      <c r="K53" s="136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</row>
    <row r="54" spans="1:34" x14ac:dyDescent="0.2">
      <c r="A54" s="121"/>
      <c r="B54" s="167"/>
      <c r="C54" s="168"/>
      <c r="D54" s="169"/>
      <c r="E54" s="121"/>
      <c r="F54" s="143"/>
      <c r="G54" s="136"/>
      <c r="H54" s="137"/>
      <c r="I54" s="137"/>
      <c r="J54" s="142"/>
      <c r="K54" s="136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</row>
    <row r="55" spans="1:34" x14ac:dyDescent="0.2">
      <c r="A55" s="131"/>
      <c r="B55" s="132"/>
      <c r="C55" s="133"/>
      <c r="D55" s="134"/>
      <c r="E55" s="135"/>
      <c r="F55" s="128"/>
      <c r="G55" s="136"/>
      <c r="H55" s="137"/>
      <c r="I55" s="138"/>
      <c r="J55" s="139"/>
      <c r="K55" s="136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</row>
    <row r="56" spans="1:34" x14ac:dyDescent="0.2">
      <c r="A56" s="131"/>
      <c r="B56" s="140"/>
      <c r="C56" s="141"/>
      <c r="D56" s="79"/>
      <c r="E56" s="121"/>
      <c r="F56" s="115"/>
      <c r="G56" s="79"/>
      <c r="H56" s="125"/>
      <c r="I56" s="125"/>
      <c r="J56" s="142"/>
      <c r="K56" s="136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</row>
    <row r="57" spans="1:34" x14ac:dyDescent="0.2">
      <c r="A57" s="131"/>
      <c r="B57" s="132"/>
      <c r="C57" s="133"/>
      <c r="D57" s="134"/>
      <c r="E57" s="135"/>
      <c r="F57" s="115"/>
      <c r="G57" s="79"/>
      <c r="H57" s="125"/>
      <c r="I57" s="125"/>
      <c r="J57" s="142"/>
      <c r="K57" s="136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</row>
    <row r="58" spans="1:34" x14ac:dyDescent="0.2">
      <c r="A58" s="131"/>
      <c r="B58" s="140"/>
      <c r="C58" s="141"/>
      <c r="D58" s="79"/>
      <c r="E58" s="121"/>
      <c r="F58" s="115"/>
      <c r="G58" s="79"/>
      <c r="H58" s="125"/>
      <c r="I58" s="125"/>
      <c r="J58" s="142"/>
      <c r="K58" s="136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</row>
    <row r="59" spans="1:34" x14ac:dyDescent="0.2">
      <c r="A59" s="121"/>
      <c r="B59" s="167"/>
      <c r="C59" s="168"/>
      <c r="D59" s="169"/>
      <c r="E59" s="121"/>
      <c r="F59" s="143"/>
      <c r="G59" s="136"/>
      <c r="H59" s="137"/>
      <c r="I59" s="137"/>
      <c r="J59" s="142"/>
      <c r="K59" s="127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</row>
    <row r="60" spans="1:34" x14ac:dyDescent="0.2">
      <c r="A60" s="131"/>
      <c r="B60" s="132"/>
      <c r="C60" s="133"/>
      <c r="D60" s="134"/>
      <c r="E60" s="135"/>
      <c r="F60" s="128"/>
      <c r="G60" s="136"/>
      <c r="H60" s="137"/>
      <c r="I60" s="138"/>
      <c r="J60" s="139"/>
      <c r="K60" s="136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</row>
    <row r="61" spans="1:34" x14ac:dyDescent="0.2">
      <c r="A61" s="131"/>
      <c r="B61" s="140"/>
      <c r="C61" s="141"/>
      <c r="D61" s="79"/>
      <c r="E61" s="121"/>
      <c r="F61" s="115"/>
      <c r="G61" s="143"/>
      <c r="H61" s="79"/>
      <c r="I61" s="79"/>
      <c r="J61" s="79"/>
      <c r="K61" s="79"/>
      <c r="L61" s="125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</row>
    <row r="62" spans="1:34" x14ac:dyDescent="0.2">
      <c r="A62" s="131"/>
      <c r="B62" s="132"/>
      <c r="C62" s="133"/>
      <c r="D62" s="134"/>
      <c r="E62" s="135"/>
      <c r="F62" s="115"/>
      <c r="G62" s="143"/>
      <c r="H62" s="79"/>
      <c r="I62" s="79"/>
      <c r="J62" s="79"/>
      <c r="K62" s="79"/>
      <c r="L62" s="125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</row>
    <row r="63" spans="1:34" x14ac:dyDescent="0.2">
      <c r="A63" s="131"/>
      <c r="B63" s="140"/>
      <c r="C63" s="141"/>
      <c r="D63" s="79"/>
      <c r="E63" s="121"/>
      <c r="F63" s="115"/>
      <c r="G63" s="143"/>
      <c r="H63" s="79"/>
      <c r="I63" s="79"/>
      <c r="J63" s="79"/>
      <c r="K63" s="79"/>
      <c r="L63" s="125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</row>
    <row r="64" spans="1:34" x14ac:dyDescent="0.2">
      <c r="A64" s="121"/>
      <c r="B64" s="121"/>
      <c r="C64" s="121"/>
      <c r="D64" s="121"/>
      <c r="E64" s="121"/>
      <c r="F64" s="144"/>
      <c r="G64" s="121"/>
      <c r="H64" s="121"/>
      <c r="I64" s="121"/>
      <c r="J64" s="121"/>
      <c r="K64" s="136"/>
      <c r="L64" s="136"/>
      <c r="M64" s="136"/>
      <c r="N64" s="117"/>
      <c r="O64" s="125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</row>
    <row r="65" spans="1:34" x14ac:dyDescent="0.2">
      <c r="A65" s="121"/>
      <c r="B65" s="121"/>
      <c r="C65" s="121"/>
      <c r="D65" s="121"/>
      <c r="E65" s="121"/>
      <c r="F65" s="117"/>
      <c r="G65" s="136"/>
      <c r="H65" s="137"/>
      <c r="I65" s="136"/>
      <c r="J65" s="129"/>
      <c r="K65" s="127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</row>
    <row r="66" spans="1:34" x14ac:dyDescent="0.2">
      <c r="A66" s="122"/>
      <c r="B66" s="122"/>
      <c r="C66" s="122"/>
      <c r="D66" s="122"/>
      <c r="E66" s="126"/>
      <c r="F66" s="79"/>
      <c r="G66" s="115"/>
      <c r="H66" s="117"/>
      <c r="I66" s="117"/>
      <c r="J66" s="117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</row>
    <row r="67" spans="1:34" x14ac:dyDescent="0.2">
      <c r="A67" s="121"/>
      <c r="B67" s="121"/>
      <c r="C67" s="121"/>
      <c r="D67" s="121"/>
      <c r="E67" s="121"/>
      <c r="F67" s="145"/>
      <c r="G67" s="115"/>
      <c r="H67" s="117"/>
      <c r="I67" s="117"/>
      <c r="J67" s="117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</row>
    <row r="68" spans="1:34" x14ac:dyDescent="0.2">
      <c r="A68" s="146"/>
      <c r="B68" s="146"/>
      <c r="C68" s="146"/>
      <c r="D68" s="146"/>
      <c r="E68" s="115"/>
      <c r="F68" s="115"/>
      <c r="G68" s="115"/>
      <c r="H68" s="117"/>
      <c r="I68" s="117"/>
      <c r="J68" s="117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</row>
    <row r="69" spans="1:34" x14ac:dyDescent="0.2">
      <c r="A69" s="121"/>
      <c r="B69" s="121"/>
      <c r="C69" s="121"/>
      <c r="D69" s="121"/>
      <c r="E69" s="121"/>
      <c r="F69" s="121"/>
      <c r="G69" s="147"/>
      <c r="H69" s="117"/>
      <c r="I69" s="117"/>
      <c r="J69" s="148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</row>
    <row r="70" spans="1:34" x14ac:dyDescent="0.2">
      <c r="A70" s="121"/>
      <c r="B70" s="121"/>
      <c r="C70" s="121"/>
      <c r="D70" s="121"/>
      <c r="E70" s="121"/>
      <c r="F70" s="121"/>
      <c r="G70" s="148"/>
      <c r="H70" s="117"/>
      <c r="I70" s="117"/>
      <c r="J70" s="14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</row>
    <row r="71" spans="1:34" x14ac:dyDescent="0.2">
      <c r="A71" s="121"/>
      <c r="B71" s="121"/>
      <c r="C71" s="121"/>
      <c r="D71" s="121"/>
      <c r="E71" s="121"/>
      <c r="F71" s="121"/>
      <c r="G71" s="150"/>
      <c r="H71" s="117"/>
      <c r="I71" s="117"/>
      <c r="J71" s="117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</row>
    <row r="72" spans="1:34" x14ac:dyDescent="0.2">
      <c r="A72" s="121"/>
      <c r="B72" s="121"/>
      <c r="C72" s="121"/>
      <c r="D72" s="121"/>
      <c r="E72" s="151"/>
      <c r="F72" s="79"/>
      <c r="G72" s="148"/>
      <c r="H72" s="117"/>
      <c r="I72" s="117"/>
      <c r="J72" s="117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</row>
    <row r="73" spans="1:34" x14ac:dyDescent="0.2">
      <c r="A73" s="121"/>
      <c r="B73" s="121"/>
      <c r="C73" s="121"/>
      <c r="D73" s="121"/>
      <c r="E73" s="121"/>
      <c r="F73" s="121"/>
      <c r="G73" s="148"/>
      <c r="H73" s="117"/>
      <c r="I73" s="117"/>
      <c r="J73" s="117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</row>
    <row r="74" spans="1:34" x14ac:dyDescent="0.2">
      <c r="A74" s="121"/>
      <c r="B74" s="121"/>
      <c r="C74" s="121"/>
      <c r="D74" s="121"/>
      <c r="E74" s="121"/>
      <c r="F74" s="121"/>
      <c r="G74" s="150"/>
      <c r="H74" s="117"/>
      <c r="I74" s="117"/>
      <c r="J74" s="117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</row>
    <row r="75" spans="1:34" x14ac:dyDescent="0.2">
      <c r="A75" s="121"/>
      <c r="B75" s="121"/>
      <c r="C75" s="121"/>
      <c r="D75" s="121"/>
      <c r="E75" s="121"/>
      <c r="F75" s="152"/>
      <c r="G75" s="149"/>
      <c r="H75" s="117"/>
      <c r="I75" s="117"/>
      <c r="J75" s="117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</row>
    <row r="76" spans="1:34" x14ac:dyDescent="0.2">
      <c r="A76" s="121"/>
      <c r="B76" s="121"/>
      <c r="C76" s="121"/>
      <c r="D76" s="121"/>
      <c r="E76" s="121"/>
      <c r="F76" s="144"/>
      <c r="G76" s="148"/>
      <c r="H76" s="117"/>
      <c r="I76" s="117"/>
      <c r="J76" s="117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</row>
    <row r="77" spans="1:34" x14ac:dyDescent="0.2">
      <c r="A77" s="121"/>
      <c r="B77" s="121"/>
      <c r="C77" s="121"/>
      <c r="D77" s="121"/>
      <c r="E77" s="121"/>
      <c r="F77" s="152"/>
      <c r="G77" s="149"/>
      <c r="H77" s="117"/>
      <c r="I77" s="117"/>
      <c r="J77" s="117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</row>
    <row r="78" spans="1:34" x14ac:dyDescent="0.2">
      <c r="A78" s="121"/>
      <c r="B78" s="121"/>
      <c r="C78" s="121"/>
      <c r="D78" s="121"/>
      <c r="E78" s="121"/>
      <c r="F78" s="144"/>
      <c r="G78" s="150"/>
      <c r="H78" s="117"/>
      <c r="I78" s="117"/>
      <c r="J78" s="117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</row>
    <row r="79" spans="1:34" x14ac:dyDescent="0.2">
      <c r="A79" s="121"/>
      <c r="B79" s="121"/>
      <c r="C79" s="121"/>
      <c r="D79" s="121"/>
      <c r="E79" s="121"/>
      <c r="F79" s="152"/>
      <c r="G79" s="149"/>
      <c r="H79" s="117"/>
      <c r="I79" s="117"/>
      <c r="J79" s="117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</row>
    <row r="80" spans="1:34" x14ac:dyDescent="0.2">
      <c r="A80" s="121"/>
      <c r="B80" s="121"/>
      <c r="C80" s="121"/>
      <c r="D80" s="121"/>
      <c r="E80" s="121"/>
      <c r="F80" s="121"/>
      <c r="G80" s="148"/>
      <c r="H80" s="117"/>
      <c r="I80" s="117"/>
      <c r="J80" s="117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</row>
    <row r="81" spans="1:34" x14ac:dyDescent="0.2">
      <c r="A81" s="121"/>
      <c r="B81" s="121"/>
      <c r="C81" s="121"/>
      <c r="D81" s="121"/>
      <c r="E81" s="121"/>
      <c r="F81" s="121"/>
      <c r="G81" s="148"/>
      <c r="H81" s="117"/>
      <c r="I81" s="117"/>
      <c r="J81" s="148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</row>
    <row r="82" spans="1:34" x14ac:dyDescent="0.2">
      <c r="A82" s="121"/>
      <c r="B82" s="121"/>
      <c r="C82" s="121"/>
      <c r="D82" s="121"/>
      <c r="E82" s="121"/>
      <c r="F82" s="121"/>
      <c r="G82" s="121"/>
      <c r="H82" s="117"/>
      <c r="I82" s="121"/>
      <c r="J82" s="148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</row>
    <row r="83" spans="1:34" x14ac:dyDescent="0.2">
      <c r="A83" s="121"/>
      <c r="B83" s="121"/>
      <c r="C83" s="121"/>
      <c r="D83" s="121"/>
      <c r="E83" s="121"/>
      <c r="F83" s="121"/>
      <c r="G83" s="121"/>
      <c r="H83" s="117"/>
      <c r="I83" s="117"/>
      <c r="J83" s="148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</row>
    <row r="84" spans="1:34" x14ac:dyDescent="0.2">
      <c r="A84" s="79"/>
      <c r="B84" s="79"/>
      <c r="C84" s="79"/>
      <c r="D84" s="79"/>
      <c r="E84" s="79"/>
      <c r="F84" s="79"/>
      <c r="G84" s="79"/>
      <c r="H84" s="79"/>
      <c r="I84" s="79"/>
      <c r="J84" s="148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</row>
    <row r="85" spans="1:34" x14ac:dyDescent="0.2">
      <c r="A85" s="79"/>
      <c r="B85" s="79"/>
      <c r="C85" s="79"/>
      <c r="D85" s="79"/>
      <c r="E85" s="79"/>
      <c r="F85" s="79"/>
      <c r="G85" s="79"/>
      <c r="H85" s="79"/>
      <c r="I85" s="117"/>
      <c r="J85" s="148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</row>
    <row r="86" spans="1:34" x14ac:dyDescent="0.2">
      <c r="A86" s="79"/>
      <c r="B86" s="79"/>
      <c r="C86" s="79"/>
      <c r="D86" s="79"/>
      <c r="E86" s="79"/>
      <c r="F86" s="79"/>
      <c r="G86" s="79"/>
      <c r="H86" s="79"/>
      <c r="I86" s="79"/>
      <c r="J86" s="148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</row>
    <row r="87" spans="1:34" x14ac:dyDescent="0.2">
      <c r="A87" s="79"/>
      <c r="B87" s="79"/>
      <c r="C87" s="79"/>
      <c r="D87" s="79"/>
      <c r="E87" s="95"/>
      <c r="F87" s="79"/>
      <c r="G87" s="79"/>
      <c r="H87" s="79"/>
      <c r="I87" s="153"/>
      <c r="J87" s="148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</row>
    <row r="88" spans="1:34" x14ac:dyDescent="0.2">
      <c r="A88" s="79"/>
      <c r="B88" s="79"/>
      <c r="C88" s="79"/>
      <c r="D88" s="79"/>
      <c r="E88" s="95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</row>
    <row r="89" spans="1:34" x14ac:dyDescent="0.2">
      <c r="A89" s="79"/>
      <c r="B89" s="79"/>
      <c r="C89" s="79"/>
      <c r="D89" s="79"/>
      <c r="E89" s="154"/>
      <c r="F89" s="155"/>
      <c r="G89" s="154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</row>
    <row r="90" spans="1:34" x14ac:dyDescent="0.2">
      <c r="A90" s="79"/>
      <c r="B90" s="79"/>
      <c r="C90" s="79"/>
      <c r="D90" s="79"/>
      <c r="E90" s="154"/>
      <c r="F90" s="155"/>
      <c r="G90" s="154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</row>
    <row r="91" spans="1:34" x14ac:dyDescent="0.2">
      <c r="A91" s="79"/>
      <c r="B91" s="79"/>
      <c r="C91" s="79"/>
      <c r="D91" s="79"/>
      <c r="E91" s="154"/>
      <c r="F91" s="155"/>
      <c r="G91" s="154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</row>
    <row r="92" spans="1:34" x14ac:dyDescent="0.2">
      <c r="A92" s="79"/>
      <c r="B92" s="79"/>
      <c r="C92" s="79"/>
      <c r="D92" s="79"/>
      <c r="E92" s="154"/>
      <c r="F92" s="155"/>
      <c r="G92" s="154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</row>
    <row r="93" spans="1:34" x14ac:dyDescent="0.2">
      <c r="A93" s="79"/>
      <c r="B93" s="79"/>
      <c r="C93" s="79"/>
      <c r="D93" s="79"/>
      <c r="E93" s="154"/>
      <c r="F93" s="155"/>
      <c r="G93" s="156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</row>
    <row r="94" spans="1:34" x14ac:dyDescent="0.2">
      <c r="A94" s="79"/>
      <c r="B94" s="79"/>
      <c r="C94" s="79"/>
      <c r="D94" s="79"/>
      <c r="E94" s="95"/>
      <c r="F94" s="79"/>
      <c r="G94" s="95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</row>
    <row r="95" spans="1:34" x14ac:dyDescent="0.2">
      <c r="A95" s="79"/>
      <c r="B95" s="79"/>
      <c r="C95" s="79"/>
      <c r="D95" s="79"/>
      <c r="E95" s="95"/>
      <c r="F95" s="156"/>
      <c r="G95" s="95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</row>
    <row r="96" spans="1:34" x14ac:dyDescent="0.2">
      <c r="A96" s="79"/>
      <c r="B96" s="79"/>
      <c r="C96" s="79"/>
      <c r="D96" s="79"/>
      <c r="E96" s="95"/>
      <c r="F96" s="79"/>
      <c r="G96" s="95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</row>
    <row r="97" spans="1:34" x14ac:dyDescent="0.2">
      <c r="A97" s="79"/>
      <c r="B97" s="79"/>
      <c r="C97" s="79"/>
      <c r="D97" s="79"/>
      <c r="E97" s="95"/>
      <c r="F97" s="79"/>
      <c r="G97" s="95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</row>
    <row r="98" spans="1:34" x14ac:dyDescent="0.2">
      <c r="A98" s="79"/>
      <c r="B98" s="79"/>
      <c r="C98" s="79"/>
      <c r="D98" s="79"/>
      <c r="E98" s="95"/>
      <c r="F98" s="79"/>
      <c r="G98" s="95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</row>
    <row r="99" spans="1:34" ht="15" x14ac:dyDescent="0.25">
      <c r="A99" s="79"/>
      <c r="B99" s="79"/>
      <c r="C99" s="79"/>
      <c r="D99" s="79"/>
      <c r="E99" s="95"/>
      <c r="F99" s="155"/>
      <c r="G99" s="95"/>
      <c r="H99" s="95"/>
      <c r="I99" s="95"/>
      <c r="J99" s="157"/>
      <c r="K99" s="170"/>
      <c r="L99" s="170"/>
      <c r="M99" s="95"/>
      <c r="N99" s="158"/>
      <c r="O99" s="79"/>
      <c r="P99" s="159"/>
      <c r="Q99" s="79"/>
      <c r="R99" s="160"/>
      <c r="S99" s="79"/>
      <c r="T99" s="159"/>
      <c r="U99" s="79"/>
      <c r="V99" s="159"/>
      <c r="W99" s="79"/>
      <c r="X99" s="159"/>
      <c r="Y99" s="79"/>
      <c r="Z99" s="159"/>
      <c r="AA99" s="79"/>
      <c r="AB99" s="159"/>
      <c r="AC99" s="79"/>
      <c r="AD99" s="159"/>
      <c r="AE99" s="79"/>
      <c r="AF99" s="159"/>
      <c r="AG99" s="79"/>
      <c r="AH99" s="79"/>
    </row>
    <row r="100" spans="1:34" x14ac:dyDescent="0.2">
      <c r="A100" s="79"/>
      <c r="B100" s="79"/>
      <c r="C100" s="79"/>
      <c r="D100" s="79"/>
      <c r="E100" s="95"/>
      <c r="F100" s="155"/>
      <c r="G100" s="95"/>
      <c r="H100" s="95"/>
      <c r="I100" s="95"/>
      <c r="J100" s="157"/>
      <c r="K100" s="79"/>
      <c r="L100" s="79"/>
      <c r="M100" s="79"/>
      <c r="N100" s="95"/>
      <c r="O100" s="95"/>
      <c r="P100" s="95"/>
      <c r="Q100" s="79"/>
      <c r="R100" s="159"/>
      <c r="S100" s="79"/>
      <c r="T100" s="159"/>
      <c r="U100" s="79"/>
      <c r="V100" s="159"/>
      <c r="W100" s="79"/>
      <c r="X100" s="159"/>
      <c r="Y100" s="79"/>
      <c r="Z100" s="159"/>
      <c r="AA100" s="79"/>
      <c r="AB100" s="159"/>
      <c r="AC100" s="79"/>
      <c r="AD100" s="159"/>
      <c r="AE100" s="79"/>
      <c r="AF100" s="159"/>
      <c r="AG100" s="79"/>
      <c r="AH100" s="79"/>
    </row>
    <row r="101" spans="1:34" x14ac:dyDescent="0.2">
      <c r="A101" s="79"/>
      <c r="B101" s="79"/>
      <c r="C101" s="79"/>
      <c r="D101" s="79"/>
      <c r="E101" s="95"/>
      <c r="F101" s="155"/>
      <c r="G101" s="95"/>
      <c r="H101" s="95"/>
      <c r="I101" s="95"/>
      <c r="J101" s="157"/>
      <c r="K101" s="95"/>
      <c r="L101" s="95"/>
      <c r="M101" s="95"/>
      <c r="N101" s="159"/>
      <c r="O101" s="79"/>
      <c r="P101" s="159"/>
      <c r="Q101" s="79"/>
      <c r="R101" s="159"/>
      <c r="S101" s="79"/>
      <c r="T101" s="159"/>
      <c r="U101" s="79"/>
      <c r="V101" s="159"/>
      <c r="W101" s="79"/>
      <c r="X101" s="159"/>
      <c r="Y101" s="79"/>
      <c r="Z101" s="159"/>
      <c r="AA101" s="79"/>
      <c r="AB101" s="159"/>
      <c r="AC101" s="79"/>
      <c r="AD101" s="159"/>
      <c r="AE101" s="79"/>
      <c r="AF101" s="159"/>
      <c r="AG101" s="79"/>
      <c r="AH101" s="79"/>
    </row>
    <row r="102" spans="1:34" ht="18" x14ac:dyDescent="0.25">
      <c r="A102" s="79"/>
      <c r="B102" s="79"/>
      <c r="C102" s="79"/>
      <c r="D102" s="79"/>
      <c r="E102" s="95"/>
      <c r="F102" s="155"/>
      <c r="G102" s="95"/>
      <c r="H102" s="95"/>
      <c r="I102" s="95"/>
      <c r="J102" s="235"/>
      <c r="K102" s="235"/>
      <c r="L102" s="161"/>
      <c r="M102" s="95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34"/>
      <c r="Z102" s="234"/>
      <c r="AA102" s="234"/>
      <c r="AB102" s="234"/>
      <c r="AC102" s="234"/>
      <c r="AD102" s="234"/>
      <c r="AE102" s="234"/>
      <c r="AF102" s="234"/>
      <c r="AG102" s="234"/>
      <c r="AH102" s="79"/>
    </row>
    <row r="103" spans="1:34" x14ac:dyDescent="0.2">
      <c r="A103" s="79"/>
      <c r="B103" s="79"/>
      <c r="C103" s="79"/>
      <c r="D103" s="79"/>
      <c r="E103" s="95"/>
      <c r="F103" s="155"/>
      <c r="G103" s="95"/>
      <c r="H103" s="95"/>
      <c r="I103" s="95"/>
      <c r="J103" s="159"/>
      <c r="K103" s="95"/>
      <c r="L103" s="95"/>
      <c r="M103" s="95"/>
      <c r="N103" s="159"/>
      <c r="O103" s="95"/>
      <c r="P103" s="159"/>
      <c r="Q103" s="95"/>
      <c r="R103" s="159"/>
      <c r="S103" s="95"/>
      <c r="T103" s="159"/>
      <c r="U103" s="95"/>
      <c r="V103" s="159"/>
      <c r="W103" s="95"/>
      <c r="X103" s="159"/>
      <c r="Y103" s="95"/>
      <c r="Z103" s="159"/>
      <c r="AA103" s="95"/>
      <c r="AB103" s="159"/>
      <c r="AC103" s="95"/>
      <c r="AD103" s="159"/>
      <c r="AE103" s="95"/>
      <c r="AF103" s="159"/>
      <c r="AG103" s="95"/>
      <c r="AH103" s="79"/>
    </row>
    <row r="104" spans="1:34" x14ac:dyDescent="0.2">
      <c r="A104" s="79"/>
      <c r="B104" s="79"/>
      <c r="C104" s="79"/>
      <c r="D104" s="79"/>
      <c r="E104" s="95"/>
      <c r="F104" s="155"/>
      <c r="G104" s="95"/>
      <c r="H104" s="95"/>
      <c r="I104" s="95"/>
      <c r="J104" s="159"/>
      <c r="K104" s="95"/>
      <c r="L104" s="95"/>
      <c r="M104" s="95"/>
      <c r="N104" s="159"/>
      <c r="O104" s="95"/>
      <c r="P104" s="159"/>
      <c r="Q104" s="95"/>
      <c r="R104" s="159"/>
      <c r="S104" s="95"/>
      <c r="T104" s="159"/>
      <c r="U104" s="95"/>
      <c r="V104" s="159"/>
      <c r="W104" s="95"/>
      <c r="X104" s="159"/>
      <c r="Y104" s="95"/>
      <c r="Z104" s="159"/>
      <c r="AA104" s="95"/>
      <c r="AB104" s="159"/>
      <c r="AC104" s="95"/>
      <c r="AD104" s="159"/>
      <c r="AE104" s="95"/>
      <c r="AF104" s="159"/>
      <c r="AG104" s="95"/>
      <c r="AH104" s="79"/>
    </row>
    <row r="105" spans="1:34" x14ac:dyDescent="0.2">
      <c r="A105" s="79"/>
      <c r="B105" s="79"/>
      <c r="C105" s="79"/>
      <c r="D105" s="79"/>
      <c r="E105" s="95"/>
      <c r="F105" s="155"/>
      <c r="G105" s="95"/>
      <c r="H105" s="95"/>
      <c r="I105" s="95"/>
      <c r="J105" s="159"/>
      <c r="K105" s="95"/>
      <c r="L105" s="95"/>
      <c r="M105" s="95"/>
      <c r="N105" s="159"/>
      <c r="O105" s="95"/>
      <c r="P105" s="159"/>
      <c r="Q105" s="95"/>
      <c r="R105" s="159"/>
      <c r="S105" s="95"/>
      <c r="T105" s="159"/>
      <c r="U105" s="95"/>
      <c r="V105" s="159"/>
      <c r="W105" s="95"/>
      <c r="X105" s="159"/>
      <c r="Y105" s="95"/>
      <c r="Z105" s="159"/>
      <c r="AA105" s="95"/>
      <c r="AB105" s="159"/>
      <c r="AC105" s="95"/>
      <c r="AD105" s="159"/>
      <c r="AE105" s="95"/>
      <c r="AF105" s="159"/>
      <c r="AG105" s="95"/>
      <c r="AH105" s="79"/>
    </row>
    <row r="106" spans="1:34" x14ac:dyDescent="0.2">
      <c r="A106" s="79"/>
      <c r="B106" s="79"/>
      <c r="C106" s="79"/>
      <c r="D106" s="79"/>
      <c r="E106" s="95"/>
      <c r="F106" s="155"/>
      <c r="G106" s="95"/>
      <c r="H106" s="95"/>
      <c r="I106" s="95"/>
      <c r="J106" s="159"/>
      <c r="K106" s="95"/>
      <c r="L106" s="95"/>
      <c r="M106" s="79"/>
      <c r="N106" s="159"/>
      <c r="O106" s="95"/>
      <c r="P106" s="159"/>
      <c r="Q106" s="95"/>
      <c r="R106" s="159"/>
      <c r="S106" s="95"/>
      <c r="T106" s="159"/>
      <c r="U106" s="95"/>
      <c r="V106" s="159"/>
      <c r="W106" s="95"/>
      <c r="X106" s="159"/>
      <c r="Y106" s="95"/>
      <c r="Z106" s="159"/>
      <c r="AA106" s="95"/>
      <c r="AB106" s="159"/>
      <c r="AC106" s="95"/>
      <c r="AD106" s="159"/>
      <c r="AE106" s="95"/>
      <c r="AF106" s="159"/>
      <c r="AG106" s="95"/>
      <c r="AH106" s="79"/>
    </row>
    <row r="107" spans="1:34" x14ac:dyDescent="0.2">
      <c r="A107" s="79"/>
      <c r="B107" s="79"/>
      <c r="C107" s="79"/>
      <c r="D107" s="79"/>
      <c r="E107" s="95"/>
      <c r="F107" s="155"/>
      <c r="G107" s="95"/>
      <c r="H107" s="95"/>
      <c r="I107" s="95"/>
      <c r="J107" s="159"/>
      <c r="K107" s="95"/>
      <c r="L107" s="95"/>
      <c r="M107" s="95"/>
      <c r="N107" s="159"/>
      <c r="O107" s="95"/>
      <c r="P107" s="159"/>
      <c r="Q107" s="95"/>
      <c r="R107" s="159"/>
      <c r="S107" s="95"/>
      <c r="T107" s="159"/>
      <c r="U107" s="95"/>
      <c r="V107" s="159"/>
      <c r="W107" s="95"/>
      <c r="X107" s="159"/>
      <c r="Y107" s="95"/>
      <c r="Z107" s="159"/>
      <c r="AA107" s="95"/>
      <c r="AB107" s="159"/>
      <c r="AC107" s="95"/>
      <c r="AD107" s="159"/>
      <c r="AE107" s="95"/>
      <c r="AF107" s="159"/>
      <c r="AG107" s="95"/>
      <c r="AH107" s="79"/>
    </row>
    <row r="108" spans="1:34" x14ac:dyDescent="0.2">
      <c r="A108" s="79"/>
      <c r="B108" s="79"/>
      <c r="C108" s="79"/>
      <c r="D108" s="79"/>
      <c r="E108" s="95"/>
      <c r="F108" s="155"/>
      <c r="G108" s="95"/>
      <c r="H108" s="95"/>
      <c r="I108" s="95"/>
      <c r="J108" s="159"/>
      <c r="K108" s="95"/>
      <c r="L108" s="95"/>
      <c r="M108" s="95"/>
      <c r="N108" s="159"/>
      <c r="O108" s="95"/>
      <c r="P108" s="159"/>
      <c r="Q108" s="95"/>
      <c r="R108" s="159"/>
      <c r="S108" s="95"/>
      <c r="T108" s="159"/>
      <c r="U108" s="95"/>
      <c r="V108" s="159"/>
      <c r="W108" s="95"/>
      <c r="X108" s="159"/>
      <c r="Y108" s="95"/>
      <c r="Z108" s="159"/>
      <c r="AA108" s="95"/>
      <c r="AB108" s="159"/>
      <c r="AC108" s="95"/>
      <c r="AD108" s="159"/>
      <c r="AE108" s="95"/>
      <c r="AF108" s="159"/>
      <c r="AG108" s="95"/>
      <c r="AH108" s="79"/>
    </row>
    <row r="109" spans="1:34" x14ac:dyDescent="0.2">
      <c r="A109" s="79"/>
      <c r="B109" s="79"/>
      <c r="C109" s="79"/>
      <c r="D109" s="79"/>
      <c r="E109" s="95"/>
      <c r="F109" s="155"/>
      <c r="G109" s="95"/>
      <c r="H109" s="95"/>
      <c r="I109" s="95"/>
      <c r="J109" s="159"/>
      <c r="K109" s="95"/>
      <c r="L109" s="95"/>
      <c r="M109" s="95"/>
      <c r="N109" s="159"/>
      <c r="O109" s="95"/>
      <c r="P109" s="159"/>
      <c r="Q109" s="95"/>
      <c r="R109" s="159"/>
      <c r="S109" s="95"/>
      <c r="T109" s="159"/>
      <c r="U109" s="95"/>
      <c r="V109" s="159"/>
      <c r="W109" s="95"/>
      <c r="X109" s="159"/>
      <c r="Y109" s="95"/>
      <c r="Z109" s="159"/>
      <c r="AA109" s="95"/>
      <c r="AB109" s="159"/>
      <c r="AC109" s="95"/>
      <c r="AD109" s="159"/>
      <c r="AE109" s="95"/>
      <c r="AF109" s="159"/>
      <c r="AG109" s="95"/>
      <c r="AH109" s="79"/>
    </row>
    <row r="110" spans="1:34" x14ac:dyDescent="0.2">
      <c r="A110" s="79"/>
      <c r="B110" s="79"/>
      <c r="C110" s="79"/>
      <c r="D110" s="79"/>
      <c r="E110" s="95"/>
      <c r="F110" s="155"/>
      <c r="G110" s="95"/>
      <c r="H110" s="95"/>
      <c r="I110" s="95"/>
      <c r="J110" s="159"/>
      <c r="K110" s="95"/>
      <c r="L110" s="95"/>
      <c r="M110" s="95"/>
      <c r="N110" s="159"/>
      <c r="O110" s="95"/>
      <c r="P110" s="159"/>
      <c r="Q110" s="95"/>
      <c r="R110" s="159"/>
      <c r="S110" s="95"/>
      <c r="T110" s="159"/>
      <c r="U110" s="95"/>
      <c r="V110" s="159"/>
      <c r="W110" s="95"/>
      <c r="X110" s="159"/>
      <c r="Y110" s="95"/>
      <c r="Z110" s="159"/>
      <c r="AA110" s="95"/>
      <c r="AB110" s="159"/>
      <c r="AC110" s="95"/>
      <c r="AD110" s="159"/>
      <c r="AE110" s="95"/>
      <c r="AF110" s="159"/>
      <c r="AG110" s="95"/>
      <c r="AH110" s="79"/>
    </row>
    <row r="111" spans="1:34" x14ac:dyDescent="0.2">
      <c r="A111" s="79"/>
      <c r="B111" s="79"/>
      <c r="C111" s="79"/>
      <c r="D111" s="79"/>
      <c r="E111" s="95"/>
      <c r="F111" s="155"/>
      <c r="G111" s="95"/>
      <c r="H111" s="95"/>
      <c r="I111" s="95"/>
      <c r="J111" s="159"/>
      <c r="K111" s="95"/>
      <c r="L111" s="95"/>
      <c r="M111" s="79"/>
      <c r="N111" s="159"/>
      <c r="O111" s="95"/>
      <c r="P111" s="159"/>
      <c r="Q111" s="95"/>
      <c r="R111" s="159"/>
      <c r="S111" s="95"/>
      <c r="T111" s="159"/>
      <c r="U111" s="95"/>
      <c r="V111" s="159"/>
      <c r="W111" s="95"/>
      <c r="X111" s="159"/>
      <c r="Y111" s="95"/>
      <c r="Z111" s="159"/>
      <c r="AA111" s="95"/>
      <c r="AB111" s="159"/>
      <c r="AC111" s="95"/>
      <c r="AD111" s="159"/>
      <c r="AE111" s="95"/>
      <c r="AF111" s="159"/>
      <c r="AG111" s="95"/>
      <c r="AH111" s="79"/>
    </row>
    <row r="112" spans="1:34" x14ac:dyDescent="0.2">
      <c r="A112" s="79"/>
      <c r="B112" s="79"/>
      <c r="C112" s="79"/>
      <c r="D112" s="79"/>
      <c r="E112" s="95"/>
      <c r="F112" s="155"/>
      <c r="G112" s="95"/>
      <c r="H112" s="95"/>
      <c r="I112" s="95"/>
      <c r="J112" s="157"/>
      <c r="K112" s="95"/>
      <c r="L112" s="95"/>
      <c r="M112" s="95"/>
      <c r="N112" s="157"/>
      <c r="O112" s="95"/>
      <c r="P112" s="157"/>
      <c r="Q112" s="95"/>
      <c r="R112" s="157"/>
      <c r="S112" s="95"/>
      <c r="T112" s="157"/>
      <c r="U112" s="95"/>
      <c r="V112" s="157"/>
      <c r="W112" s="95"/>
      <c r="X112" s="157"/>
      <c r="Y112" s="95"/>
      <c r="Z112" s="157"/>
      <c r="AA112" s="95"/>
      <c r="AB112" s="157"/>
      <c r="AC112" s="95"/>
      <c r="AD112" s="157"/>
      <c r="AE112" s="95"/>
      <c r="AF112" s="157"/>
      <c r="AG112" s="95"/>
      <c r="AH112" s="79"/>
    </row>
    <row r="113" spans="1:50" x14ac:dyDescent="0.2">
      <c r="A113" s="79"/>
      <c r="B113" s="79"/>
      <c r="C113" s="79"/>
      <c r="D113" s="79"/>
      <c r="E113" s="95"/>
      <c r="F113" s="155"/>
      <c r="G113" s="95"/>
      <c r="H113" s="95"/>
      <c r="I113" s="95"/>
      <c r="J113" s="159"/>
      <c r="K113" s="95"/>
      <c r="L113" s="95"/>
      <c r="M113" s="95"/>
      <c r="N113" s="159"/>
      <c r="O113" s="95"/>
      <c r="P113" s="159"/>
      <c r="Q113" s="95"/>
      <c r="R113" s="159"/>
      <c r="S113" s="95"/>
      <c r="T113" s="159"/>
      <c r="U113" s="95"/>
      <c r="V113" s="159"/>
      <c r="W113" s="95"/>
      <c r="X113" s="159"/>
      <c r="Y113" s="95"/>
      <c r="Z113" s="159"/>
      <c r="AA113" s="95"/>
      <c r="AB113" s="159"/>
      <c r="AC113" s="95"/>
      <c r="AD113" s="159"/>
      <c r="AE113" s="95"/>
      <c r="AF113" s="159"/>
      <c r="AG113" s="95"/>
      <c r="AH113" s="79"/>
    </row>
    <row r="114" spans="1:50" ht="18" x14ac:dyDescent="0.25">
      <c r="A114" s="79"/>
      <c r="B114" s="79"/>
      <c r="C114" s="79"/>
      <c r="D114" s="79"/>
      <c r="E114" s="95"/>
      <c r="F114" s="155"/>
      <c r="G114" s="95"/>
      <c r="H114" s="95"/>
      <c r="I114" s="95"/>
      <c r="J114" s="234"/>
      <c r="K114" s="234"/>
      <c r="L114" s="162"/>
      <c r="M114" s="162"/>
      <c r="N114" s="234"/>
      <c r="O114" s="234"/>
      <c r="P114" s="159"/>
      <c r="Q114" s="95"/>
      <c r="R114" s="159"/>
      <c r="S114" s="95"/>
      <c r="T114" s="159"/>
      <c r="U114" s="95"/>
      <c r="V114" s="159"/>
      <c r="W114" s="95"/>
      <c r="X114" s="159"/>
      <c r="Y114" s="95"/>
      <c r="Z114" s="159"/>
      <c r="AA114" s="95"/>
      <c r="AB114" s="159"/>
      <c r="AC114" s="95"/>
      <c r="AD114" s="159"/>
      <c r="AE114" s="95"/>
      <c r="AF114" s="159"/>
      <c r="AG114" s="95"/>
      <c r="AH114" s="79"/>
    </row>
    <row r="115" spans="1:50" x14ac:dyDescent="0.2">
      <c r="A115" s="79"/>
      <c r="B115" s="79"/>
      <c r="C115" s="79"/>
      <c r="D115" s="79"/>
      <c r="E115" s="95"/>
      <c r="F115" s="155"/>
      <c r="G115" s="95"/>
      <c r="H115" s="95"/>
      <c r="I115" s="95"/>
      <c r="J115" s="159"/>
      <c r="K115" s="95"/>
      <c r="L115" s="95"/>
      <c r="M115" s="95"/>
      <c r="N115" s="159"/>
      <c r="O115" s="95"/>
      <c r="P115" s="159"/>
      <c r="Q115" s="95"/>
      <c r="R115" s="159"/>
      <c r="S115" s="95"/>
      <c r="T115" s="159"/>
      <c r="U115" s="95"/>
      <c r="V115" s="159"/>
      <c r="W115" s="95"/>
      <c r="X115" s="159"/>
      <c r="Y115" s="95"/>
      <c r="Z115" s="159"/>
      <c r="AA115" s="95"/>
      <c r="AB115" s="159"/>
      <c r="AC115" s="95"/>
      <c r="AD115" s="159"/>
      <c r="AE115" s="95"/>
      <c r="AF115" s="159"/>
      <c r="AG115" s="95"/>
      <c r="AH115" s="79"/>
    </row>
    <row r="116" spans="1:50" x14ac:dyDescent="0.2">
      <c r="A116" s="79"/>
      <c r="B116" s="79"/>
      <c r="C116" s="79"/>
      <c r="D116" s="79"/>
      <c r="E116" s="95"/>
      <c r="F116" s="155"/>
      <c r="G116" s="95"/>
      <c r="H116" s="95"/>
      <c r="I116" s="95"/>
      <c r="J116" s="159"/>
      <c r="K116" s="95"/>
      <c r="L116" s="95"/>
      <c r="M116" s="95"/>
      <c r="N116" s="159"/>
      <c r="O116" s="95"/>
      <c r="P116" s="159"/>
      <c r="Q116" s="95"/>
      <c r="R116" s="159"/>
      <c r="S116" s="95"/>
      <c r="T116" s="159"/>
      <c r="U116" s="95"/>
      <c r="V116" s="159"/>
      <c r="W116" s="95"/>
      <c r="X116" s="159"/>
      <c r="Y116" s="95"/>
      <c r="Z116" s="159"/>
      <c r="AA116" s="95"/>
      <c r="AB116" s="159"/>
      <c r="AC116" s="95"/>
      <c r="AD116" s="159"/>
      <c r="AE116" s="95"/>
      <c r="AF116" s="159"/>
      <c r="AG116" s="95"/>
      <c r="AH116" s="79"/>
    </row>
    <row r="117" spans="1:50" x14ac:dyDescent="0.2">
      <c r="A117" s="79"/>
      <c r="B117" s="79"/>
      <c r="C117" s="79"/>
      <c r="D117" s="79"/>
      <c r="E117" s="95"/>
      <c r="F117" s="155"/>
      <c r="G117" s="95"/>
      <c r="H117" s="95"/>
      <c r="I117" s="95"/>
      <c r="J117" s="159"/>
      <c r="K117" s="95"/>
      <c r="L117" s="95"/>
      <c r="M117" s="95"/>
      <c r="N117" s="159"/>
      <c r="O117" s="95"/>
      <c r="P117" s="159"/>
      <c r="Q117" s="95"/>
      <c r="R117" s="159"/>
      <c r="S117" s="95"/>
      <c r="T117" s="159"/>
      <c r="U117" s="95"/>
      <c r="V117" s="159"/>
      <c r="W117" s="95"/>
      <c r="X117" s="159"/>
      <c r="Y117" s="95"/>
      <c r="Z117" s="159"/>
      <c r="AA117" s="95"/>
      <c r="AB117" s="159"/>
      <c r="AC117" s="95"/>
      <c r="AD117" s="159"/>
      <c r="AE117" s="95"/>
      <c r="AF117" s="159"/>
      <c r="AG117" s="95"/>
      <c r="AH117" s="79"/>
    </row>
    <row r="118" spans="1:50" x14ac:dyDescent="0.2">
      <c r="A118" s="79"/>
      <c r="B118" s="79"/>
      <c r="C118" s="79"/>
      <c r="D118" s="79"/>
      <c r="E118" s="95"/>
      <c r="F118" s="155"/>
      <c r="G118" s="95"/>
      <c r="H118" s="95"/>
      <c r="I118" s="95"/>
      <c r="J118" s="159"/>
      <c r="K118" s="95"/>
      <c r="L118" s="95"/>
      <c r="M118" s="163"/>
      <c r="N118" s="159"/>
      <c r="O118" s="95"/>
      <c r="P118" s="159"/>
      <c r="Q118" s="95"/>
      <c r="R118" s="159"/>
      <c r="S118" s="95"/>
      <c r="T118" s="159"/>
      <c r="U118" s="95"/>
      <c r="V118" s="159"/>
      <c r="W118" s="95"/>
      <c r="X118" s="159"/>
      <c r="Y118" s="95"/>
      <c r="Z118" s="159"/>
      <c r="AA118" s="95"/>
      <c r="AB118" s="159"/>
      <c r="AC118" s="95"/>
      <c r="AD118" s="159"/>
      <c r="AE118" s="95"/>
      <c r="AF118" s="159"/>
      <c r="AG118" s="95"/>
      <c r="AH118" s="79"/>
    </row>
    <row r="119" spans="1:50" x14ac:dyDescent="0.2">
      <c r="A119" s="79"/>
      <c r="B119" s="79"/>
      <c r="C119" s="79"/>
      <c r="D119" s="79"/>
      <c r="E119" s="95"/>
      <c r="F119" s="155"/>
      <c r="G119" s="95"/>
      <c r="H119" s="95"/>
      <c r="I119" s="95"/>
      <c r="J119" s="159"/>
      <c r="K119" s="95"/>
      <c r="L119" s="95"/>
      <c r="M119" s="95"/>
      <c r="N119" s="159"/>
      <c r="O119" s="95"/>
      <c r="P119" s="159"/>
      <c r="Q119" s="95"/>
      <c r="R119" s="159"/>
      <c r="S119" s="95"/>
      <c r="T119" s="159"/>
      <c r="U119" s="95"/>
      <c r="V119" s="159"/>
      <c r="W119" s="95"/>
      <c r="X119" s="159"/>
      <c r="Y119" s="95"/>
      <c r="Z119" s="159"/>
      <c r="AA119" s="95"/>
      <c r="AB119" s="159"/>
      <c r="AC119" s="95"/>
      <c r="AD119" s="159"/>
      <c r="AE119" s="95"/>
      <c r="AF119" s="159"/>
      <c r="AG119" s="95"/>
      <c r="AH119" s="79"/>
    </row>
    <row r="120" spans="1:50" x14ac:dyDescent="0.2">
      <c r="A120" s="79"/>
      <c r="B120" s="79"/>
      <c r="C120" s="79"/>
      <c r="D120" s="79"/>
      <c r="E120" s="95"/>
      <c r="F120" s="155"/>
      <c r="G120" s="95"/>
      <c r="H120" s="95"/>
      <c r="I120" s="95"/>
      <c r="J120" s="159"/>
      <c r="K120" s="95"/>
      <c r="L120" s="95"/>
      <c r="M120" s="95"/>
      <c r="N120" s="159"/>
      <c r="O120" s="95"/>
      <c r="P120" s="159"/>
      <c r="Q120" s="95"/>
      <c r="R120" s="159"/>
      <c r="S120" s="95"/>
      <c r="T120" s="159"/>
      <c r="U120" s="95"/>
      <c r="V120" s="159"/>
      <c r="W120" s="95"/>
      <c r="X120" s="159"/>
      <c r="Y120" s="95"/>
      <c r="Z120" s="159"/>
      <c r="AA120" s="95"/>
      <c r="AB120" s="159"/>
      <c r="AC120" s="95"/>
      <c r="AD120" s="159"/>
      <c r="AE120" s="95"/>
      <c r="AF120" s="159"/>
      <c r="AG120" s="95"/>
      <c r="AH120" s="79"/>
    </row>
    <row r="121" spans="1:50" x14ac:dyDescent="0.2">
      <c r="A121" s="79"/>
      <c r="B121" s="79"/>
      <c r="C121" s="79"/>
      <c r="D121" s="79"/>
      <c r="E121" s="95"/>
      <c r="F121" s="155"/>
      <c r="G121" s="95"/>
      <c r="H121" s="95"/>
      <c r="I121" s="95"/>
      <c r="J121" s="159"/>
      <c r="K121" s="95"/>
      <c r="L121" s="95"/>
      <c r="M121" s="95"/>
      <c r="N121" s="159"/>
      <c r="O121" s="95"/>
      <c r="P121" s="159"/>
      <c r="Q121" s="95"/>
      <c r="R121" s="159"/>
      <c r="S121" s="95"/>
      <c r="T121" s="159"/>
      <c r="U121" s="95"/>
      <c r="V121" s="159"/>
      <c r="W121" s="95"/>
      <c r="X121" s="159"/>
      <c r="Y121" s="95"/>
      <c r="Z121" s="159"/>
      <c r="AA121" s="95"/>
      <c r="AB121" s="159"/>
      <c r="AC121" s="95"/>
      <c r="AD121" s="159"/>
      <c r="AE121" s="95"/>
      <c r="AF121" s="159"/>
      <c r="AG121" s="95"/>
      <c r="AH121" s="79"/>
    </row>
    <row r="122" spans="1:50" x14ac:dyDescent="0.2">
      <c r="A122" s="79"/>
      <c r="B122" s="79"/>
      <c r="C122" s="79"/>
      <c r="D122" s="79"/>
      <c r="E122" s="95"/>
      <c r="F122" s="155"/>
      <c r="G122" s="95"/>
      <c r="H122" s="95"/>
      <c r="I122" s="95"/>
      <c r="J122" s="157"/>
      <c r="K122" s="95"/>
      <c r="L122" s="95"/>
      <c r="M122" s="95"/>
      <c r="N122" s="157"/>
      <c r="O122" s="95"/>
      <c r="P122" s="157"/>
      <c r="Q122" s="95"/>
      <c r="R122" s="157"/>
      <c r="S122" s="95"/>
      <c r="T122" s="157"/>
      <c r="U122" s="95"/>
      <c r="V122" s="157"/>
      <c r="W122" s="95"/>
      <c r="X122" s="157"/>
      <c r="Y122" s="95"/>
      <c r="Z122" s="157"/>
      <c r="AA122" s="95"/>
      <c r="AB122" s="157"/>
      <c r="AC122" s="95"/>
      <c r="AD122" s="157"/>
      <c r="AE122" s="95"/>
      <c r="AF122" s="157"/>
      <c r="AG122" s="95"/>
      <c r="AH122" s="79"/>
    </row>
    <row r="123" spans="1:50" x14ac:dyDescent="0.2">
      <c r="A123" s="79"/>
      <c r="B123" s="79"/>
      <c r="C123" s="79"/>
      <c r="D123" s="79"/>
      <c r="E123" s="95"/>
      <c r="F123" s="79"/>
      <c r="G123" s="95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</row>
    <row r="124" spans="1:50" x14ac:dyDescent="0.2">
      <c r="A124" s="79"/>
      <c r="B124" s="79"/>
      <c r="C124" s="79"/>
      <c r="D124" s="79"/>
      <c r="E124" s="95"/>
      <c r="F124" s="79"/>
      <c r="G124" s="95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</row>
    <row r="125" spans="1:50" x14ac:dyDescent="0.2">
      <c r="A125" s="79"/>
      <c r="B125" s="79"/>
      <c r="C125" s="79"/>
      <c r="D125" s="79"/>
      <c r="E125" s="95"/>
      <c r="F125" s="79"/>
      <c r="G125" s="95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</row>
    <row r="126" spans="1:50" x14ac:dyDescent="0.2">
      <c r="A126" s="171" t="s">
        <v>47</v>
      </c>
      <c r="B126" s="164"/>
      <c r="C126" s="164"/>
      <c r="D126" s="164"/>
      <c r="E126" s="79"/>
      <c r="F126" s="144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</row>
    <row r="127" spans="1:50" x14ac:dyDescent="0.2">
      <c r="A127" s="37"/>
      <c r="B127" s="37"/>
      <c r="C127" s="37"/>
      <c r="D127" s="37"/>
      <c r="F127" s="22"/>
    </row>
    <row r="128" spans="1:50" x14ac:dyDescent="0.2">
      <c r="A128" s="105">
        <f>IF(AND(DONBIB!B21&lt;20,DONBIB!B21&gt;0),DONBIB!E7*18,0)</f>
        <v>0</v>
      </c>
      <c r="B128" s="105"/>
      <c r="C128" s="105"/>
      <c r="D128" s="105"/>
      <c r="E128" s="106">
        <f>IF(AND(DONBIB!B26&lt;20,DONBIB!B26&gt;0),DONBIB!E7*18,0)</f>
        <v>0</v>
      </c>
      <c r="F128" s="107">
        <f>IF(AND(DONBIB!B31&lt;20,DONBIB!B31&gt;0),DONBIB!E7*18,0)</f>
        <v>0</v>
      </c>
      <c r="G128" s="106">
        <f>IF(AND(DONBIB!B36&lt;20,DONBIB!B36&gt;0),DONBIB!E7*18,0)</f>
        <v>0</v>
      </c>
      <c r="H128" s="106">
        <f>IF(AND(DONBIB!B41&lt;20,DONBIB!B41&gt;0),DONBIB!E7*18,0)</f>
        <v>0</v>
      </c>
      <c r="I128" s="106">
        <f>IF(AND(DONBIB!B46&lt;20,DONBIB!B46&gt;0),DONBIB!E7*18,0)</f>
        <v>0</v>
      </c>
      <c r="J128" s="106">
        <f>IF(AND(DONBIB!B51&lt;20,DONBIB!B51&gt;0),DONBIB!E7*18,0)</f>
        <v>0</v>
      </c>
      <c r="K128" s="106">
        <f>IF(AND(DONBIB!B56&lt;20,DONBIB!B56&gt;0),DONBIB!E7*18,0)</f>
        <v>0</v>
      </c>
      <c r="L128" s="106"/>
      <c r="M128" s="106"/>
      <c r="N128" s="106">
        <f>IF(AND(DONBIB!B61&lt;20,DONBIB!B61&gt;0),DONBIB!E7*18,0)</f>
        <v>0</v>
      </c>
      <c r="P128" s="111">
        <f>IF(DONBIB!E7*18&gt;DONBIB!E5*80%,DONBIB!E5*80%,A128)</f>
        <v>0</v>
      </c>
      <c r="Q128" s="112">
        <f>IF(DONBIB!E7*18&gt;DONBIB!E5*80%,DONBIB!E5*80%,E128)</f>
        <v>0</v>
      </c>
      <c r="R128" s="113">
        <f>IF(DONBIB!E7*18&gt;DONBIB!E5*80%,DONBIB!E5*80%,F128)</f>
        <v>0</v>
      </c>
      <c r="S128" s="112">
        <f>IF(DONBIB!E7*18&gt;DONBIB!E5*80%,DONBIB!E5*80%,G128)</f>
        <v>0</v>
      </c>
      <c r="T128" s="112">
        <f>IF(DONBIB!E7*18&gt;DONBIB!E5*80%,DONBIB!E5*80%,H128)</f>
        <v>0</v>
      </c>
      <c r="U128" s="112">
        <f>IF(DONBIB!E7*18&gt;DONBIB!E5*80%,DONBIB!E5*80%,I128)</f>
        <v>0</v>
      </c>
      <c r="V128" s="112">
        <f>IF(DONBIB!E7*18&gt;DONBIB!E5*80%,DONBIB!E5*80%,J128)</f>
        <v>0</v>
      </c>
      <c r="W128" s="112">
        <f>IF(DONBIB!E7*18&gt;DONBIB!E5*80%,DONBIB!E5*80%,K128)</f>
        <v>0</v>
      </c>
      <c r="X128" s="112">
        <f>IF(DONBIB!E7*18&gt;DONBIB!E5*80%,DONBIB!E5*80%,N128)</f>
        <v>0</v>
      </c>
      <c r="Y128" s="112"/>
      <c r="AA128" s="105">
        <f>IF(AND(DONBIB!B23&lt;20,DONBIB!B23&gt;0),DONBIB!E7*18,0)</f>
        <v>0</v>
      </c>
      <c r="AB128" s="105"/>
      <c r="AC128" s="105"/>
      <c r="AD128" s="105"/>
      <c r="AE128" s="106">
        <f>IF(AND(DONBIB!B28&lt;20,DONBIB!B28&gt;0),DONBIB!E7*18,0)</f>
        <v>0</v>
      </c>
      <c r="AF128" s="107">
        <f>IF(AND(DONBIB!B33&lt;20,DONBIB!B33&gt;0),DONBIB!E7*18,0)</f>
        <v>0</v>
      </c>
      <c r="AG128" s="106">
        <f>IF(AND(DONBIB!B38&lt;20,DONBIB!B38&gt;0),DONBIB!E7*18,0)</f>
        <v>0</v>
      </c>
      <c r="AH128" s="106">
        <f>IF(AND(DONBIB!B43&lt;20,DONBIB!B43&gt;0),DONBIB!E7*18,0)</f>
        <v>0</v>
      </c>
      <c r="AI128" s="106">
        <f>IF(AND(DONBIB!B48&lt;20,DONBIB!B48&gt;0),DONBIB!E7*18,0)</f>
        <v>0</v>
      </c>
      <c r="AJ128" s="106">
        <f>IF(AND(DONBIB!B53&lt;20,DONBIB!B53&gt;0),DONBIB!E7*18,0)</f>
        <v>0</v>
      </c>
      <c r="AK128" s="106">
        <f>IF(AND(DONBIB!B58&lt;20,DONBIB!B58&gt;0),DONBIB!E7*18,0)</f>
        <v>0</v>
      </c>
      <c r="AL128" s="106"/>
      <c r="AM128" s="106"/>
      <c r="AN128" s="106">
        <f>IF(AND(DONBIB!B63&lt;20,DONBIB!B63&gt;0),DONBIB!E7*18,0)</f>
        <v>0</v>
      </c>
      <c r="AP128" s="111">
        <f>IF(DONBIB!E7*18&gt;DONBIB!E5*80%,DONBIB!E5*80%,AA128)</f>
        <v>0</v>
      </c>
      <c r="AQ128" s="112">
        <f>IF(DONBIB!E7*18&gt;DONBIB!E5*80%,DONBIB!E5*80%,AE128)</f>
        <v>0</v>
      </c>
      <c r="AR128" s="113">
        <f>IF(DONBIB!E7*18&gt;DONBIB!E5*80%,DONBIB!E5*80%,AF128)</f>
        <v>0</v>
      </c>
      <c r="AS128" s="112">
        <f>IF(DONBIB!E7*18&gt;DONBIB!E5*80%,DONBIB!E5*80%,AG128)</f>
        <v>0</v>
      </c>
      <c r="AT128" s="112">
        <f>IF(DONBIB!E7*18&gt;DONBIB!E5*80%,DONBIB!E5*80%,AH128)</f>
        <v>0</v>
      </c>
      <c r="AU128" s="112">
        <f>IF(DONBIB!E7*18&gt;DONBIB!E5*80%,DONBIB!E5*80%,AI128)</f>
        <v>0</v>
      </c>
      <c r="AV128" s="112">
        <f>IF(DONBIB!E7*18&gt;DONBIB!E5*80%,DONBIB!E5*80%,AJ128)</f>
        <v>0</v>
      </c>
      <c r="AW128" s="112">
        <f>IF(DONBIB!E7*18&gt;DONBIB!E5*80%,DONBIB!E5*80%,AK128)</f>
        <v>0</v>
      </c>
      <c r="AX128" s="112">
        <f>IF(DONBIB!E7*18&gt;DONBIB!E5*80%,DONBIB!E5*80%,AN128)</f>
        <v>0</v>
      </c>
    </row>
    <row r="129" spans="1:50" x14ac:dyDescent="0.2">
      <c r="A129" s="105"/>
      <c r="B129" s="105"/>
      <c r="C129" s="105"/>
      <c r="D129" s="105"/>
      <c r="E129" s="106"/>
      <c r="F129" s="107"/>
      <c r="G129" s="106"/>
      <c r="H129" s="106"/>
      <c r="I129" s="106"/>
      <c r="J129" s="106"/>
      <c r="K129" s="106"/>
      <c r="L129" s="106"/>
      <c r="M129" s="106"/>
      <c r="N129" s="106"/>
      <c r="P129" s="111"/>
      <c r="Q129" s="112"/>
      <c r="R129" s="113"/>
      <c r="S129" s="112"/>
      <c r="T129" s="112"/>
      <c r="U129" s="112"/>
      <c r="V129" s="112"/>
      <c r="W129" s="112"/>
      <c r="X129" s="112"/>
      <c r="Y129" s="112"/>
      <c r="AA129" s="105"/>
      <c r="AB129" s="105"/>
      <c r="AC129" s="105"/>
      <c r="AD129" s="105"/>
      <c r="AE129" s="106"/>
      <c r="AF129" s="107"/>
      <c r="AG129" s="106"/>
      <c r="AH129" s="106"/>
      <c r="AI129" s="106"/>
      <c r="AJ129" s="106"/>
      <c r="AK129" s="106"/>
      <c r="AL129" s="106"/>
      <c r="AM129" s="106"/>
      <c r="AN129" s="106"/>
      <c r="AP129" s="111"/>
      <c r="AQ129" s="112"/>
      <c r="AR129" s="113"/>
      <c r="AS129" s="112"/>
      <c r="AT129" s="112"/>
      <c r="AU129" s="112"/>
      <c r="AV129" s="112"/>
      <c r="AW129" s="112"/>
      <c r="AX129" s="112"/>
    </row>
    <row r="130" spans="1:50" x14ac:dyDescent="0.2">
      <c r="A130" s="105">
        <f>IF(AND(DONBIB!B21&gt;=20,DONBIB!B21&lt;=29),DONBIB!E7*17,0)</f>
        <v>0</v>
      </c>
      <c r="B130" s="105"/>
      <c r="C130" s="105"/>
      <c r="D130" s="105"/>
      <c r="E130" s="106">
        <f>IF(AND(DONBIB!B26&gt;=20,DONBIB!B26&lt;=29),DONBIB!E7*17,0)</f>
        <v>0</v>
      </c>
      <c r="F130" s="107">
        <f>IF(AND(DONBIB!B31&gt;=20,DONBIB!B31&lt;=29),DONBIB!E7*17,0)</f>
        <v>0</v>
      </c>
      <c r="G130" s="106">
        <f>IF(AND(DONBIB!B36&gt;=20,DONBIB!B36&lt;=29),DONBIB!E7*17,0)</f>
        <v>0</v>
      </c>
      <c r="H130" s="106">
        <f>IF(AND(DONBIB!B41&gt;=20,DONBIB!B41&lt;=29),DONBIB!E7*17,0)</f>
        <v>0</v>
      </c>
      <c r="I130" s="106">
        <f>IF(AND(DONBIB!B46&gt;=20,DONBIB!B46&lt;=29),DONBIB!E7*17,0)</f>
        <v>0</v>
      </c>
      <c r="J130" s="106">
        <f>IF(AND(DONBIB!B51&gt;=20,DONBIB!B51&lt;=29),DONBIB!E7*17,0)</f>
        <v>0</v>
      </c>
      <c r="K130" s="106">
        <f>IF(AND(DONBIB!B56&gt;=20,DONBIB!B56&lt;=29),DONBIB!E7*17,0)</f>
        <v>0</v>
      </c>
      <c r="L130" s="106"/>
      <c r="M130" s="106"/>
      <c r="N130" s="106">
        <f>IF(AND(DONBIB!B61&gt;=20,DONBIB!B61&lt;=29),DONBIB!E7*17,0)</f>
        <v>0</v>
      </c>
      <c r="P130" s="111">
        <f>IF(DONBIB!E7*17&gt;DONBIB!E5*80%,DONBIB!E5*80%,A130)</f>
        <v>0</v>
      </c>
      <c r="Q130" s="112">
        <f>IF(DONBIB!E7*17&gt;DONBIB!E5*80%,DONBIB!E5*80%,E130)</f>
        <v>0</v>
      </c>
      <c r="R130" s="113">
        <f>IF(DONBIB!E7*17&gt;DONBIB!E5*80%,DONBIB!E5*80%,F130)</f>
        <v>0</v>
      </c>
      <c r="S130" s="112">
        <f>IF(DONBIB!E7*17&gt;DONBIB!E5*80%,DONBIB!E5*80%,G130)</f>
        <v>0</v>
      </c>
      <c r="T130" s="112">
        <f>IF(DONBIB!E7*17&gt;DONBIB!E5*80%,DONBIB!E5*80%,H130)</f>
        <v>0</v>
      </c>
      <c r="U130" s="112">
        <f>IF(DONBIB!E7*17&gt;DONBIB!E5*80%,DONBIB!E5*80%,I130)</f>
        <v>0</v>
      </c>
      <c r="V130" s="112">
        <f>IF(DONBIB!E7*17&gt;DONBIB!E5*80%,DONBIB!E5*80%,J130)</f>
        <v>0</v>
      </c>
      <c r="W130" s="112">
        <f>IF(DONBIB!E7*17&gt;DONBIB!E5*80%,DONBIB!E5*80%,K130)</f>
        <v>0</v>
      </c>
      <c r="X130" s="112">
        <f>IF(DONBIB!E7*18&gt;DONBIB!E5*80%,DONBIB!E5*80%,N130)</f>
        <v>0</v>
      </c>
      <c r="Y130" s="112"/>
      <c r="AA130" s="105">
        <f>IF(AND(DONBIB!B23&gt;=20,DONBIB!B23&lt;=29),DONBIB!E7*17,0)</f>
        <v>0</v>
      </c>
      <c r="AB130" s="105"/>
      <c r="AC130" s="105"/>
      <c r="AD130" s="105"/>
      <c r="AE130" s="106">
        <f>IF(AND(DONBIB!B28&gt;=20,DONBIB!B28&lt;=29),DONBIB!E7*17,0)</f>
        <v>0</v>
      </c>
      <c r="AF130" s="107">
        <f>IF(AND(DONBIB!B33&gt;=20,DONBIB!B33&lt;=29),DONBIB!E7*17,0)</f>
        <v>0</v>
      </c>
      <c r="AG130" s="106">
        <f>IF(AND(DONBIB!B38&gt;=20,DONBIB!B38&lt;=29),DONBIB!E7*17,0)</f>
        <v>0</v>
      </c>
      <c r="AH130" s="106">
        <f>IF(AND(DONBIB!B43&gt;=20,DONBIB!B43&lt;=29),DONBIB!E7*17,0)</f>
        <v>0</v>
      </c>
      <c r="AI130" s="106">
        <f>IF(AND(DONBIB!B48&gt;=20,DONBIB!B48&lt;=29),DONBIB!E7*17,0)</f>
        <v>0</v>
      </c>
      <c r="AJ130" s="106">
        <f>IF(AND(DONBIB!B53&gt;=20,DONBIB!B53&lt;=29),DONBIB!E7*17,0)</f>
        <v>0</v>
      </c>
      <c r="AK130" s="106">
        <f>IF(AND(DONBIB!B58&gt;=20,DONBIB!B58&lt;=29),DONBIB!E7*17,0)</f>
        <v>0</v>
      </c>
      <c r="AL130" s="106"/>
      <c r="AM130" s="106"/>
      <c r="AN130" s="106">
        <f>IF(AND(DONBIB!B63&gt;=20,DONBIB!B63&lt;=29),DONBIB!E7*17,0)</f>
        <v>0</v>
      </c>
      <c r="AP130" s="111">
        <f>IF(DONBIB!E7*17&gt;DONBIB!E5*80%,DONBIB!E5*80%,AA130)</f>
        <v>0</v>
      </c>
      <c r="AQ130" s="112">
        <f>IF(DONBIB!E7*17&gt;DONBIB!E5*80%,DONBIB!E5*80%,AE130)</f>
        <v>0</v>
      </c>
      <c r="AR130" s="113">
        <f>IF(DONBIB!E7*17&gt;DONBIB!E5*80%,DONBIB!E5*80%,AF130)</f>
        <v>0</v>
      </c>
      <c r="AS130" s="112">
        <f>IF(DONBIB!E7*17&gt;DONBIB!E5*80%,DONBIB!E5*80%,AG130)</f>
        <v>0</v>
      </c>
      <c r="AT130" s="112">
        <f>IF(DONBIB!E7*17&gt;DONBIB!E5*80%,DONBIB!E5*80%,AH130)</f>
        <v>0</v>
      </c>
      <c r="AU130" s="112">
        <f>IF(DONBIB!E7*17&gt;DONBIB!E5*80%,DONBIB!E5*80%,AI130)</f>
        <v>0</v>
      </c>
      <c r="AV130" s="112">
        <f>IF(DONBIB!E7*17&gt;DONBIB!E5*80%,DONBIB!E5*80%,AJ130)</f>
        <v>0</v>
      </c>
      <c r="AW130" s="112">
        <f>IF(DONBIB!E7*17&gt;DONBIB!E5*80%,DONBIB!E5*80%,AK130)</f>
        <v>0</v>
      </c>
      <c r="AX130" s="112">
        <f>IF(DONBIB!E7*18&gt;DONBIB!E5*80%,DONBIB!E5*80%,AN130)</f>
        <v>0</v>
      </c>
    </row>
    <row r="131" spans="1:50" x14ac:dyDescent="0.2">
      <c r="A131" s="105"/>
      <c r="B131" s="105"/>
      <c r="C131" s="105"/>
      <c r="D131" s="105"/>
      <c r="E131" s="106"/>
      <c r="F131" s="107"/>
      <c r="G131" s="106"/>
      <c r="H131" s="106"/>
      <c r="I131" s="106"/>
      <c r="J131" s="106"/>
      <c r="K131" s="106"/>
      <c r="L131" s="106"/>
      <c r="M131" s="106"/>
      <c r="N131" s="106"/>
      <c r="P131" s="111"/>
      <c r="Q131" s="112"/>
      <c r="R131" s="113"/>
      <c r="S131" s="112"/>
      <c r="T131" s="112"/>
      <c r="U131" s="112"/>
      <c r="V131" s="112"/>
      <c r="W131" s="112"/>
      <c r="X131" s="112"/>
      <c r="Y131" s="112"/>
      <c r="AA131" s="105"/>
      <c r="AB131" s="105"/>
      <c r="AC131" s="105"/>
      <c r="AD131" s="105"/>
      <c r="AE131" s="106"/>
      <c r="AF131" s="107"/>
      <c r="AG131" s="106"/>
      <c r="AH131" s="106"/>
      <c r="AI131" s="106"/>
      <c r="AJ131" s="106"/>
      <c r="AK131" s="106"/>
      <c r="AL131" s="106"/>
      <c r="AM131" s="106"/>
      <c r="AN131" s="106"/>
      <c r="AP131" s="111"/>
      <c r="AQ131" s="112"/>
      <c r="AR131" s="113"/>
      <c r="AS131" s="112"/>
      <c r="AT131" s="112"/>
      <c r="AU131" s="112"/>
      <c r="AV131" s="112"/>
      <c r="AW131" s="112"/>
      <c r="AX131" s="112"/>
    </row>
    <row r="132" spans="1:50" x14ac:dyDescent="0.2">
      <c r="A132" s="105">
        <f>IF(AND(DONBIB!B21&gt;=30,DONBIB!B21&lt;=39),DONBIB!E7*16,0)</f>
        <v>0</v>
      </c>
      <c r="B132" s="105"/>
      <c r="C132" s="105"/>
      <c r="D132" s="105"/>
      <c r="E132" s="106">
        <f>IF(AND(DONBIB!B26&gt;=30,DONBIB!B26&lt;=39),DONBIB!E7*16,0)</f>
        <v>0</v>
      </c>
      <c r="F132" s="107">
        <f>IF(AND(DONBIB!B31&gt;=30,DONBIB!B31&lt;=39),DONBIB!E7*16,0)</f>
        <v>0</v>
      </c>
      <c r="G132" s="106">
        <f>IF(AND(DONBIB!B36&gt;=30,DONBIB!B36&lt;=39),DONBIB!E7*16,0)</f>
        <v>0</v>
      </c>
      <c r="H132" s="106">
        <f>IF(AND(DONBIB!B41&gt;=30,DONBIB!B41&lt;=39),DONBIB!E7*16,0)</f>
        <v>0</v>
      </c>
      <c r="I132" s="106">
        <f>IF(AND(DONBIB!B46&gt;=30,DONBIB!B46&lt;=39),DONBIB!E7*16,0)</f>
        <v>0</v>
      </c>
      <c r="J132" s="106">
        <f>IF(AND(DONBIB!B51&gt;=30,DONBIB!B51&lt;=39),DONBIB!E7*16,0)</f>
        <v>0</v>
      </c>
      <c r="K132" s="106">
        <f>IF(AND(DONBIB!B56&gt;=30,DONBIB!B56&lt;=39),DONBIB!E7*16,0)</f>
        <v>0</v>
      </c>
      <c r="L132" s="106"/>
      <c r="M132" s="106"/>
      <c r="N132" s="106">
        <f>IF(AND(DONBIB!B61&gt;=30,DONBIB!B61&lt;=39),DONBIB!E7*16,0)</f>
        <v>0</v>
      </c>
      <c r="P132" s="111">
        <f>IF(DONBIB!E7*16&gt;DONBIB!E5*80%,DONBIB!E5*80%,A132)</f>
        <v>0</v>
      </c>
      <c r="Q132" s="112">
        <f>IF(DONBIB!E7*16&gt;DONBIB!E5*80%,DONBIB!E5*80%,E132)</f>
        <v>0</v>
      </c>
      <c r="R132" s="113">
        <f>IF(DONBIB!E7*16&gt;DONBIB!E5*80%,DONBIB!E5*80%,F132)</f>
        <v>0</v>
      </c>
      <c r="S132" s="112">
        <f>IF(DONBIB!E7*16&gt;DONBIB!E5*80%,DONBIB!E5*80%,G132)</f>
        <v>0</v>
      </c>
      <c r="T132" s="112">
        <f>IF(DONBIB!E7*16&gt;DONBIB!E5*80%,DONBIB!E5*80%,H132)</f>
        <v>0</v>
      </c>
      <c r="U132" s="112">
        <f>IF(DONBIB!E7*16&gt;DONBIB!E5*80%,DONBIB!E5*80%,I132)</f>
        <v>0</v>
      </c>
      <c r="V132" s="112">
        <f>IF(DONBIB!E7*16&gt;DONBIB!E5*80%,DONBIB!E5*80%,J132)</f>
        <v>0</v>
      </c>
      <c r="W132" s="112">
        <f>IF(DONBIB!E7*16&gt;DONBIB!E5*80%,DONBIB!E5*80%,K132)</f>
        <v>0</v>
      </c>
      <c r="X132" s="112">
        <f>IF(DONBIB!E7*16&gt;DONBIB!E5*80%,DONBIB!E5*80%,N132)</f>
        <v>0</v>
      </c>
      <c r="Y132" s="112"/>
      <c r="AA132" s="105">
        <f>IF(AND(DONBIB!B23&gt;=30,DONBIB!B23&lt;=39),DONBIB!E7*16,0)</f>
        <v>0</v>
      </c>
      <c r="AB132" s="105"/>
      <c r="AC132" s="105"/>
      <c r="AD132" s="105"/>
      <c r="AE132" s="106">
        <f>IF(AND(DONBIB!B28&gt;=30,DONBIB!B28&lt;=39),DONBIB!E7*16,0)</f>
        <v>0</v>
      </c>
      <c r="AF132" s="107">
        <f>IF(AND(DONBIB!B33&gt;=30,DONBIB!B33&lt;=39),DONBIB!E7*16,0)</f>
        <v>0</v>
      </c>
      <c r="AG132" s="106">
        <f>IF(AND(DONBIB!B38&gt;=30,DONBIB!B38&lt;=39),DONBIB!E7*16,0)</f>
        <v>0</v>
      </c>
      <c r="AH132" s="106">
        <f>IF(AND(DONBIB!B43&gt;=30,DONBIB!B43&lt;=39),DONBIB!E7*16,0)</f>
        <v>0</v>
      </c>
      <c r="AI132" s="106">
        <f>IF(AND(DONBIB!B48&gt;=30,DONBIB!B48&lt;=39),DONBIB!E7*16,0)</f>
        <v>0</v>
      </c>
      <c r="AJ132" s="106">
        <f>IF(AND(DONBIB!B53&gt;=30,DONBIB!B53&lt;=39),DONBIB!E7*16,0)</f>
        <v>0</v>
      </c>
      <c r="AK132" s="106">
        <f>IF(AND(DONBIB!B58&gt;=30,DONBIB!B58&lt;=39),DONBIB!E7*16,0)</f>
        <v>0</v>
      </c>
      <c r="AL132" s="106"/>
      <c r="AM132" s="106"/>
      <c r="AN132" s="106">
        <f>IF(AND(DONBIB!B63&gt;=30,DONBIB!B63&lt;=39),DONBIB!E7*16,0)</f>
        <v>0</v>
      </c>
      <c r="AP132" s="111">
        <f>IF(DONBIB!E7*16&gt;DONBIB!E5*80%,DONBIB!E5*80%,AA132)</f>
        <v>0</v>
      </c>
      <c r="AQ132" s="112">
        <f>IF(DONBIB!E7*16&gt;DONBIB!E5*80%,DONBIB!E5*80%,AE132)</f>
        <v>0</v>
      </c>
      <c r="AR132" s="113">
        <f>IF(DONBIB!E7*16&gt;DONBIB!E5*80%,DONBIB!E5*80%,AF132)</f>
        <v>0</v>
      </c>
      <c r="AS132" s="112">
        <f>IF(DONBIB!E7*16&gt;DONBIB!E5*80%,DONBIB!E5*80%,AG132)</f>
        <v>0</v>
      </c>
      <c r="AT132" s="112">
        <f>IF(DONBIB!E7*16&gt;DONBIB!E5*80%,DONBIB!E5*80%,AH132)</f>
        <v>0</v>
      </c>
      <c r="AU132" s="112">
        <f>IF(DONBIB!E7*16&gt;DONBIB!E5*80%,DONBIB!E5*80%,AI132)</f>
        <v>0</v>
      </c>
      <c r="AV132" s="112">
        <f>IF(DONBIB!E7*16&gt;DONBIB!E5*80%,DONBIB!E5*80%,AJ132)</f>
        <v>0</v>
      </c>
      <c r="AW132" s="112">
        <f>IF(DONBIB!E7*16&gt;DONBIB!E5*80%,DONBIB!E5*80%,AK132)</f>
        <v>0</v>
      </c>
      <c r="AX132" s="112">
        <f>IF(DONBIB!E7*16&gt;DONBIB!E5*80%,DONBIB!E5*80%,AN132)</f>
        <v>0</v>
      </c>
    </row>
    <row r="133" spans="1:50" x14ac:dyDescent="0.2">
      <c r="A133" s="105"/>
      <c r="B133" s="105"/>
      <c r="C133" s="105"/>
      <c r="D133" s="105"/>
      <c r="E133" s="106"/>
      <c r="F133" s="107"/>
      <c r="G133" s="106"/>
      <c r="H133" s="106"/>
      <c r="I133" s="106"/>
      <c r="J133" s="106"/>
      <c r="K133" s="106"/>
      <c r="L133" s="106"/>
      <c r="M133" s="106"/>
      <c r="N133" s="106"/>
      <c r="P133" s="111"/>
      <c r="Q133" s="112"/>
      <c r="R133" s="113"/>
      <c r="S133" s="112"/>
      <c r="T133" s="112"/>
      <c r="U133" s="112"/>
      <c r="V133" s="112"/>
      <c r="W133" s="112"/>
      <c r="X133" s="112"/>
      <c r="Y133" s="112"/>
      <c r="AA133" s="105"/>
      <c r="AB133" s="105"/>
      <c r="AC133" s="105"/>
      <c r="AD133" s="105"/>
      <c r="AE133" s="106"/>
      <c r="AF133" s="107"/>
      <c r="AG133" s="106"/>
      <c r="AH133" s="106"/>
      <c r="AI133" s="106"/>
      <c r="AJ133" s="106"/>
      <c r="AK133" s="106"/>
      <c r="AL133" s="106"/>
      <c r="AM133" s="106"/>
      <c r="AN133" s="106"/>
      <c r="AP133" s="111"/>
      <c r="AQ133" s="112"/>
      <c r="AR133" s="113"/>
      <c r="AS133" s="112"/>
      <c r="AT133" s="112"/>
      <c r="AU133" s="112"/>
      <c r="AV133" s="112"/>
      <c r="AW133" s="112"/>
      <c r="AX133" s="112"/>
    </row>
    <row r="134" spans="1:50" x14ac:dyDescent="0.2">
      <c r="A134" s="105">
        <f>IF(AND(DONBIB!B21&gt;=40,DONBIB!B21&lt;=49),DONBIB!E7*14,0)</f>
        <v>0</v>
      </c>
      <c r="B134" s="105"/>
      <c r="C134" s="105"/>
      <c r="D134" s="105"/>
      <c r="E134" s="106">
        <f>IF(AND(DONBIB!B26&gt;=40,DONBIB!B26&lt;=49),DONBIB!E7*14,0)</f>
        <v>0</v>
      </c>
      <c r="F134" s="107">
        <f>IF(AND(DONBIB!B31&gt;=40,DONBIB!B31&lt;=49),DONBIB!E7*14,0)</f>
        <v>0</v>
      </c>
      <c r="G134" s="106">
        <f>IF(AND(DONBIB!B36&gt;=40,DONBIB!B36&lt;=49),DONBIB!E7*14,0)</f>
        <v>0</v>
      </c>
      <c r="H134" s="106">
        <f>IF(AND(DONBIB!B41&gt;=40,DONBIB!B41&lt;=49),DONBIB!E7*14,0)</f>
        <v>0</v>
      </c>
      <c r="I134" s="106">
        <f>IF(AND(DONBIB!B46&gt;=40,DONBIB!B46&lt;=49),DONBIB!E7*14,0)</f>
        <v>0</v>
      </c>
      <c r="J134" s="106">
        <f>IF(AND(DONBIB!B51&gt;=40,DONBIB!B51&lt;=49),DONBIB!E7*14,0)</f>
        <v>0</v>
      </c>
      <c r="K134" s="106">
        <f>IF(AND(DONBIB!B56&gt;=40,DONBIB!B56&lt;=49),DONBIB!E7*14,0)</f>
        <v>0</v>
      </c>
      <c r="L134" s="106"/>
      <c r="M134" s="106"/>
      <c r="N134" s="106">
        <f>IF(AND(DONBIB!B61&gt;=40,DONBIB!B61&lt;=49),DONBIB!E7*14,0)</f>
        <v>0</v>
      </c>
      <c r="P134" s="111">
        <f>IF(DONBIB!E7*14&gt;DONBIB!E5*80%,DONBIB!E5*80%,A134)</f>
        <v>0</v>
      </c>
      <c r="Q134" s="112">
        <f>IF(DONBIB!E7*14&gt;DONBIB!E5*80%,DONBIB!E5*80%,E134)</f>
        <v>0</v>
      </c>
      <c r="R134" s="113">
        <f>IF(DONBIB!E7*14&gt;DONBIB!E5*80%,DONBIB!E5*80%,F134)</f>
        <v>0</v>
      </c>
      <c r="S134" s="112">
        <f>IF(DONBIB!E7*14&gt;DONBIB!E5*80%,DONBIB!E5*80%,G134)</f>
        <v>0</v>
      </c>
      <c r="T134" s="112">
        <f>IF(DONBIB!E7*14&gt;DONBIB!E5*80%,DONBIB!E5*80%,H134)</f>
        <v>0</v>
      </c>
      <c r="U134" s="112">
        <f>IF(DONBIB!E7*14&gt;DONBIB!E5*80%,DONBIB!E5*80%,I134)</f>
        <v>0</v>
      </c>
      <c r="V134" s="112">
        <f>IF(DONBIB!E7*14&gt;DONBIB!E5*80%,DONBIB!E5*80%,J134)</f>
        <v>0</v>
      </c>
      <c r="W134" s="112">
        <f>IF(DONBIB!E7*14&gt;DONBIB!E5*80%,DONBIB!E5*80%,K134)</f>
        <v>0</v>
      </c>
      <c r="X134" s="112">
        <f>IF(DONBIB!E7*14&gt;DONBIB!E5*80%,DONBIB!E5*80%,N134)</f>
        <v>0</v>
      </c>
      <c r="Y134" s="112"/>
      <c r="AA134" s="105">
        <f>IF(AND(DONBIB!B23&gt;=40,DONBIB!B23&lt;=49),DONBIB!E7*14,0)</f>
        <v>0</v>
      </c>
      <c r="AB134" s="105"/>
      <c r="AC134" s="105"/>
      <c r="AD134" s="105"/>
      <c r="AE134" s="106">
        <f>IF(AND(DONBIB!B28&gt;=40,DONBIB!B28&lt;=49),DONBIB!E7*14,0)</f>
        <v>0</v>
      </c>
      <c r="AF134" s="107">
        <f>IF(AND(DONBIB!B33&gt;=40,DONBIB!B33&lt;=49),DONBIB!E7*14,0)</f>
        <v>0</v>
      </c>
      <c r="AG134" s="106">
        <f>IF(AND(DONBIB!B38&gt;=40,DONBIB!B38&lt;=49),DONBIB!E7*14,0)</f>
        <v>0</v>
      </c>
      <c r="AH134" s="106">
        <f>IF(AND(DONBIB!B43&gt;=40,DONBIB!B43&lt;=49),DONBIB!E7*14,0)</f>
        <v>0</v>
      </c>
      <c r="AI134" s="106">
        <f>IF(AND(DONBIB!B48&gt;=40,DONBIB!B48&lt;=49),DONBIB!E7*14,0)</f>
        <v>0</v>
      </c>
      <c r="AJ134" s="106">
        <f>IF(AND(DONBIB!B53&gt;=40,DONBIB!B53&lt;=49),DONBIB!E7*14,0)</f>
        <v>0</v>
      </c>
      <c r="AK134" s="106">
        <f>IF(AND(DONBIB!B58&gt;=40,DONBIB!B58&lt;=49),DONBIB!E7*14,0)</f>
        <v>0</v>
      </c>
      <c r="AL134" s="106"/>
      <c r="AM134" s="106"/>
      <c r="AN134" s="106">
        <f>IF(AND(DONBIB!B63&gt;=40,DONBIB!B63&lt;=49),DONBIB!E7*14,0)</f>
        <v>0</v>
      </c>
      <c r="AP134" s="111">
        <f>IF(DONBIB!E7*14&gt;DONBIB!E5*80%,DONBIB!E5*80%,AA134)</f>
        <v>0</v>
      </c>
      <c r="AQ134" s="112">
        <f>IF(DONBIB!E7*14&gt;DONBIB!E5*80%,DONBIB!E5*80%,AE134)</f>
        <v>0</v>
      </c>
      <c r="AR134" s="113">
        <f>IF(DONBIB!E7*14&gt;DONBIB!E5*80%,DONBIB!E5*80%,AF134)</f>
        <v>0</v>
      </c>
      <c r="AS134" s="112">
        <f>IF(DONBIB!E7*14&gt;DONBIB!E5*80%,DONBIB!E5*80%,AG134)</f>
        <v>0</v>
      </c>
      <c r="AT134" s="112">
        <f>IF(DONBIB!E7*14&gt;DONBIB!E5*80%,DONBIB!E5*80%,AH134)</f>
        <v>0</v>
      </c>
      <c r="AU134" s="112">
        <f>IF(DONBIB!E7*14&gt;DONBIB!E5*80%,DONBIB!E5*80%,AI134)</f>
        <v>0</v>
      </c>
      <c r="AV134" s="112">
        <f>IF(DONBIB!E7*14&gt;DONBIB!E5*80%,DONBIB!E5*80%,AJ134)</f>
        <v>0</v>
      </c>
      <c r="AW134" s="112">
        <f>IF(DONBIB!E7*14&gt;DONBIB!E5*80%,DONBIB!E5*80%,AK134)</f>
        <v>0</v>
      </c>
      <c r="AX134" s="112">
        <f>IF(DONBIB!E7*14&gt;DONBIB!E5*80%,DONBIB!E5*80%,AN134)</f>
        <v>0</v>
      </c>
    </row>
    <row r="135" spans="1:50" x14ac:dyDescent="0.2">
      <c r="A135" s="105"/>
      <c r="B135" s="105"/>
      <c r="C135" s="105"/>
      <c r="D135" s="105"/>
      <c r="E135" s="106"/>
      <c r="F135" s="107"/>
      <c r="G135" s="106"/>
      <c r="H135" s="106"/>
      <c r="I135" s="106"/>
      <c r="J135" s="106"/>
      <c r="K135" s="106"/>
      <c r="L135" s="106"/>
      <c r="M135" s="106"/>
      <c r="N135" s="106"/>
      <c r="P135" s="111"/>
      <c r="Q135" s="112"/>
      <c r="R135" s="113"/>
      <c r="S135" s="112"/>
      <c r="T135" s="112"/>
      <c r="U135" s="112"/>
      <c r="V135" s="112"/>
      <c r="W135" s="112"/>
      <c r="X135" s="112"/>
      <c r="Y135" s="112"/>
      <c r="AA135" s="105"/>
      <c r="AB135" s="105"/>
      <c r="AC135" s="105"/>
      <c r="AD135" s="105"/>
      <c r="AE135" s="106"/>
      <c r="AF135" s="107"/>
      <c r="AG135" s="106"/>
      <c r="AH135" s="106"/>
      <c r="AI135" s="106"/>
      <c r="AJ135" s="106"/>
      <c r="AK135" s="106"/>
      <c r="AL135" s="106"/>
      <c r="AM135" s="106"/>
      <c r="AN135" s="106"/>
      <c r="AP135" s="111"/>
      <c r="AQ135" s="112"/>
      <c r="AR135" s="113"/>
      <c r="AS135" s="112"/>
      <c r="AT135" s="112"/>
      <c r="AU135" s="112"/>
      <c r="AV135" s="112"/>
      <c r="AW135" s="112"/>
      <c r="AX135" s="112"/>
    </row>
    <row r="136" spans="1:50" x14ac:dyDescent="0.2">
      <c r="A136" s="105">
        <f>IF(AND(DONBIB!B21&gt;=50,DONBIB!B21&lt;=54),DONBIB!E7*13,0)</f>
        <v>0</v>
      </c>
      <c r="B136" s="105"/>
      <c r="C136" s="105"/>
      <c r="D136" s="105"/>
      <c r="E136" s="106">
        <f>IF(AND(DONBIB!B26&gt;=50,DONBIB!B26&lt;=54),DONBIB!E7*13,0)</f>
        <v>0</v>
      </c>
      <c r="F136" s="107">
        <f>IF(AND(DONBIB!B31&gt;=50,DONBIB!B31&lt;=54),DONBIB!E7*13,0)</f>
        <v>0</v>
      </c>
      <c r="G136" s="106">
        <f>IF(AND(DONBIB!B36&gt;=50,DONBIB!B36&lt;=54),DONBIB!E7*13,0)</f>
        <v>0</v>
      </c>
      <c r="H136" s="106">
        <f>IF(AND(DONBIB!B41&gt;=50,DONBIB!B41&lt;=54),DONBIB!E7*13,0)</f>
        <v>0</v>
      </c>
      <c r="I136" s="106">
        <f>IF(AND(DONBIB!B46&gt;=50,DONBIB!B46&lt;=54),DONBIB!E7*13,0)</f>
        <v>0</v>
      </c>
      <c r="J136" s="106">
        <f>IF(AND(DONBIB!B51&gt;=50,DONBIB!B51&lt;=54),DONBIB!E7*13,0)</f>
        <v>0</v>
      </c>
      <c r="K136" s="106">
        <f>IF(AND(DONBIB!B56&gt;=50,DONBIB!B56&lt;=54),DONBIB!E7*13,0)</f>
        <v>0</v>
      </c>
      <c r="L136" s="106"/>
      <c r="M136" s="106"/>
      <c r="N136" s="106">
        <f>IF(AND(DONBIB!B61&gt;=50,DONBIB!B61&lt;=54),DONBIB!E7*13,0)</f>
        <v>0</v>
      </c>
      <c r="P136" s="111">
        <f>IF(DONBIB!E7*13&gt;DONBIB!E5*80%,DONBIB!E5*80%,A136)</f>
        <v>0</v>
      </c>
      <c r="Q136" s="112">
        <f>IF(DONBIB!E7*13&gt;DONBIB!E5*80%,DONBIB!E5*80%,E136)</f>
        <v>0</v>
      </c>
      <c r="R136" s="113">
        <f>IF(DONBIB!E7*13&gt;DONBIB!E5*80%,DONBIB!E5*80%,F136)</f>
        <v>0</v>
      </c>
      <c r="S136" s="112">
        <f>IF(DONBIB!E7*13&gt;DONBIB!E5*80%,DONBIB!E5*80%,G136)</f>
        <v>0</v>
      </c>
      <c r="T136" s="112">
        <f>IF(DONBIB!E7*13&gt;DONBIB!E5*80%,DONBIB!E5*80%,H136)</f>
        <v>0</v>
      </c>
      <c r="U136" s="112">
        <f>IF(DONBIB!E7*13&gt;DONBIB!E5*80%,DONBIB!E5*80%,I136)</f>
        <v>0</v>
      </c>
      <c r="V136" s="112">
        <f>IF(DONBIB!E7*13&gt;DONBIB!E5*80%,DONBIB!E5*80%,J136)</f>
        <v>0</v>
      </c>
      <c r="W136" s="112">
        <f>IF(DONBIB!E7*13&gt;DONBIB!E5*80%,DONBIB!E5*80%,K136)</f>
        <v>0</v>
      </c>
      <c r="X136" s="112">
        <f>IF(DONBIB!E7*13&gt;DONBIB!E5*80%,DONBIB!E5*80%,N136)</f>
        <v>0</v>
      </c>
      <c r="Y136" s="112"/>
      <c r="AA136" s="105">
        <f>IF(AND(DONBIB!B23&gt;=50,DONBIB!B23&lt;=54),DONBIB!E7*13,0)</f>
        <v>0</v>
      </c>
      <c r="AB136" s="105"/>
      <c r="AC136" s="105"/>
      <c r="AD136" s="105"/>
      <c r="AE136" s="106">
        <f>IF(AND(DONBIB!B28&gt;=50,DONBIB!B28&lt;=54),DONBIB!E7*13,0)</f>
        <v>0</v>
      </c>
      <c r="AF136" s="107">
        <f>IF(AND(DONBIB!B33&gt;=50,DONBIB!B33&lt;=54),DONBIB!E7*13,0)</f>
        <v>0</v>
      </c>
      <c r="AG136" s="106">
        <f>IF(AND(DONBIB!B38&gt;=50,DONBIB!B38&lt;=54),DONBIB!E7*13,0)</f>
        <v>0</v>
      </c>
      <c r="AH136" s="106">
        <f>IF(AND(DONBIB!B43&gt;=50,DONBIB!B43&lt;=54),DONBIB!E7*13,0)</f>
        <v>0</v>
      </c>
      <c r="AI136" s="106">
        <f>IF(AND(DONBIB!B48&gt;=50,DONBIB!B48&lt;=54),DONBIB!E7*13,0)</f>
        <v>0</v>
      </c>
      <c r="AJ136" s="106">
        <f>IF(AND(DONBIB!B53&gt;=50,DONBIB!B53&lt;=54),DONBIB!E7*13,0)</f>
        <v>0</v>
      </c>
      <c r="AK136" s="106">
        <f>IF(AND(DONBIB!B58&gt;=50,DONBIB!B58&lt;=54),DONBIB!E7*13,0)</f>
        <v>0</v>
      </c>
      <c r="AL136" s="106"/>
      <c r="AM136" s="106"/>
      <c r="AN136" s="106">
        <f>IF(AND(DONBIB!B63&gt;=50,DONBIB!B63&lt;=54),DONBIB!E7*13,0)</f>
        <v>0</v>
      </c>
      <c r="AP136" s="111">
        <f>IF(DONBIB!E7*13&gt;DONBIB!E5*80%,DONBIB!E5*80%,AA136)</f>
        <v>0</v>
      </c>
      <c r="AQ136" s="112">
        <f>IF(DONBIB!E7*13&gt;DONBIB!E5*80%,DONBIB!E5*80%,AE136)</f>
        <v>0</v>
      </c>
      <c r="AR136" s="113">
        <f>IF(DONBIB!E7*13&gt;DONBIB!E5*80%,DONBIB!E5*80%,AF136)</f>
        <v>0</v>
      </c>
      <c r="AS136" s="112">
        <f>IF(DONBIB!E7*13&gt;DONBIB!E5*80%,DONBIB!E5*80%,AG136)</f>
        <v>0</v>
      </c>
      <c r="AT136" s="112">
        <f>IF(DONBIB!E7*13&gt;DONBIB!E5*80%,DONBIB!E5*80%,AH136)</f>
        <v>0</v>
      </c>
      <c r="AU136" s="112">
        <f>IF(DONBIB!E7*13&gt;DONBIB!E5*80%,DONBIB!E5*80%,AI136)</f>
        <v>0</v>
      </c>
      <c r="AV136" s="112">
        <f>IF(DONBIB!E7*13&gt;DONBIB!E5*80%,DONBIB!E5*80%,AJ136)</f>
        <v>0</v>
      </c>
      <c r="AW136" s="112">
        <f>IF(DONBIB!E7*13&gt;DONBIB!E5*80%,DONBIB!E5*80%,AK136)</f>
        <v>0</v>
      </c>
      <c r="AX136" s="112">
        <f>IF(DONBIB!E7*13&gt;DONBIB!E5*80%,DONBIB!E5*80%,AN136)</f>
        <v>0</v>
      </c>
    </row>
    <row r="137" spans="1:50" x14ac:dyDescent="0.2">
      <c r="A137" s="105"/>
      <c r="B137" s="105"/>
      <c r="C137" s="105"/>
      <c r="D137" s="105"/>
      <c r="E137" s="106"/>
      <c r="F137" s="107"/>
      <c r="G137" s="106"/>
      <c r="H137" s="106"/>
      <c r="I137" s="106"/>
      <c r="J137" s="106"/>
      <c r="K137" s="106"/>
      <c r="L137" s="106"/>
      <c r="M137" s="106"/>
      <c r="N137" s="106"/>
      <c r="P137" s="111"/>
      <c r="Q137" s="112"/>
      <c r="R137" s="113"/>
      <c r="S137" s="112"/>
      <c r="T137" s="112"/>
      <c r="U137" s="112"/>
      <c r="V137" s="112"/>
      <c r="W137" s="112"/>
      <c r="X137" s="112"/>
      <c r="Y137" s="112"/>
      <c r="AA137" s="105"/>
      <c r="AB137" s="105"/>
      <c r="AC137" s="105"/>
      <c r="AD137" s="105"/>
      <c r="AE137" s="106"/>
      <c r="AF137" s="107"/>
      <c r="AG137" s="106"/>
      <c r="AH137" s="106"/>
      <c r="AI137" s="106"/>
      <c r="AJ137" s="106"/>
      <c r="AK137" s="106"/>
      <c r="AL137" s="106"/>
      <c r="AM137" s="106"/>
      <c r="AN137" s="106"/>
      <c r="AP137" s="111"/>
      <c r="AQ137" s="112"/>
      <c r="AR137" s="113"/>
      <c r="AS137" s="112"/>
      <c r="AT137" s="112"/>
      <c r="AU137" s="112"/>
      <c r="AV137" s="112"/>
      <c r="AW137" s="112"/>
      <c r="AX137" s="112"/>
    </row>
    <row r="138" spans="1:50" x14ac:dyDescent="0.2">
      <c r="A138" s="105">
        <f>IF(AND(DONBIB!B21&gt;=55,DONBIB!B21&lt;=59),DONBIB!E7*11,0)</f>
        <v>0</v>
      </c>
      <c r="B138" s="105"/>
      <c r="C138" s="105"/>
      <c r="D138" s="105"/>
      <c r="E138" s="106">
        <f>IF(AND(DONBIB!B26&gt;=55,DONBIB!B26&lt;=59),DONBIB!E7*11,0)</f>
        <v>0</v>
      </c>
      <c r="F138" s="107">
        <f>IF(AND(DONBIB!B31&gt;=55,DONBIB!B31&lt;=59),DONBIB!E7*11,0)</f>
        <v>0</v>
      </c>
      <c r="G138" s="106">
        <f>IF(AND(DONBIB!B36&gt;=55,DONBIB!B36&lt;=59),DONBIB!E7*11,0)</f>
        <v>0</v>
      </c>
      <c r="H138" s="106">
        <f>IF(AND(DONBIB!B41&gt;=55,DONBIB!B41&lt;=59),DONBIB!E7*11,0)</f>
        <v>0</v>
      </c>
      <c r="I138" s="106">
        <f>IF(AND(DONBIB!B46&gt;=55,DONBIB!B46&lt;=59),DONBIB!E7*11,0)</f>
        <v>0</v>
      </c>
      <c r="J138" s="106">
        <f>IF(AND(DONBIB!B51&gt;=55,DONBIB!B51&lt;=59),DONBIB!E7*11,0)</f>
        <v>0</v>
      </c>
      <c r="K138" s="106">
        <f>IF(AND(DONBIB!B56&gt;=55,DONBIB!B56&lt;=59),DONBIB!E7*11,0)</f>
        <v>0</v>
      </c>
      <c r="L138" s="106"/>
      <c r="M138" s="106"/>
      <c r="N138" s="106">
        <f>IF(AND(DONBIB!B61&gt;=55,DONBIB!B61&lt;=59),DONBIB!E7*11,0)</f>
        <v>0</v>
      </c>
      <c r="P138" s="111">
        <f>IF(DONBIB!E7*11&gt;DONBIB!E5*80%,DONBIB!E5*80%,A138)</f>
        <v>0</v>
      </c>
      <c r="Q138" s="112">
        <f>IF(DONBIB!E7*11&gt;DONBIB!E5*80%,DONBIB!E5*80%,E138)</f>
        <v>0</v>
      </c>
      <c r="R138" s="113">
        <f>IF(DONBIB!E7*11&gt;DONBIB!E5*80%,DONBIB!E5*80%,F138)</f>
        <v>0</v>
      </c>
      <c r="S138" s="112">
        <f>IF(DONBIB!E7*11&gt;DONBIB!E5*80%,DONBIB!E5*80%,G138)</f>
        <v>0</v>
      </c>
      <c r="T138" s="112">
        <f>IF(DONBIB!E7*11&gt;DONBIB!E5*80%,DONBIB!E5*80%,H138)</f>
        <v>0</v>
      </c>
      <c r="U138" s="112">
        <f>IF(DONBIB!E7*11&gt;DONBIB!E5*80%,DONBIB!E5*80%,I138)</f>
        <v>0</v>
      </c>
      <c r="V138" s="112">
        <f>IF(DONBIB!E7*11&gt;DONBIB!E5*80%,DONBIB!E5*80%,J138)</f>
        <v>0</v>
      </c>
      <c r="W138" s="112">
        <f>IF(DONBIB!E7*11&gt;DONBIB!E5*80%,DONBIB!E5*80%,K138)</f>
        <v>0</v>
      </c>
      <c r="X138" s="112">
        <f>IF(DONBIB!E7*11&gt;DONBIB!E5*80%,DONBIB!E5*80%,N138)</f>
        <v>0</v>
      </c>
      <c r="Y138" s="112"/>
      <c r="AA138" s="105">
        <f>IF(AND(DONBIB!B23&gt;=55,DONBIB!B23&lt;=59),DONBIB!E7*11,0)</f>
        <v>0</v>
      </c>
      <c r="AB138" s="105"/>
      <c r="AC138" s="105"/>
      <c r="AD138" s="105"/>
      <c r="AE138" s="106">
        <f>IF(AND(DONBIB!B28&gt;=55,DONBIB!B28&lt;=59),DONBIB!E7*11,0)</f>
        <v>0</v>
      </c>
      <c r="AF138" s="107">
        <f>IF(AND(DONBIB!B33&gt;=55,DONBIB!B33&lt;=59),DONBIB!E7*11,0)</f>
        <v>0</v>
      </c>
      <c r="AG138" s="106">
        <f>IF(AND(DONBIB!B38&gt;=55,DONBIB!B38&lt;=59),DONBIB!E7*11,0)</f>
        <v>0</v>
      </c>
      <c r="AH138" s="106">
        <f>IF(AND(DONBIB!B43&gt;=55,DONBIB!B43&lt;=59),DONBIB!E7*11,0)</f>
        <v>0</v>
      </c>
      <c r="AI138" s="106">
        <f>IF(AND(DONBIB!B48&gt;=55,DONBIB!B48&lt;=59),DONBIB!E7*11,0)</f>
        <v>0</v>
      </c>
      <c r="AJ138" s="106">
        <f>IF(AND(DONBIB!B53&gt;=55,DONBIB!B53&lt;=59),DONBIB!E7*11,0)</f>
        <v>0</v>
      </c>
      <c r="AK138" s="106">
        <f>IF(AND(DONBIB!B58&gt;=55,DONBIB!B58&lt;=59),DONBIB!E7*11,0)</f>
        <v>0</v>
      </c>
      <c r="AL138" s="106"/>
      <c r="AM138" s="106"/>
      <c r="AN138" s="106">
        <f>IF(AND(DONBIB!B63&gt;=55,DONBIB!B63&lt;=59),DONBIB!E7*11,0)</f>
        <v>0</v>
      </c>
      <c r="AP138" s="111">
        <f>IF(DONBIB!E7*11&gt;DONBIB!E5*80%,DONBIB!E5*80%,AA138)</f>
        <v>0</v>
      </c>
      <c r="AQ138" s="112">
        <f>IF(DONBIB!E7*11&gt;DONBIB!E5*80%,DONBIB!E5*80%,AE138)</f>
        <v>0</v>
      </c>
      <c r="AR138" s="113">
        <f>IF(DONBIB!E7*11&gt;DONBIB!E5*80%,DONBIB!E5*80%,AF138)</f>
        <v>0</v>
      </c>
      <c r="AS138" s="112">
        <f>IF(DONBIB!E7*11&gt;DONBIB!E5*80%,DONBIB!E5*80%,AG138)</f>
        <v>0</v>
      </c>
      <c r="AT138" s="112">
        <f>IF(DONBIB!E7*11&gt;DONBIB!E5*80%,DONBIB!E5*80%,AH138)</f>
        <v>0</v>
      </c>
      <c r="AU138" s="112">
        <f>IF(DONBIB!E7*11&gt;DONBIB!E5*80%,DONBIB!E5*80%,AI138)</f>
        <v>0</v>
      </c>
      <c r="AV138" s="112">
        <f>IF(DONBIB!E7*11&gt;DONBIB!E5*80%,DONBIB!E5*80%,AJ138)</f>
        <v>0</v>
      </c>
      <c r="AW138" s="112">
        <f>IF(DONBIB!E7*11&gt;DONBIB!E5*80%,DONBIB!E5*80%,AK138)</f>
        <v>0</v>
      </c>
      <c r="AX138" s="112">
        <f>IF(DONBIB!E7*11&gt;DONBIB!E5*80%,DONBIB!E5*80%,AN138)</f>
        <v>0</v>
      </c>
    </row>
    <row r="139" spans="1:50" x14ac:dyDescent="0.2">
      <c r="A139" s="106"/>
      <c r="B139" s="106"/>
      <c r="C139" s="106"/>
      <c r="D139" s="106"/>
      <c r="E139" s="106"/>
      <c r="F139" s="107"/>
      <c r="G139" s="106"/>
      <c r="H139" s="106"/>
      <c r="I139" s="106"/>
      <c r="J139" s="106"/>
      <c r="K139" s="106"/>
      <c r="L139" s="106"/>
      <c r="M139" s="106"/>
      <c r="N139" s="106"/>
      <c r="P139" s="112"/>
      <c r="Q139" s="112"/>
      <c r="R139" s="113"/>
      <c r="S139" s="112"/>
      <c r="T139" s="112"/>
      <c r="U139" s="112"/>
      <c r="V139" s="112"/>
      <c r="W139" s="112"/>
      <c r="X139" s="112"/>
      <c r="Y139" s="112"/>
      <c r="AA139" s="106"/>
      <c r="AB139" s="106"/>
      <c r="AC139" s="106"/>
      <c r="AD139" s="106"/>
      <c r="AE139" s="106"/>
      <c r="AF139" s="107"/>
      <c r="AG139" s="106"/>
      <c r="AH139" s="106"/>
      <c r="AI139" s="106"/>
      <c r="AJ139" s="106"/>
      <c r="AK139" s="106"/>
      <c r="AL139" s="106"/>
      <c r="AM139" s="106"/>
      <c r="AN139" s="106"/>
      <c r="AP139" s="112"/>
      <c r="AQ139" s="112"/>
      <c r="AR139" s="113"/>
      <c r="AS139" s="112"/>
      <c r="AT139" s="112"/>
      <c r="AU139" s="112"/>
      <c r="AV139" s="112"/>
      <c r="AW139" s="112"/>
      <c r="AX139" s="112"/>
    </row>
    <row r="140" spans="1:50" x14ac:dyDescent="0.2">
      <c r="A140" s="105">
        <f>IF(AND(DONBIB!B21&gt;=60,DONBIB!B21&lt;=64),DONBIB!E7*9.5,0)</f>
        <v>0</v>
      </c>
      <c r="B140" s="105"/>
      <c r="C140" s="105"/>
      <c r="D140" s="105"/>
      <c r="E140" s="106">
        <f>IF(AND(DONBIB!B26&gt;=60,DONBIB!B26&lt;=64),DONBIB!E7*9.5,0)</f>
        <v>0</v>
      </c>
      <c r="F140" s="107">
        <f>IF(AND(DONBIB!B31&gt;=60,DONBIB!B31&lt;=64),DONBIB!E7*9.5,0)</f>
        <v>0</v>
      </c>
      <c r="G140" s="106">
        <f>IF(AND(DONBIB!B36&gt;=60,DONBIB!B36&lt;=64),DONBIB!E7*9.5,0)</f>
        <v>0</v>
      </c>
      <c r="H140" s="106">
        <f>IF(AND(DONBIB!B41&gt;=60,DONBIB!B41&lt;=64),DONBIB!E7*9.5,0)</f>
        <v>0</v>
      </c>
      <c r="I140" s="106">
        <f>IF(AND(DONBIB!B46&gt;=60,DONBIB!B46&lt;=64),DONBIB!E7*9.5,0)</f>
        <v>0</v>
      </c>
      <c r="J140" s="106">
        <f>IF(AND(DONBIB!B51&gt;=60,DONBIB!B51&lt;=64),DONBIB!E7*9.5,0)</f>
        <v>0</v>
      </c>
      <c r="K140" s="106">
        <f>IF(AND(DONBIB!B56&gt;=60,DONBIB!B56&lt;=64),DONBIB!E7*9.5,0)</f>
        <v>0</v>
      </c>
      <c r="L140" s="106"/>
      <c r="M140" s="106"/>
      <c r="N140" s="106">
        <f>IF(AND(DONBIB!B61&gt;=60,DONBIB!B61&lt;=64),DONBIB!E7*9.5,0)</f>
        <v>0</v>
      </c>
      <c r="P140" s="111">
        <f>IF(DONBIB!E7*9&gt;DONBIB!E5*80%,DONBIB!E5*80%,A140)</f>
        <v>0</v>
      </c>
      <c r="Q140" s="112">
        <f>IF(DONBIB!E7*9&gt;DONBIB!E5*80%,DONBIB!E5*80%,E140)</f>
        <v>0</v>
      </c>
      <c r="R140" s="113">
        <f>IF(DONBIB!E7*9&gt;DONBIB!E5*80%,DONBIB!E5*80%,F140)</f>
        <v>0</v>
      </c>
      <c r="S140" s="112">
        <f>IF(DONBIB!E7*9&gt;DONBIB!E5*80%,DONBIB!E5*80%,G140)</f>
        <v>0</v>
      </c>
      <c r="T140" s="112">
        <f>IF(DONBIB!E7*9&gt;DONBIB!E5*80%,DONBIB!E5*80%,H140)</f>
        <v>0</v>
      </c>
      <c r="U140" s="112">
        <f>IF(DONBIB!E7*9&gt;DONBIB!E5*80%,DONBIB!E5*80%,I140)</f>
        <v>0</v>
      </c>
      <c r="V140" s="112">
        <f>IF(DONBIB!E7*9&gt;DONBIB!E5*80%,DONBIB!E5*80%,J140)</f>
        <v>0</v>
      </c>
      <c r="W140" s="112">
        <f>IF(DONBIB!E7*9&gt;DONBIB!E5*80%,DONBIB!E5*80%,K140)</f>
        <v>0</v>
      </c>
      <c r="X140" s="112">
        <f>IF(DONBIB!E7*9&gt;DONBIB!E5*80%,DONBIB!E5*80%,N140)</f>
        <v>0</v>
      </c>
      <c r="Y140" s="112"/>
      <c r="AA140" s="105">
        <f>IF(AND(DONBIB!B23&gt;=60,DONBIB!B23&lt;=64),DONBIB!E7*9.5,0)</f>
        <v>0</v>
      </c>
      <c r="AB140" s="105"/>
      <c r="AC140" s="105"/>
      <c r="AD140" s="105"/>
      <c r="AE140" s="106">
        <f>IF(AND(DONBIB!B28&gt;=60,DONBIB!B28&lt;=64),DONBIB!E7*9.5,0)</f>
        <v>0</v>
      </c>
      <c r="AF140" s="107">
        <f>IF(AND(DONBIB!B33&gt;=60,DONBIB!B33&lt;=64),DONBIB!E7*9.5,0)</f>
        <v>0</v>
      </c>
      <c r="AG140" s="106">
        <f>IF(AND(DONBIB!B38&gt;=60,DONBIB!B38&lt;=64),DONBIB!E7*9.5,0)</f>
        <v>0</v>
      </c>
      <c r="AH140" s="106">
        <f>IF(AND(DONBIB!B43&gt;=60,DONBIB!B43&lt;=64),DONBIB!E7*9.5,0)</f>
        <v>0</v>
      </c>
      <c r="AI140" s="106">
        <f>IF(AND(DONBIB!B48&gt;=60,DONBIB!B48&lt;=64),DONBIB!E7*9.5,0)</f>
        <v>0</v>
      </c>
      <c r="AJ140" s="106">
        <f>IF(AND(DONBIB!B53&gt;=60,DONBIB!B53&lt;=64),DONBIB!E7*9.5,0)</f>
        <v>0</v>
      </c>
      <c r="AK140" s="106">
        <f>IF(AND(DONBIB!B58&gt;=60,DONBIB!B58&lt;=64),DONBIB!E7*9.5,0)</f>
        <v>0</v>
      </c>
      <c r="AL140" s="106"/>
      <c r="AM140" s="106"/>
      <c r="AN140" s="106">
        <f>IF(AND(DONBIB!B63&gt;=60,DONBIB!B63&lt;=64),DONBIB!E7*9.5,0)</f>
        <v>0</v>
      </c>
      <c r="AP140" s="111">
        <f>IF(DONBIB!E7*9&gt;DONBIB!E5*80%,DONBIB!E5*80%,AA140)</f>
        <v>0</v>
      </c>
      <c r="AQ140" s="112">
        <f>IF(DONBIB!E7*9&gt;DONBIB!E5*80%,DONBIB!E5*80%,AE140)</f>
        <v>0</v>
      </c>
      <c r="AR140" s="113">
        <f>IF(DONBIB!E7*9&gt;DONBIB!E5*80%,DONBIB!E5*80%,AF140)</f>
        <v>0</v>
      </c>
      <c r="AS140" s="112">
        <f>IF(DONBIB!E7*9&gt;DONBIB!E5*80%,DONBIB!E5*80%,AG140)</f>
        <v>0</v>
      </c>
      <c r="AT140" s="112">
        <f>IF(DONBIB!E7*9&gt;DONBIB!E5*80%,DONBIB!E5*80%,AH140)</f>
        <v>0</v>
      </c>
      <c r="AU140" s="112">
        <f>IF(DONBIB!E7*9&gt;DONBIB!E5*80%,DONBIB!E5*80%,AI140)</f>
        <v>0</v>
      </c>
      <c r="AV140" s="112">
        <f>IF(DONBIB!E7*9&gt;DONBIB!E5*80%,DONBIB!E5*80%,AJ140)</f>
        <v>0</v>
      </c>
      <c r="AW140" s="112">
        <f>IF(DONBIB!E7*9&gt;DONBIB!E5*80%,DONBIB!E5*80%,AK140)</f>
        <v>0</v>
      </c>
      <c r="AX140" s="112">
        <f>IF(DONBIB!E7*9&gt;DONBIB!E5*80%,DONBIB!E5*80%,AN140)</f>
        <v>0</v>
      </c>
    </row>
    <row r="141" spans="1:50" x14ac:dyDescent="0.2">
      <c r="A141" s="105"/>
      <c r="B141" s="105"/>
      <c r="C141" s="105"/>
      <c r="D141" s="105"/>
      <c r="E141" s="106"/>
      <c r="F141" s="107"/>
      <c r="G141" s="106"/>
      <c r="H141" s="106"/>
      <c r="I141" s="106"/>
      <c r="J141" s="106"/>
      <c r="K141" s="106"/>
      <c r="L141" s="106"/>
      <c r="M141" s="106"/>
      <c r="N141" s="106"/>
      <c r="P141" s="111"/>
      <c r="Q141" s="112"/>
      <c r="R141" s="113"/>
      <c r="S141" s="112"/>
      <c r="T141" s="112"/>
      <c r="U141" s="112"/>
      <c r="V141" s="112"/>
      <c r="W141" s="112"/>
      <c r="X141" s="112"/>
      <c r="Y141" s="112"/>
      <c r="AA141" s="105"/>
      <c r="AB141" s="105"/>
      <c r="AC141" s="105"/>
      <c r="AD141" s="105"/>
      <c r="AE141" s="106"/>
      <c r="AF141" s="107"/>
      <c r="AG141" s="106"/>
      <c r="AH141" s="106"/>
      <c r="AI141" s="106"/>
      <c r="AJ141" s="106"/>
      <c r="AK141" s="106"/>
      <c r="AL141" s="106"/>
      <c r="AM141" s="106"/>
      <c r="AN141" s="106"/>
      <c r="AP141" s="111"/>
      <c r="AQ141" s="112"/>
      <c r="AR141" s="113"/>
      <c r="AS141" s="112"/>
      <c r="AT141" s="112"/>
      <c r="AU141" s="112"/>
      <c r="AV141" s="112"/>
      <c r="AW141" s="112"/>
      <c r="AX141" s="112"/>
    </row>
    <row r="142" spans="1:50" x14ac:dyDescent="0.2">
      <c r="A142" s="105">
        <f>IF(AND(DONBIB!B21&gt;=65,DONBIB!B21&lt;=69),DONBIB!E7*8,0)</f>
        <v>0</v>
      </c>
      <c r="B142" s="105"/>
      <c r="C142" s="105"/>
      <c r="D142" s="105"/>
      <c r="E142" s="106">
        <f>IF(AND(DONBIB!B26&gt;=65,DONBIB!B26&lt;=69),DONBIB!E7*8,0)</f>
        <v>0</v>
      </c>
      <c r="F142" s="107">
        <f>IF(AND(DONBIB!B31&gt;=65,DONBIB!B31&lt;=69),DONBIB!E7*8,0)</f>
        <v>0</v>
      </c>
      <c r="G142" s="106">
        <f>IF(AND(DONBIB!B36&gt;=65,DONBIB!B36&lt;=69),DONBIB!E7*8,0)</f>
        <v>0</v>
      </c>
      <c r="H142" s="106">
        <f>IF(AND(DONBIB!B41&gt;=65,DONBIB!B41&lt;=69),DONBIB!E7*8,0)</f>
        <v>0</v>
      </c>
      <c r="I142" s="106">
        <f>IF(AND(DONBIB!B46&gt;=65,DONBIB!B46&lt;=69),DONBIB!E7*8,0)</f>
        <v>0</v>
      </c>
      <c r="J142" s="106">
        <f>IF(AND(DONBIB!B51&gt;=65,DONBIB!B51&lt;=69),DONBIB!E7*8,0)</f>
        <v>0</v>
      </c>
      <c r="K142" s="106">
        <f>IF(AND(DONBIB!B56&gt;=65,DONBIB!B56&lt;=69),DONBIB!E7*8,0)</f>
        <v>0</v>
      </c>
      <c r="L142" s="106"/>
      <c r="M142" s="106"/>
      <c r="N142" s="106">
        <f>IF(AND(DONBIB!B61&gt;=65,DONBIB!B61&lt;=69),DONBIB!E7*8,0)</f>
        <v>0</v>
      </c>
      <c r="P142" s="111">
        <f>IF(DONBIB!E7*8&gt;DONBIB!E5*80%,DONBIB!E5*80%,A142)</f>
        <v>0</v>
      </c>
      <c r="Q142" s="112">
        <f>IF(DONBIB!E7*8&gt;DONBIB!E5*80%,DONBIB!E5*80%,E142)</f>
        <v>0</v>
      </c>
      <c r="R142" s="113">
        <f>IF(DONBIB!E7*8&gt;DONBIB!E5*80%,DONBIB!E5*80%,F142)</f>
        <v>0</v>
      </c>
      <c r="S142" s="112">
        <f>IF(DONBIB!E7*8&gt;DONBIB!E5*80%,DONBIB!E5*80%,G142)</f>
        <v>0</v>
      </c>
      <c r="T142" s="112">
        <f>IF(DONBIB!E7*8&gt;DONBIB!E5*80%,DONBIB!E5*80%,H142)</f>
        <v>0</v>
      </c>
      <c r="U142" s="112">
        <f>IF(DONBIB!E7*8&gt;DONBIB!E5*80%,DONBIB!E5*80%,I142)</f>
        <v>0</v>
      </c>
      <c r="V142" s="112">
        <f>IF(DONBIB!E7*8&gt;DONBIB!E5*80%,DONBIB!E5*80%,J142)</f>
        <v>0</v>
      </c>
      <c r="W142" s="112">
        <f>IF(DONBIB!E7*8&gt;DONBIB!E5*80%,DONBIB!E5*80%,K142)</f>
        <v>0</v>
      </c>
      <c r="X142" s="112">
        <f>IF(DONBIB!E7*8&gt;DONBIB!E5*80%,DONBIB!E5*80%,N142)</f>
        <v>0</v>
      </c>
      <c r="Y142" s="112"/>
      <c r="AA142" s="105">
        <f>IF(AND(DONBIB!B23&gt;=65,DONBIB!B23&lt;=69),DONBIB!E7*8,0)</f>
        <v>0</v>
      </c>
      <c r="AB142" s="105"/>
      <c r="AC142" s="105"/>
      <c r="AD142" s="105"/>
      <c r="AE142" s="106">
        <f>IF(AND(DONBIB!B28&gt;=65,DONBIB!B28&lt;=69),DONBIB!E7*8,0)</f>
        <v>0</v>
      </c>
      <c r="AF142" s="107">
        <f>IF(AND(DONBIB!B33&gt;=65,DONBIB!B33&lt;=69),DONBIB!E7*8,0)</f>
        <v>0</v>
      </c>
      <c r="AG142" s="106">
        <f>IF(AND(DONBIB!B38&gt;=65,DONBIB!B38&lt;=69),DONBIB!E7*8,0)</f>
        <v>0</v>
      </c>
      <c r="AH142" s="106">
        <f>IF(AND(DONBIB!B43&gt;=65,DONBIB!B43&lt;=69),DONBIB!E7*8,0)</f>
        <v>0</v>
      </c>
      <c r="AI142" s="106">
        <f>IF(AND(DONBIB!B48&gt;=65,DONBIB!B48&lt;=69),DONBIB!E7*8,0)</f>
        <v>0</v>
      </c>
      <c r="AJ142" s="106">
        <f>IF(AND(DONBIB!B53&gt;=65,DONBIB!B53&lt;=69),DONBIB!E7*8,0)</f>
        <v>0</v>
      </c>
      <c r="AK142" s="106">
        <f>IF(AND(DONBIB!B58&gt;=65,DONBIB!B58&lt;=69),DONBIB!E7*8,0)</f>
        <v>0</v>
      </c>
      <c r="AL142" s="106"/>
      <c r="AM142" s="106"/>
      <c r="AN142" s="106">
        <f>IF(AND(DONBIB!B63&gt;=65,DONBIB!B63&lt;=69),DONBIB!E7*8,0)</f>
        <v>0</v>
      </c>
      <c r="AP142" s="111">
        <f>IF(DONBIB!E7*8&gt;DONBIB!E5*80%,DONBIB!E5*80%,AA142)</f>
        <v>0</v>
      </c>
      <c r="AQ142" s="112">
        <f>IF(DONBIB!E7*8&gt;DONBIB!E5*80%,DONBIB!E5*80%,AE142)</f>
        <v>0</v>
      </c>
      <c r="AR142" s="113">
        <f>IF(DONBIB!E7*8&gt;DONBIB!E5*80%,DONBIB!E5*80%,AF142)</f>
        <v>0</v>
      </c>
      <c r="AS142" s="112">
        <f>IF(DONBIB!E7*8&gt;DONBIB!E5*80%,DONBIB!E5*80%,AG142)</f>
        <v>0</v>
      </c>
      <c r="AT142" s="112">
        <f>IF(DONBIB!E7*8&gt;DONBIB!E5*80%,DONBIB!E5*80%,AH142)</f>
        <v>0</v>
      </c>
      <c r="AU142" s="112">
        <f>IF(DONBIB!E7*8&gt;DONBIB!E5*80%,DONBIB!E5*80%,AI142)</f>
        <v>0</v>
      </c>
      <c r="AV142" s="112">
        <f>IF(DONBIB!E7*8&gt;DONBIB!E5*80%,DONBIB!E5*80%,AJ142)</f>
        <v>0</v>
      </c>
      <c r="AW142" s="112">
        <f>IF(DONBIB!E7*8&gt;DONBIB!E5*80%,DONBIB!E5*80%,AK142)</f>
        <v>0</v>
      </c>
      <c r="AX142" s="112">
        <f>IF(DONBIB!E7*8&gt;DONBIB!E5*80%,DONBIB!E5*80%,AN142)</f>
        <v>0</v>
      </c>
    </row>
    <row r="143" spans="1:50" x14ac:dyDescent="0.2">
      <c r="A143" s="105"/>
      <c r="B143" s="105"/>
      <c r="C143" s="105"/>
      <c r="D143" s="105"/>
      <c r="E143" s="106"/>
      <c r="F143" s="107"/>
      <c r="G143" s="106"/>
      <c r="H143" s="106"/>
      <c r="I143" s="106"/>
      <c r="J143" s="106"/>
      <c r="K143" s="106"/>
      <c r="L143" s="106"/>
      <c r="M143" s="106"/>
      <c r="N143" s="106"/>
      <c r="P143" s="111"/>
      <c r="Q143" s="112"/>
      <c r="R143" s="113"/>
      <c r="S143" s="112"/>
      <c r="T143" s="112"/>
      <c r="U143" s="112"/>
      <c r="V143" s="112"/>
      <c r="W143" s="112"/>
      <c r="X143" s="112"/>
      <c r="Y143" s="112"/>
      <c r="AA143" s="105"/>
      <c r="AB143" s="105"/>
      <c r="AC143" s="105"/>
      <c r="AD143" s="105"/>
      <c r="AE143" s="106"/>
      <c r="AF143" s="107"/>
      <c r="AG143" s="106"/>
      <c r="AH143" s="106"/>
      <c r="AI143" s="106"/>
      <c r="AJ143" s="106"/>
      <c r="AK143" s="106"/>
      <c r="AL143" s="106"/>
      <c r="AM143" s="106"/>
      <c r="AN143" s="106"/>
      <c r="AP143" s="111"/>
      <c r="AQ143" s="112"/>
      <c r="AR143" s="113"/>
      <c r="AS143" s="112"/>
      <c r="AT143" s="112"/>
      <c r="AU143" s="112"/>
      <c r="AV143" s="112"/>
      <c r="AW143" s="112"/>
      <c r="AX143" s="112"/>
    </row>
    <row r="144" spans="1:50" x14ac:dyDescent="0.2">
      <c r="A144" s="105">
        <f>IF(AND(DONBIB!B21&gt;=70,DONBIB!B21&lt;=74),DONBIB!E7*6,0)</f>
        <v>0</v>
      </c>
      <c r="B144" s="105"/>
      <c r="C144" s="105"/>
      <c r="D144" s="105"/>
      <c r="E144" s="106">
        <f>IF(AND(DONBIB!B26&gt;=70,DONBIB!B26&lt;=74),DONBIB!E7*6,0)</f>
        <v>0</v>
      </c>
      <c r="F144" s="107">
        <f>IF(AND(DONBIB!B31&gt;=70,DONBIB!B31&lt;=74),DONBIB!E7*6,0)</f>
        <v>0</v>
      </c>
      <c r="G144" s="106">
        <f>IF(AND(DONBIB!B36&gt;=70,DONBIB!B36&lt;=74),DONBIB!E7*6,0)</f>
        <v>0</v>
      </c>
      <c r="H144" s="106">
        <f>IF(AND(DONBIB!B41&gt;=70,DONBIB!B41&lt;=74),DONBIB!E7*6,0)</f>
        <v>0</v>
      </c>
      <c r="I144" s="106">
        <f>IF(AND(DONBIB!B46&gt;=70,DONBIB!B46&lt;=74),DONBIB!E7*6,0)</f>
        <v>0</v>
      </c>
      <c r="J144" s="106">
        <f>IF(AND(DONBIB!B51&gt;=70,DONBIB!B51&lt;=74),DONBIB!E7*6,0)</f>
        <v>0</v>
      </c>
      <c r="K144" s="106">
        <f>IF(AND(DONBIB!B56&gt;=70,DONBIB!B56&lt;=74),DONBIB!E7*6,0)</f>
        <v>0</v>
      </c>
      <c r="L144" s="106"/>
      <c r="M144" s="106"/>
      <c r="N144" s="106">
        <f>IF(AND(DONBIB!B61&gt;=70,DONBIB!B61&lt;=74),DONBIB!E7*6,0)</f>
        <v>0</v>
      </c>
      <c r="P144" s="111">
        <f>IF(DONBIB!E7*6&gt;DONBIB!E5*80%,DONBIB!E5*80%,A144)</f>
        <v>0</v>
      </c>
      <c r="Q144" s="112">
        <f>IF(DONBIB!E7*6&gt;DONBIB!E5*80%,DONBIB!E5*80%,E144)</f>
        <v>0</v>
      </c>
      <c r="R144" s="113">
        <f>IF(DONBIB!E7*6&gt;DONBIB!E5*80%,DONBIB!E5*80%,F144)</f>
        <v>0</v>
      </c>
      <c r="S144" s="112">
        <f>IF(DONBIB!E7*6&gt;DONBIB!E5*80%,DONBIB!E5*80%,G144)</f>
        <v>0</v>
      </c>
      <c r="T144" s="112">
        <f>IF(DONBIB!E7*6&gt;DONBIB!E5*80%,DONBIB!E5*80%,H144)</f>
        <v>0</v>
      </c>
      <c r="U144" s="112">
        <f>IF(DONBIB!E7*6&gt;DONBIB!E5*80%,DONBIB!E5*80%,I144)</f>
        <v>0</v>
      </c>
      <c r="V144" s="112">
        <f>IF(DONBIB!E7*6&gt;DONBIB!E5*80%,DONBIB!E5*80%,J144)</f>
        <v>0</v>
      </c>
      <c r="W144" s="112">
        <f>IF(DONBIB!E7*6&gt;DONBIB!E5*80%,DONBIB!E5*80%,K144)</f>
        <v>0</v>
      </c>
      <c r="X144" s="112">
        <f>IF(DONBIB!E7*6&gt;DONBIB!E5*80%,DONBIB!E5*80%,N144)</f>
        <v>0</v>
      </c>
      <c r="Y144" s="112"/>
      <c r="AA144" s="105">
        <f>IF(AND(DONBIB!B23&gt;=70,DONBIB!B23&lt;=74),DONBIB!E7*6,0)</f>
        <v>0</v>
      </c>
      <c r="AB144" s="105"/>
      <c r="AC144" s="105"/>
      <c r="AD144" s="105"/>
      <c r="AE144" s="106">
        <f>IF(AND(DONBIB!B28&gt;=70,DONBIB!B28&lt;=74),DONBIB!E7*6,0)</f>
        <v>0</v>
      </c>
      <c r="AF144" s="107">
        <f>IF(AND(DONBIB!B33&gt;=70,DONBIB!B33&lt;=74),DONBIB!E7*6,0)</f>
        <v>0</v>
      </c>
      <c r="AG144" s="106">
        <f>IF(AND(DONBIB!B38&gt;=70,DONBIB!B38&lt;=74),DONBIB!E7*6,0)</f>
        <v>0</v>
      </c>
      <c r="AH144" s="106">
        <f>IF(AND(DONBIB!B43&gt;=70,DONBIB!B43&lt;=74),DONBIB!E7*6,0)</f>
        <v>0</v>
      </c>
      <c r="AI144" s="106">
        <f>IF(AND(DONBIB!B48&gt;=70,DONBIB!B48&lt;=74),DONBIB!E7*6,0)</f>
        <v>0</v>
      </c>
      <c r="AJ144" s="106">
        <f>IF(AND(DONBIB!B53&gt;=70,DONBIB!B53&lt;=74),DONBIB!E7*6,0)</f>
        <v>0</v>
      </c>
      <c r="AK144" s="106">
        <f>IF(AND(DONBIB!B58&gt;=70,DONBIB!B58&lt;=74),DONBIB!E7*6,0)</f>
        <v>0</v>
      </c>
      <c r="AL144" s="106"/>
      <c r="AM144" s="106"/>
      <c r="AN144" s="106">
        <f>IF(AND(DONBIB!B63&gt;=70,DONBIB!B63&lt;=74),DONBIB!E7*6,0)</f>
        <v>0</v>
      </c>
      <c r="AP144" s="111">
        <f>IF(DONBIB!E7*6&gt;DONBIB!E5*80%,DONBIB!E5*80%,AA144)</f>
        <v>0</v>
      </c>
      <c r="AQ144" s="112">
        <f>IF(DONBIB!E7*6&gt;DONBIB!E5*80%,DONBIB!E5*80%,AE144)</f>
        <v>0</v>
      </c>
      <c r="AR144" s="113">
        <f>IF(DONBIB!E7*6&gt;DONBIB!E5*80%,DONBIB!E5*80%,AF144)</f>
        <v>0</v>
      </c>
      <c r="AS144" s="112">
        <f>IF(DONBIB!E7*6&gt;DONBIB!E5*80%,DONBIB!E5*80%,AG144)</f>
        <v>0</v>
      </c>
      <c r="AT144" s="112">
        <f>IF(DONBIB!E7*6&gt;DONBIB!E5*80%,DONBIB!E5*80%,AH144)</f>
        <v>0</v>
      </c>
      <c r="AU144" s="112">
        <f>IF(DONBIB!E7*6&gt;DONBIB!E5*80%,DONBIB!E5*80%,AI144)</f>
        <v>0</v>
      </c>
      <c r="AV144" s="112">
        <f>IF(DONBIB!E7*6&gt;DONBIB!E5*80%,DONBIB!E5*80%,AJ144)</f>
        <v>0</v>
      </c>
      <c r="AW144" s="112">
        <f>IF(DONBIB!E7*6&gt;DONBIB!E5*80%,DONBIB!E5*80%,AK144)</f>
        <v>0</v>
      </c>
      <c r="AX144" s="112">
        <f>IF(DONBIB!E7*6&gt;DONBIB!E5*80%,DONBIB!E5*80%,AN144)</f>
        <v>0</v>
      </c>
    </row>
    <row r="145" spans="1:50" x14ac:dyDescent="0.2">
      <c r="A145" s="105"/>
      <c r="B145" s="105"/>
      <c r="C145" s="105"/>
      <c r="D145" s="105"/>
      <c r="E145" s="106"/>
      <c r="F145" s="107"/>
      <c r="G145" s="106"/>
      <c r="H145" s="106"/>
      <c r="I145" s="106"/>
      <c r="J145" s="106"/>
      <c r="K145" s="106"/>
      <c r="L145" s="106"/>
      <c r="M145" s="106"/>
      <c r="N145" s="106"/>
      <c r="P145" s="111"/>
      <c r="Q145" s="112"/>
      <c r="R145" s="113"/>
      <c r="S145" s="112"/>
      <c r="T145" s="112"/>
      <c r="U145" s="112"/>
      <c r="V145" s="112"/>
      <c r="W145" s="112"/>
      <c r="X145" s="112"/>
      <c r="Y145" s="112"/>
      <c r="AA145" s="105"/>
      <c r="AB145" s="105"/>
      <c r="AC145" s="105"/>
      <c r="AD145" s="105"/>
      <c r="AE145" s="106"/>
      <c r="AF145" s="107"/>
      <c r="AG145" s="106"/>
      <c r="AH145" s="106"/>
      <c r="AI145" s="106"/>
      <c r="AJ145" s="106"/>
      <c r="AK145" s="106"/>
      <c r="AL145" s="106"/>
      <c r="AM145" s="106"/>
      <c r="AN145" s="106"/>
      <c r="AP145" s="111"/>
      <c r="AQ145" s="112"/>
      <c r="AR145" s="113"/>
      <c r="AS145" s="112"/>
      <c r="AT145" s="112"/>
      <c r="AU145" s="112"/>
      <c r="AV145" s="112"/>
      <c r="AW145" s="112"/>
      <c r="AX145" s="112"/>
    </row>
    <row r="146" spans="1:50" x14ac:dyDescent="0.2">
      <c r="A146" s="105">
        <f>IF(AND(DONBIB!B21&gt;=75,DONBIB!B21&lt;=79),DONBIB!E7*4,0)</f>
        <v>0</v>
      </c>
      <c r="B146" s="105"/>
      <c r="C146" s="105"/>
      <c r="D146" s="105"/>
      <c r="E146" s="106">
        <f>IF(AND(DONBIB!B26&gt;=75,DONBIB!B26&lt;=79),DONBIB!E7*4,0)</f>
        <v>0</v>
      </c>
      <c r="F146" s="107">
        <f>IF(AND(DONBIB!B31&gt;=75,DONBIB!B31&lt;=79),DONBIB!E7*4,0)</f>
        <v>0</v>
      </c>
      <c r="G146" s="106">
        <f>IF(AND(DONBIB!B36&gt;=75,DONBIB!B36&lt;=79),DONBIB!E7*4,0)</f>
        <v>0</v>
      </c>
      <c r="H146" s="106">
        <f>IF(AND(DONBIB!B41&gt;=75,DONBIB!B41&lt;=79),DONBIB!E7*4,0)</f>
        <v>0</v>
      </c>
      <c r="I146" s="106">
        <f>IF(AND(DONBIB!B46&gt;=75,DONBIB!B46&lt;=79),DONBIB!E7*4,0)</f>
        <v>0</v>
      </c>
      <c r="J146" s="106">
        <f>IF(AND(DONBIB!B51&gt;=75,DONBIB!B51&lt;=79),DONBIB!E7*4,0)</f>
        <v>0</v>
      </c>
      <c r="K146" s="106">
        <f>IF(AND(DONBIB!B56&gt;=75,DONBIB!B56&lt;=79),DONBIB!E7*4,0)</f>
        <v>0</v>
      </c>
      <c r="L146" s="106"/>
      <c r="M146" s="106"/>
      <c r="N146" s="106">
        <f>IF(AND(DONBIB!B61&gt;=75,DONBIB!B61&lt;=79),DONBIB!E7*4,0)</f>
        <v>0</v>
      </c>
      <c r="P146" s="111">
        <f>IF(DONBIB!E7*4&gt;DONBIB!E5*80%,DONBIB!E5*80%,A146)</f>
        <v>0</v>
      </c>
      <c r="Q146" s="112">
        <f>IF(DONBIB!E7*4&gt;DONBIB!E5*80%,DONBIB!E5*80%,E146)</f>
        <v>0</v>
      </c>
      <c r="R146" s="113">
        <f>IF(DONBIB!E7*4&gt;DONBIB!E5*80%,DONBIB!E5*80%,F146)</f>
        <v>0</v>
      </c>
      <c r="S146" s="112">
        <f>IF(DONBIB!E7*4&gt;DONBIB!E5*80%,DONBIB!E5*80%,G146)</f>
        <v>0</v>
      </c>
      <c r="T146" s="112">
        <f>IF(DONBIB!E7*4&gt;DONBIB!E5*80%,DONBIB!E5*80%,H146)</f>
        <v>0</v>
      </c>
      <c r="U146" s="112">
        <f>IF(DONBIB!E7*4&gt;DONBIB!E5*80%,DONBIB!E5*80%,I146)</f>
        <v>0</v>
      </c>
      <c r="V146" s="112">
        <f>IF(DONBIB!E7*4&gt;DONBIB!E5*80%,DONBIB!E5*80%,J146)</f>
        <v>0</v>
      </c>
      <c r="W146" s="112">
        <f>IF(DONBIB!E7*4&gt;DONBIB!E5*80%,DONBIB!E5*80%,K146)</f>
        <v>0</v>
      </c>
      <c r="X146" s="112">
        <f>IF(DONBIB!E7*4&gt;DONBIB!E5*80%,DONBIB!E5*80%,N146)</f>
        <v>0</v>
      </c>
      <c r="Y146" s="112"/>
      <c r="AA146" s="105">
        <f>IF(AND(DONBIB!B23&gt;=75,DONBIB!B23&lt;=79),DONBIB!E7*4,0)</f>
        <v>0</v>
      </c>
      <c r="AB146" s="105"/>
      <c r="AC146" s="105"/>
      <c r="AD146" s="105"/>
      <c r="AE146" s="106">
        <f>IF(AND(DONBIB!B28&gt;=75,DONBIB!B28&lt;=79),DONBIB!E7*4,0)</f>
        <v>0</v>
      </c>
      <c r="AF146" s="107">
        <f>IF(AND(DONBIB!B33&gt;=75,DONBIB!B33&lt;=79),DONBIB!E7*4,0)</f>
        <v>0</v>
      </c>
      <c r="AG146" s="106">
        <f>IF(AND(DONBIB!B38&gt;=75,DONBIB!B38&lt;=79),DONBIB!E7*4,0)</f>
        <v>0</v>
      </c>
      <c r="AH146" s="106">
        <f>IF(AND(DONBIB!B43&gt;=75,DONBIB!B43&lt;=79),DONBIB!E7*4,0)</f>
        <v>0</v>
      </c>
      <c r="AI146" s="106">
        <f>IF(AND(DONBIB!B48&gt;=75,DONBIB!B48&lt;=79),DONBIB!E7*4,0)</f>
        <v>0</v>
      </c>
      <c r="AJ146" s="106">
        <f>IF(AND(DONBIB!B53&gt;=75,DONBIB!B53&lt;=79),DONBIB!E7*4,0)</f>
        <v>0</v>
      </c>
      <c r="AK146" s="106">
        <f>IF(AND(DONBIB!B58&gt;=75,DONBIB!B58&lt;=79),DONBIB!E7*4,0)</f>
        <v>0</v>
      </c>
      <c r="AL146" s="106"/>
      <c r="AM146" s="106"/>
      <c r="AN146" s="106">
        <f>IF(AND(DONBIB!B63&gt;=75,DONBIB!B63&lt;=79),DONBIB!E7*4,0)</f>
        <v>0</v>
      </c>
      <c r="AP146" s="111">
        <f>IF(DONBIB!E7*4&gt;DONBIB!E5*80%,DONBIB!E5*80%,AA146)</f>
        <v>0</v>
      </c>
      <c r="AQ146" s="112">
        <f>IF(DONBIB!E7*4&gt;DONBIB!E5*80%,DONBIB!E5*80%,AE146)</f>
        <v>0</v>
      </c>
      <c r="AR146" s="113">
        <f>IF(DONBIB!E7*4&gt;DONBIB!E5*80%,DONBIB!E5*80%,AF146)</f>
        <v>0</v>
      </c>
      <c r="AS146" s="112">
        <f>IF(DONBIB!E7*4&gt;DONBIB!E5*80%,DONBIB!E5*80%,AG146)</f>
        <v>0</v>
      </c>
      <c r="AT146" s="112">
        <f>IF(DONBIB!E7*4&gt;DONBIB!E5*80%,DONBIB!E5*80%,AH146)</f>
        <v>0</v>
      </c>
      <c r="AU146" s="112">
        <f>IF(DONBIB!E7*4&gt;DONBIB!E5*80%,DONBIB!E5*80%,AI146)</f>
        <v>0</v>
      </c>
      <c r="AV146" s="112">
        <f>IF(DONBIB!E7*4&gt;DONBIB!E5*80%,DONBIB!E5*80%,AJ146)</f>
        <v>0</v>
      </c>
      <c r="AW146" s="112">
        <f>IF(DONBIB!E7*4&gt;DONBIB!E5*80%,DONBIB!E5*80%,AK146)</f>
        <v>0</v>
      </c>
      <c r="AX146" s="112">
        <f>IF(DONBIB!E7*4&gt;DONBIB!E5*80%,DONBIB!E5*80%,AN146)</f>
        <v>0</v>
      </c>
    </row>
    <row r="147" spans="1:50" x14ac:dyDescent="0.2">
      <c r="A147" s="105"/>
      <c r="B147" s="105"/>
      <c r="C147" s="105"/>
      <c r="D147" s="105"/>
      <c r="E147" s="106"/>
      <c r="F147" s="107"/>
      <c r="G147" s="106"/>
      <c r="H147" s="106"/>
      <c r="I147" s="106"/>
      <c r="J147" s="106"/>
      <c r="K147" s="106"/>
      <c r="L147" s="106"/>
      <c r="M147" s="106"/>
      <c r="N147" s="106"/>
      <c r="P147" s="111"/>
      <c r="Q147" s="112"/>
      <c r="R147" s="113"/>
      <c r="S147" s="112"/>
      <c r="T147" s="112"/>
      <c r="U147" s="112"/>
      <c r="V147" s="112"/>
      <c r="W147" s="112"/>
      <c r="X147" s="112"/>
      <c r="Y147" s="112"/>
      <c r="AA147" s="105"/>
      <c r="AB147" s="105"/>
      <c r="AC147" s="105"/>
      <c r="AD147" s="105"/>
      <c r="AE147" s="106"/>
      <c r="AF147" s="107"/>
      <c r="AG147" s="106"/>
      <c r="AH147" s="106"/>
      <c r="AI147" s="106"/>
      <c r="AJ147" s="106"/>
      <c r="AK147" s="106"/>
      <c r="AL147" s="106"/>
      <c r="AM147" s="106"/>
      <c r="AN147" s="106"/>
      <c r="AP147" s="111"/>
      <c r="AQ147" s="112"/>
      <c r="AR147" s="113"/>
      <c r="AS147" s="112"/>
      <c r="AT147" s="112"/>
      <c r="AU147" s="112"/>
      <c r="AV147" s="112"/>
      <c r="AW147" s="112"/>
      <c r="AX147" s="112"/>
    </row>
    <row r="148" spans="1:50" x14ac:dyDescent="0.2">
      <c r="A148" s="105">
        <f>IF(DONBIB!B21&gt;=80,DONBIB!E7*2,0)</f>
        <v>0</v>
      </c>
      <c r="B148" s="105"/>
      <c r="C148" s="105"/>
      <c r="D148" s="105"/>
      <c r="E148" s="106">
        <f>IF(DONBIB!B26&gt;=80,DONBIB!E7*2,0)</f>
        <v>0</v>
      </c>
      <c r="F148" s="107">
        <f>IF(DONBIB!B31&gt;=80,DONBIB!E7*2,0)</f>
        <v>0</v>
      </c>
      <c r="G148" s="106">
        <f>IF(DONBIB!B36&gt;=80,DONBIB!E7*2,0)</f>
        <v>0</v>
      </c>
      <c r="H148" s="106">
        <f>IF(DONBIB!B41&gt;=80,DONBIB!E7*2,0)</f>
        <v>0</v>
      </c>
      <c r="I148" s="106">
        <f>IF(DONBIB!B46&gt;=80,DONBIB!E7*2,0)</f>
        <v>0</v>
      </c>
      <c r="J148" s="106">
        <f>IF(DONBIB!B51&gt;=80,DONBIB!E7*2,0)</f>
        <v>0</v>
      </c>
      <c r="K148" s="106">
        <f>IF(DONBIB!B56&gt;=80,DONBIB!E7*2,0)</f>
        <v>0</v>
      </c>
      <c r="L148" s="106"/>
      <c r="M148" s="106"/>
      <c r="N148" s="106">
        <f>IF(DONBIB!B61&gt;=80,DONBIB!E7*2,0)</f>
        <v>0</v>
      </c>
      <c r="P148" s="111">
        <f>IF(DONBIB!E7*2&gt;DONBIB!E5*80%,DONBIB!E5*80%,A148)</f>
        <v>0</v>
      </c>
      <c r="Q148" s="112">
        <f>IF(DONBIB!E7*2&gt;DONBIB!E5*80%,DONBIB!E5*80%,E148)</f>
        <v>0</v>
      </c>
      <c r="R148" s="113">
        <f>IF(DONBIB!E7*2&gt;DONBIB!E5*80%,DONBIB!E5*80%,F148)</f>
        <v>0</v>
      </c>
      <c r="S148" s="112">
        <f>IF(DONBIB!E7*2&gt;DONBIB!E5*80%,DONBIB!E5*80%,G148)</f>
        <v>0</v>
      </c>
      <c r="T148" s="112">
        <f>IF(DONBIB!E7*2&gt;DONBIB!E5*80%,DONBIB!E5*80%,H148)</f>
        <v>0</v>
      </c>
      <c r="U148" s="112">
        <f>IF(DONBIB!E7*2&gt;DONBIB!E5*80%,DONBIB!E5*80%,I148)</f>
        <v>0</v>
      </c>
      <c r="V148" s="112">
        <f>IF(DONBIB!E7*2&gt;DONBIB!E5*80%,DONBIB!E5*80%,J148)</f>
        <v>0</v>
      </c>
      <c r="W148" s="112">
        <f>IF(DONBIB!E7*2&gt;DONBIB!E5*80%,DONBIB!E5*80%,K148)</f>
        <v>0</v>
      </c>
      <c r="X148" s="112">
        <f>IF(DONBIB!E7*2&gt;DONBIB!E5*80%,DONBIB!E5*80%,N148)</f>
        <v>0</v>
      </c>
      <c r="Y148" s="112"/>
      <c r="AA148" s="105">
        <f>IF(DONBIB!B23&gt;=80,DONBIB!E7*2,0)</f>
        <v>0</v>
      </c>
      <c r="AB148" s="105"/>
      <c r="AC148" s="105"/>
      <c r="AD148" s="105"/>
      <c r="AE148" s="106">
        <f>IF(DONBIB!B28&gt;=80,DONBIB!E7*2,0)</f>
        <v>0</v>
      </c>
      <c r="AF148" s="107">
        <f>IF(DONBIB!B33&gt;=80,DONBIB!E7*2,0)</f>
        <v>0</v>
      </c>
      <c r="AG148" s="106">
        <f>IF(DONBIB!B38&gt;=80,DONBIB!E7*2,0)</f>
        <v>0</v>
      </c>
      <c r="AH148" s="106">
        <f>IF(DONBIB!B43&gt;=80,DONBIB!E7*2,0)</f>
        <v>0</v>
      </c>
      <c r="AI148" s="106">
        <f>IF(DONBIB!B48&gt;=80,DONBIB!E7*2,0)</f>
        <v>0</v>
      </c>
      <c r="AJ148" s="106">
        <f>IF(DONBIB!B53&gt;=80,DONBIB!E7*2,0)</f>
        <v>0</v>
      </c>
      <c r="AK148" s="106">
        <f>IF(DONBIB!B58&gt;=80,DONBIB!E7*2,0)</f>
        <v>0</v>
      </c>
      <c r="AL148" s="106"/>
      <c r="AM148" s="106"/>
      <c r="AN148" s="106">
        <f>IF(DONBIB!B63&gt;=80,DONBIB!E7*2,0)</f>
        <v>0</v>
      </c>
      <c r="AP148" s="111">
        <f>IF(DONBIB!E7*2&gt;DONBIB!E5*80%,DONBIB!E5*80%,AA148)</f>
        <v>0</v>
      </c>
      <c r="AQ148" s="112">
        <f>IF(DONBIB!E7*2&gt;DONBIB!E5*80%,DONBIB!E5*80%,AE148)</f>
        <v>0</v>
      </c>
      <c r="AR148" s="113">
        <f>IF(DONBIB!E7*2&gt;DONBIB!E5*80%,DONBIB!E5*80%,AF148)</f>
        <v>0</v>
      </c>
      <c r="AS148" s="112">
        <f>IF(DONBIB!E7*2&gt;DONBIB!E5*80%,DONBIB!E5*80%,AG148)</f>
        <v>0</v>
      </c>
      <c r="AT148" s="112">
        <f>IF(DONBIB!E7*2&gt;DONBIB!E5*80%,DONBIB!E5*80%,AH148)</f>
        <v>0</v>
      </c>
      <c r="AU148" s="112">
        <f>IF(DONBIB!E7*2&gt;DONBIB!E5*80%,DONBIB!E5*80%,AI148)</f>
        <v>0</v>
      </c>
      <c r="AV148" s="112">
        <f>IF(DONBIB!E7*2&gt;DONBIB!E5*80%,DONBIB!E5*80%,AJ148)</f>
        <v>0</v>
      </c>
      <c r="AW148" s="112">
        <f>IF(DONBIB!E7*2&gt;DONBIB!E5*80%,DONBIB!E5*80%,AK148)</f>
        <v>0</v>
      </c>
      <c r="AX148" s="112">
        <f>IF(DONBIB!E7*2&gt;DONBIB!E5*80%,DONBIB!E5*80%,AN148)</f>
        <v>0</v>
      </c>
    </row>
    <row r="149" spans="1:50" ht="13.5" thickBot="1" x14ac:dyDescent="0.25">
      <c r="A149" s="105"/>
      <c r="B149" s="105"/>
      <c r="C149" s="105"/>
      <c r="D149" s="105"/>
      <c r="E149" s="106"/>
      <c r="F149" s="107"/>
      <c r="G149" s="106"/>
      <c r="H149" s="106"/>
      <c r="I149" s="106"/>
      <c r="J149" s="106"/>
      <c r="K149" s="106"/>
      <c r="L149" s="106"/>
      <c r="M149" s="106"/>
      <c r="N149" s="106"/>
      <c r="P149" s="38"/>
      <c r="R149" s="22"/>
      <c r="AA149" s="105"/>
      <c r="AB149" s="105"/>
      <c r="AC149" s="105"/>
      <c r="AD149" s="105"/>
      <c r="AE149" s="106"/>
      <c r="AF149" s="107"/>
      <c r="AG149" s="106"/>
      <c r="AH149" s="106"/>
      <c r="AI149" s="106"/>
      <c r="AJ149" s="106"/>
      <c r="AK149" s="106"/>
      <c r="AL149" s="106"/>
      <c r="AM149" s="106"/>
      <c r="AN149" s="106"/>
      <c r="AP149" s="38"/>
      <c r="AR149" s="22"/>
    </row>
    <row r="150" spans="1:50" ht="13.5" thickBot="1" x14ac:dyDescent="0.25">
      <c r="A150" s="108">
        <f t="shared" ref="A150:I150" si="0">SUM(A128:A148)</f>
        <v>0</v>
      </c>
      <c r="B150" s="108"/>
      <c r="C150" s="108"/>
      <c r="D150" s="108"/>
      <c r="E150" s="109">
        <f t="shared" si="0"/>
        <v>0</v>
      </c>
      <c r="F150" s="110">
        <f t="shared" si="0"/>
        <v>0</v>
      </c>
      <c r="G150" s="109">
        <f t="shared" si="0"/>
        <v>0</v>
      </c>
      <c r="H150" s="109">
        <f t="shared" si="0"/>
        <v>0</v>
      </c>
      <c r="I150" s="109">
        <f t="shared" si="0"/>
        <v>0</v>
      </c>
      <c r="J150" s="109">
        <f>SUM(I128:I148)</f>
        <v>0</v>
      </c>
      <c r="K150" s="109">
        <f>SUM(K128:K148)</f>
        <v>0</v>
      </c>
      <c r="L150" s="109"/>
      <c r="M150" s="109"/>
      <c r="N150" s="109">
        <f>SUM(N128:N148)</f>
        <v>0</v>
      </c>
      <c r="P150" s="38"/>
      <c r="R150" s="22"/>
      <c r="AA150" s="108">
        <f>SUM(AA128:AA148)</f>
        <v>0</v>
      </c>
      <c r="AB150" s="108"/>
      <c r="AC150" s="108"/>
      <c r="AD150" s="108"/>
      <c r="AE150" s="109">
        <f>SUM(AE128:AE148)</f>
        <v>0</v>
      </c>
      <c r="AF150" s="110">
        <f>SUM(AF128:AF148)</f>
        <v>0</v>
      </c>
      <c r="AG150" s="109">
        <f>SUM(AG128:AG148)</f>
        <v>0</v>
      </c>
      <c r="AH150" s="109">
        <f>SUM(AH128:AH148)</f>
        <v>0</v>
      </c>
      <c r="AI150" s="109">
        <f>SUM(AI128:AI148)</f>
        <v>0</v>
      </c>
      <c r="AJ150" s="109">
        <f>SUM(AI128:AI148)</f>
        <v>0</v>
      </c>
      <c r="AK150" s="109">
        <f>SUM(AK128:AK148)</f>
        <v>0</v>
      </c>
      <c r="AL150" s="109"/>
      <c r="AM150" s="109"/>
      <c r="AN150" s="109">
        <f>SUM(AN128:AN148)</f>
        <v>0</v>
      </c>
      <c r="AP150" s="38"/>
      <c r="AR150" s="22"/>
    </row>
    <row r="151" spans="1:50" x14ac:dyDescent="0.2">
      <c r="A151" s="38"/>
      <c r="B151" s="38"/>
      <c r="C151" s="38"/>
      <c r="D151" s="38"/>
      <c r="F151" s="22"/>
      <c r="P151" s="38"/>
      <c r="R151" s="22"/>
    </row>
    <row r="152" spans="1:50" x14ac:dyDescent="0.2">
      <c r="A152" s="38">
        <f>SUM(A150:N150)</f>
        <v>0</v>
      </c>
      <c r="B152" s="38"/>
      <c r="C152" s="38"/>
      <c r="D152" s="38"/>
      <c r="F152" s="22"/>
      <c r="P152" s="38"/>
      <c r="R152" s="22"/>
    </row>
    <row r="153" spans="1:50" x14ac:dyDescent="0.2">
      <c r="A153" s="38"/>
      <c r="B153" s="38"/>
      <c r="C153" s="38"/>
      <c r="D153" s="38"/>
      <c r="F153" s="22"/>
    </row>
    <row r="154" spans="1:50" x14ac:dyDescent="0.2">
      <c r="A154" s="38"/>
      <c r="B154" s="38"/>
      <c r="C154" s="38"/>
      <c r="D154" s="38"/>
      <c r="F154" s="22"/>
    </row>
    <row r="155" spans="1:50" x14ac:dyDescent="0.2">
      <c r="F155" s="22"/>
    </row>
    <row r="156" spans="1:50" x14ac:dyDescent="0.2">
      <c r="A156" s="79"/>
      <c r="B156" s="79"/>
      <c r="C156" s="79"/>
      <c r="D156" s="79"/>
      <c r="E156" s="79"/>
      <c r="F156" s="144"/>
      <c r="G156" s="79"/>
      <c r="H156" s="79"/>
      <c r="I156" s="79"/>
      <c r="J156" s="79"/>
      <c r="K156" s="79"/>
      <c r="L156" s="79"/>
      <c r="M156" s="79"/>
      <c r="N156" s="79"/>
      <c r="O156" s="79"/>
    </row>
    <row r="157" spans="1:50" x14ac:dyDescent="0.2">
      <c r="A157" s="79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100">
        <f>IF(DONBIB!B21&lt;20,P128,0)</f>
        <v>0</v>
      </c>
      <c r="Q157" s="101">
        <f>IF(DONBIB!B26&lt;20,Q128,0)</f>
        <v>0</v>
      </c>
      <c r="R157" s="102">
        <f>IF(DONBIB!B31&lt;20,R128,0)</f>
        <v>0</v>
      </c>
      <c r="S157" s="101">
        <f>IF(DONBIB!B36&lt;20,S128,0)</f>
        <v>0</v>
      </c>
      <c r="T157" s="101">
        <f>IF(DONBIB!B41&lt;20,T128,0)</f>
        <v>0</v>
      </c>
      <c r="U157" s="101">
        <f>IF(DONBIB!B46&lt;20,U128,0)</f>
        <v>0</v>
      </c>
      <c r="V157" s="101">
        <f>IF(DONBIB!B51&lt;20,V128,0)</f>
        <v>0</v>
      </c>
      <c r="W157" s="101">
        <f>IF(DONBIB!B56&lt;20,W128,0)</f>
        <v>0</v>
      </c>
      <c r="X157" s="101">
        <f>IF(DONBIB!B61&lt;20,X128,0)</f>
        <v>0</v>
      </c>
      <c r="AP157" s="100">
        <f>IF(DONBIB!B23&lt;20,AP128,0)</f>
        <v>0</v>
      </c>
      <c r="AQ157" s="101">
        <f>IF(DONBIB!B28&lt;20,AQ128,0)</f>
        <v>0</v>
      </c>
      <c r="AR157" s="102">
        <f>IF(DONBIB!B33&lt;20,AR128,0)</f>
        <v>0</v>
      </c>
      <c r="AS157" s="101">
        <f>IF(DONBIB!B38&lt;20,AS128,0)</f>
        <v>0</v>
      </c>
      <c r="AT157" s="101">
        <f>IF(DONBIB!B43&lt;20,AT128,0)</f>
        <v>0</v>
      </c>
      <c r="AU157" s="101">
        <f>IF(DONBIB!B48&lt;20,AU128,0)</f>
        <v>0</v>
      </c>
      <c r="AV157" s="101">
        <f>IF(DONBIB!B53&lt;20,AV128,0)</f>
        <v>0</v>
      </c>
      <c r="AW157" s="101">
        <f>IF(DONBIB!B58&lt;20,AW128,0)</f>
        <v>0</v>
      </c>
      <c r="AX157" s="101">
        <f>IF(DONBIB!B63&lt;20,AX128,0)</f>
        <v>0</v>
      </c>
    </row>
    <row r="158" spans="1:50" x14ac:dyDescent="0.2">
      <c r="A158" s="79"/>
      <c r="B158" s="79"/>
      <c r="C158" s="79"/>
      <c r="D158" s="79"/>
      <c r="E158" s="79"/>
      <c r="F158" s="144"/>
      <c r="G158" s="79"/>
      <c r="H158" s="79"/>
      <c r="I158" s="79"/>
      <c r="J158" s="79"/>
      <c r="K158" s="79"/>
      <c r="L158" s="79"/>
      <c r="M158" s="79"/>
      <c r="N158" s="79"/>
      <c r="O158" s="79"/>
      <c r="P158" s="100"/>
      <c r="Q158" s="101"/>
      <c r="R158" s="102"/>
      <c r="S158" s="101"/>
      <c r="T158" s="101"/>
      <c r="U158" s="101"/>
      <c r="V158" s="101"/>
      <c r="W158" s="101"/>
      <c r="X158" s="101"/>
      <c r="AP158" s="100"/>
      <c r="AQ158" s="101"/>
      <c r="AR158" s="102"/>
      <c r="AS158" s="101"/>
      <c r="AT158" s="101"/>
      <c r="AU158" s="101"/>
      <c r="AV158" s="101"/>
      <c r="AW158" s="101"/>
      <c r="AX158" s="101"/>
    </row>
    <row r="159" spans="1:50" x14ac:dyDescent="0.2">
      <c r="A159" s="79"/>
      <c r="B159" s="79"/>
      <c r="C159" s="79"/>
      <c r="D159" s="79"/>
      <c r="E159" s="79"/>
      <c r="F159" s="144"/>
      <c r="G159" s="79"/>
      <c r="H159" s="79"/>
      <c r="I159" s="79"/>
      <c r="J159" s="79"/>
      <c r="K159" s="79"/>
      <c r="L159" s="79"/>
      <c r="M159" s="79"/>
      <c r="N159" s="79"/>
      <c r="O159" s="79"/>
      <c r="P159" s="100">
        <f>IF(AND(DONBIB!B21&gt;=20,DONBIB!B21&lt;=29),P130,0)</f>
        <v>0</v>
      </c>
      <c r="Q159" s="101">
        <f>IF(AND(DONBIB!B26&gt;=20,DONBIB!B26&lt;=29),Q130,0)</f>
        <v>0</v>
      </c>
      <c r="R159" s="102">
        <f>IF(AND(DONBIB!B31&gt;=20,DONBIB!B31&lt;=29),R130,0)</f>
        <v>0</v>
      </c>
      <c r="S159" s="101">
        <f>IF(AND(DONBIB!B36&gt;=20,DONBIB!B36&lt;=29),S130,0)</f>
        <v>0</v>
      </c>
      <c r="T159" s="101">
        <f>IF(AND(DONBIB!B41&gt;=20,DONBIB!B41&lt;=29),T130,0)</f>
        <v>0</v>
      </c>
      <c r="U159" s="101">
        <f>IF(AND(DONBIB!B46&gt;=20,DONBIB!B46&lt;=29),U130,0)</f>
        <v>0</v>
      </c>
      <c r="V159" s="101">
        <f>IF(AND(DONBIB!B51&gt;=20,DONBIB!B51&lt;=29),V130,0)</f>
        <v>0</v>
      </c>
      <c r="W159" s="101">
        <f>IF(AND(DONBIB!B56&gt;=20,DONBIB!B56&lt;=29),W130,0)</f>
        <v>0</v>
      </c>
      <c r="X159" s="101">
        <f>IF(AND(DONBIB!B61&gt;=20,DONBIB!B61&lt;=29),X130,0)</f>
        <v>0</v>
      </c>
      <c r="AP159" s="100">
        <f>IF(AND(DONBIB!B23&gt;=20,DONBIB!B23&lt;=29),AP130,0)</f>
        <v>0</v>
      </c>
      <c r="AQ159" s="101">
        <f>IF(AND(DONBIB!B28&gt;=20,DONBIB!B28&lt;=29),AQ130,0)</f>
        <v>0</v>
      </c>
      <c r="AR159" s="102">
        <f>IF(AND(DONBIB!B33&gt;=20,DONBIB!B33&lt;=29),AR130,0)</f>
        <v>0</v>
      </c>
      <c r="AS159" s="101">
        <f>IF(AND(DONBIB!B38&gt;=20,DONBIB!B38&lt;=29),AS130,0)</f>
        <v>0</v>
      </c>
      <c r="AT159" s="101">
        <f>IF(AND(DONBIB!B43&gt;=20,DONBIB!B43&lt;=29),AT130,0)</f>
        <v>0</v>
      </c>
      <c r="AU159" s="101">
        <f>IF(AND(DONBIB!B48&gt;=20,DONBIB!B48&lt;=29),AU130,0)</f>
        <v>0</v>
      </c>
      <c r="AV159" s="101">
        <f>IF(AND(DONBIB!B53&gt;=20,DONBIB!B53&lt;=29),AV130,0)</f>
        <v>0</v>
      </c>
      <c r="AW159" s="101">
        <f>IF(AND(DONBIB!B58&gt;=20,DONBIB!B58&lt;=29),AW130,0)</f>
        <v>0</v>
      </c>
      <c r="AX159" s="101">
        <f>IF(AND(DONBIB!B63&gt;=20,DONBIB!B63&lt;=29),AX130,0)</f>
        <v>0</v>
      </c>
    </row>
    <row r="160" spans="1:50" x14ac:dyDescent="0.2">
      <c r="A160" s="79"/>
      <c r="B160" s="79"/>
      <c r="C160" s="79"/>
      <c r="D160" s="79"/>
      <c r="E160" s="79"/>
      <c r="F160" s="144"/>
      <c r="G160" s="79"/>
      <c r="H160" s="79"/>
      <c r="I160" s="79"/>
      <c r="J160" s="79"/>
      <c r="K160" s="79"/>
      <c r="L160" s="79"/>
      <c r="M160" s="79"/>
      <c r="N160" s="79"/>
      <c r="O160" s="79"/>
      <c r="P160" s="100"/>
      <c r="Q160" s="101"/>
      <c r="R160" s="102"/>
      <c r="S160" s="101"/>
      <c r="T160" s="101"/>
      <c r="U160" s="101"/>
      <c r="V160" s="101"/>
      <c r="W160" s="101"/>
      <c r="X160" s="101"/>
      <c r="AP160" s="100"/>
      <c r="AQ160" s="101"/>
      <c r="AR160" s="102"/>
      <c r="AS160" s="101"/>
      <c r="AT160" s="101"/>
      <c r="AU160" s="101"/>
      <c r="AV160" s="101"/>
      <c r="AW160" s="101"/>
      <c r="AX160" s="101"/>
    </row>
    <row r="161" spans="1:50" x14ac:dyDescent="0.2">
      <c r="A161" s="79"/>
      <c r="B161" s="79"/>
      <c r="C161" s="79"/>
      <c r="D161" s="79"/>
      <c r="E161" s="79"/>
      <c r="F161" s="144"/>
      <c r="G161" s="79"/>
      <c r="H161" s="79"/>
      <c r="I161" s="79"/>
      <c r="J161" s="79"/>
      <c r="K161" s="79"/>
      <c r="L161" s="79"/>
      <c r="M161" s="79"/>
      <c r="N161" s="79"/>
      <c r="O161" s="79"/>
      <c r="P161" s="100">
        <f>IF(AND(DONBIB!B21&gt;=30,DONBIB!B21&lt;=39),P132,0)</f>
        <v>0</v>
      </c>
      <c r="Q161" s="101">
        <f>IF(AND(DONBIB!B26&gt;=30,DONBIB!B26&lt;=39),Q132,0)</f>
        <v>0</v>
      </c>
      <c r="R161" s="102">
        <f>IF(AND(DONBIB!B31&gt;=30,DONBIB!B31&lt;=39),R132,0)</f>
        <v>0</v>
      </c>
      <c r="S161" s="101">
        <f>IF(AND(DONBIB!B36&gt;=30,DONBIB!B36&lt;=39),S132,0)</f>
        <v>0</v>
      </c>
      <c r="T161" s="101">
        <f>IF(AND(DONBIB!B41&gt;=30,DONBIB!B41&lt;=39),T132,0)</f>
        <v>0</v>
      </c>
      <c r="U161" s="101">
        <f>IF(AND(DONBIB!B46&gt;=30,DONBIB!B46&lt;=39),U132,0)</f>
        <v>0</v>
      </c>
      <c r="V161" s="101">
        <f>IF(AND(DONBIB!B51&gt;=30,DONBIB!B51&lt;=39),V132,0)</f>
        <v>0</v>
      </c>
      <c r="W161" s="101">
        <f>IF(AND(DONBIB!B56&gt;=30,DONBIB!B56&lt;=39),W132,0)</f>
        <v>0</v>
      </c>
      <c r="X161" s="101">
        <f>IF(AND(DONBIB!B61&gt;=30,DONBIB!B61&lt;=39),X132,0)</f>
        <v>0</v>
      </c>
      <c r="AP161" s="100">
        <f>IF(AND(DONBIB!B23&gt;=30,DONBIB!B23&lt;=39),AP132,0)</f>
        <v>0</v>
      </c>
      <c r="AQ161" s="101">
        <f>IF(AND(DONBIB!B28&gt;=30,DONBIB!B28&lt;=39),AQ132,0)</f>
        <v>0</v>
      </c>
      <c r="AR161" s="102">
        <f>IF(AND(DONBIB!B33&gt;=30,DONBIB!B33&lt;=39),AR132,0)</f>
        <v>0</v>
      </c>
      <c r="AS161" s="101">
        <f>IF(AND(DONBIB!B38&gt;=30,DONBIB!B38&lt;=39),AS132,0)</f>
        <v>0</v>
      </c>
      <c r="AT161" s="101">
        <f>IF(AND(DONBIB!B43&gt;=30,DONBIB!B43&lt;=39),AT132,0)</f>
        <v>0</v>
      </c>
      <c r="AU161" s="101">
        <f>IF(AND(DONBIB!B48&gt;=30,DONBIB!B48&lt;=39),AU132,0)</f>
        <v>0</v>
      </c>
      <c r="AV161" s="101">
        <f>IF(AND(DONBIB!B53&gt;=30,DONBIB!B53&lt;=39),AV132,0)</f>
        <v>0</v>
      </c>
      <c r="AW161" s="101">
        <f>IF(AND(DONBIB!B58&gt;=30,DONBIB!B58&lt;=39),AW132,0)</f>
        <v>0</v>
      </c>
      <c r="AX161" s="101">
        <f>IF(AND(DONBIB!B63&gt;=30,DONBIB!B63&lt;=39),AX132,0)</f>
        <v>0</v>
      </c>
    </row>
    <row r="162" spans="1:50" x14ac:dyDescent="0.2">
      <c r="A162" s="79"/>
      <c r="B162" s="79"/>
      <c r="C162" s="79"/>
      <c r="D162" s="79"/>
      <c r="E162" s="79"/>
      <c r="F162" s="144"/>
      <c r="G162" s="79"/>
      <c r="H162" s="79"/>
      <c r="I162" s="79"/>
      <c r="J162" s="79"/>
      <c r="K162" s="79"/>
      <c r="L162" s="79"/>
      <c r="M162" s="79"/>
      <c r="N162" s="79"/>
      <c r="O162" s="79"/>
      <c r="P162" s="100"/>
      <c r="Q162" s="101"/>
      <c r="R162" s="102"/>
      <c r="S162" s="101"/>
      <c r="T162" s="101"/>
      <c r="U162" s="101"/>
      <c r="V162" s="101"/>
      <c r="W162" s="101"/>
      <c r="X162" s="101"/>
      <c r="AP162" s="100"/>
      <c r="AQ162" s="101"/>
      <c r="AR162" s="102"/>
      <c r="AS162" s="101"/>
      <c r="AT162" s="101"/>
      <c r="AU162" s="101"/>
      <c r="AV162" s="101"/>
      <c r="AW162" s="101"/>
      <c r="AX162" s="101"/>
    </row>
    <row r="163" spans="1:50" x14ac:dyDescent="0.2">
      <c r="A163" s="79"/>
      <c r="B163" s="79"/>
      <c r="C163" s="79"/>
      <c r="D163" s="79"/>
      <c r="E163" s="79"/>
      <c r="F163" s="144"/>
      <c r="G163" s="79"/>
      <c r="H163" s="79"/>
      <c r="I163" s="79"/>
      <c r="J163" s="79"/>
      <c r="K163" s="79"/>
      <c r="L163" s="79"/>
      <c r="M163" s="79"/>
      <c r="N163" s="79"/>
      <c r="O163" s="79"/>
      <c r="P163" s="100"/>
      <c r="Q163" s="101"/>
      <c r="R163" s="102"/>
      <c r="S163" s="101"/>
      <c r="T163" s="101"/>
      <c r="U163" s="101"/>
      <c r="V163" s="101"/>
      <c r="W163" s="101"/>
      <c r="X163" s="101"/>
      <c r="AP163" s="100"/>
      <c r="AQ163" s="101"/>
      <c r="AR163" s="102"/>
      <c r="AS163" s="101"/>
      <c r="AT163" s="101"/>
      <c r="AU163" s="101"/>
      <c r="AV163" s="101"/>
      <c r="AW163" s="101"/>
      <c r="AX163" s="101"/>
    </row>
    <row r="164" spans="1:50" x14ac:dyDescent="0.2">
      <c r="A164" s="79"/>
      <c r="B164" s="79"/>
      <c r="C164" s="79"/>
      <c r="D164" s="79"/>
      <c r="E164" s="79"/>
      <c r="F164" s="144"/>
      <c r="G164" s="79"/>
      <c r="H164" s="79"/>
      <c r="I164" s="79"/>
      <c r="J164" s="79"/>
      <c r="K164" s="79"/>
      <c r="L164" s="79"/>
      <c r="M164" s="79"/>
      <c r="N164" s="79"/>
      <c r="O164" s="79"/>
      <c r="P164" s="100"/>
      <c r="Q164" s="101"/>
      <c r="R164" s="102"/>
      <c r="S164" s="101"/>
      <c r="T164" s="101"/>
      <c r="U164" s="101"/>
      <c r="V164" s="101"/>
      <c r="W164" s="101"/>
      <c r="X164" s="101"/>
      <c r="AP164" s="100"/>
      <c r="AQ164" s="101"/>
      <c r="AR164" s="102"/>
      <c r="AS164" s="101"/>
      <c r="AT164" s="101"/>
      <c r="AU164" s="101"/>
      <c r="AV164" s="101"/>
      <c r="AW164" s="101"/>
      <c r="AX164" s="101"/>
    </row>
    <row r="165" spans="1:50" x14ac:dyDescent="0.2">
      <c r="A165" s="79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100">
        <f>IF(AND(DONBIB!B21&gt;=40,DONBIB!B21&lt;=49),P134,0)</f>
        <v>0</v>
      </c>
      <c r="Q165" s="101">
        <f>IF(AND(DONBIB!B26&gt;=40,DONBIB!B26&lt;=49),Q134,0)</f>
        <v>0</v>
      </c>
      <c r="R165" s="102">
        <f>IF(AND(DONBIB!B31&gt;=40,DONBIB!B31&lt;=49),R134,0)</f>
        <v>0</v>
      </c>
      <c r="S165" s="101">
        <f>IF(AND(DONBIB!B36&gt;=40,DONBIB!B36&lt;=49),S134,0)</f>
        <v>0</v>
      </c>
      <c r="T165" s="101">
        <f>IF(AND(DONBIB!B41&gt;=40,DONBIB!B41&lt;=49),T134,0)</f>
        <v>0</v>
      </c>
      <c r="U165" s="101">
        <f>IF(AND(DONBIB!B46&gt;=40,DONBIB!B46&lt;=49),U134,0)</f>
        <v>0</v>
      </c>
      <c r="V165" s="101">
        <f>IF(AND(DONBIB!B51&gt;=40,DONBIB!B51&lt;=49),V134,0)</f>
        <v>0</v>
      </c>
      <c r="W165" s="101">
        <f>IF(AND(DONBIB!B56&gt;=40,DONBIB!B56&lt;=49),W134,0)</f>
        <v>0</v>
      </c>
      <c r="X165" s="101">
        <f>IF(AND(DONBIB!B61&gt;=40,DONBIB!B61&lt;=49),X134,0)</f>
        <v>0</v>
      </c>
      <c r="AP165" s="100">
        <f>IF(AND(DONBIB!B23&gt;=40,DONBIB!B23&lt;=49),AP134,0)</f>
        <v>0</v>
      </c>
      <c r="AQ165" s="101">
        <f>IF(AND(DONBIB!B28&gt;=40,DONBIB!B28&lt;=49),AQ134,0)</f>
        <v>0</v>
      </c>
      <c r="AR165" s="102">
        <f>IF(AND(DONBIB!B33&gt;=40,DONBIB!B33&lt;=49),AR134,0)</f>
        <v>0</v>
      </c>
      <c r="AS165" s="101">
        <f>IF(AND(DONBIB!B38&gt;=40,DONBIB!B38&lt;=49),AS134,0)</f>
        <v>0</v>
      </c>
      <c r="AT165" s="101">
        <f>IF(AND(DONBIB!B43&gt;=40,DONBIB!B43&lt;=49),AT134,0)</f>
        <v>0</v>
      </c>
      <c r="AU165" s="101">
        <f>IF(AND(DONBIB!B48&gt;=40,DONBIB!B48&lt;=49),AU134,0)</f>
        <v>0</v>
      </c>
      <c r="AV165" s="101">
        <f>IF(AND(DONBIB!B53&gt;=40,DONBIB!B53&lt;=49),AV134,0)</f>
        <v>0</v>
      </c>
      <c r="AW165" s="101">
        <f>IF(AND(DONBIB!B58&gt;=40,DONBIB!B58&lt;=49),AW134,0)</f>
        <v>0</v>
      </c>
      <c r="AX165" s="101">
        <f>IF(AND(DONBIB!B63&gt;=40,DONBIB!B63&lt;=49),AX134,0)</f>
        <v>0</v>
      </c>
    </row>
    <row r="166" spans="1:50" x14ac:dyDescent="0.2">
      <c r="A166" s="79"/>
      <c r="B166" s="79"/>
      <c r="C166" s="79"/>
      <c r="D166" s="79"/>
      <c r="E166" s="79"/>
      <c r="F166" s="144"/>
      <c r="G166" s="79"/>
      <c r="H166" s="79"/>
      <c r="I166" s="79"/>
      <c r="J166" s="79"/>
      <c r="K166" s="79"/>
      <c r="L166" s="79"/>
      <c r="M166" s="79"/>
      <c r="N166" s="79"/>
      <c r="O166" s="79"/>
      <c r="P166" s="100"/>
      <c r="Q166" s="101"/>
      <c r="R166" s="102"/>
      <c r="S166" s="101"/>
      <c r="T166" s="101"/>
      <c r="U166" s="101"/>
      <c r="V166" s="101"/>
      <c r="W166" s="101"/>
      <c r="X166" s="101"/>
      <c r="AP166" s="100"/>
      <c r="AQ166" s="101"/>
      <c r="AR166" s="102"/>
      <c r="AS166" s="101"/>
      <c r="AT166" s="101"/>
      <c r="AU166" s="101"/>
      <c r="AV166" s="101"/>
      <c r="AW166" s="101"/>
      <c r="AX166" s="101"/>
    </row>
    <row r="167" spans="1:50" x14ac:dyDescent="0.2">
      <c r="A167" s="79"/>
      <c r="B167" s="79"/>
      <c r="C167" s="79"/>
      <c r="D167" s="79"/>
      <c r="E167" s="79"/>
      <c r="F167" s="144"/>
      <c r="G167" s="79"/>
      <c r="H167" s="79"/>
      <c r="I167" s="79"/>
      <c r="J167" s="79"/>
      <c r="K167" s="79"/>
      <c r="L167" s="79"/>
      <c r="M167" s="79"/>
      <c r="N167" s="79"/>
      <c r="O167" s="79"/>
      <c r="P167" s="100">
        <f>IF(AND(DONBIB!B21&gt;=50,DONBIB!B21&lt;=54),P136,0)</f>
        <v>0</v>
      </c>
      <c r="Q167" s="101">
        <f>IF(AND(DONBIB!B26&gt;=50,DONBIB!B26&lt;=54),Q136,0)</f>
        <v>0</v>
      </c>
      <c r="R167" s="102">
        <f>IF(AND(DONBIB!B31&gt;=50,DONBIB!B31&lt;=54),R136,0)</f>
        <v>0</v>
      </c>
      <c r="S167" s="101">
        <f>IF(AND(DONBIB!B36&gt;=50,DONBIB!B36&lt;=54),S136,0)</f>
        <v>0</v>
      </c>
      <c r="T167" s="101">
        <f>IF(AND(DONBIB!B41&gt;=50,DONBIB!B41&lt;=54),T136,0)</f>
        <v>0</v>
      </c>
      <c r="U167" s="101">
        <f>IF(AND(DONBIB!B46&gt;=50,DONBIB!B46&lt;=54),U136,0)</f>
        <v>0</v>
      </c>
      <c r="V167" s="101">
        <f>IF(AND(DONBIB!B51&gt;=50,DONBIB!B51&lt;=54),V136,0)</f>
        <v>0</v>
      </c>
      <c r="W167" s="101">
        <f>IF(AND(DONBIB!B56&gt;=50,DONBIB!B56&lt;=54),W136,0)</f>
        <v>0</v>
      </c>
      <c r="X167" s="101">
        <f>IF(AND(DONBIB!B61&gt;=50,DONBIB!B61&lt;=54),X136,0)</f>
        <v>0</v>
      </c>
      <c r="AP167" s="100">
        <f>IF(AND(DONBIB!B23&gt;=50,DONBIB!B23&lt;=54),AP136,0)</f>
        <v>0</v>
      </c>
      <c r="AQ167" s="101">
        <f>IF(AND(DONBIB!B28&gt;=50,DONBIB!B28&lt;=54),AQ136,0)</f>
        <v>0</v>
      </c>
      <c r="AR167" s="102">
        <f>IF(AND(DONBIB!B33&gt;=50,DONBIB!B33&lt;=54),AR136,0)</f>
        <v>0</v>
      </c>
      <c r="AS167" s="101">
        <f>IF(AND(DONBIB!B38&gt;=50,DONBIB!B38&lt;=54),AS136,0)</f>
        <v>0</v>
      </c>
      <c r="AT167" s="101">
        <f>IF(AND(DONBIB!B43&gt;=50,DONBIB!B43&lt;=54),AT136,0)</f>
        <v>0</v>
      </c>
      <c r="AU167" s="101">
        <f>IF(AND(DONBIB!B48&gt;=50,DONBIB!B48&lt;=54),AU136,0)</f>
        <v>0</v>
      </c>
      <c r="AV167" s="101">
        <f>IF(AND(DONBIB!B53&gt;=50,DONBIB!B53&lt;=54),AV136,0)</f>
        <v>0</v>
      </c>
      <c r="AW167" s="101">
        <f>IF(AND(DONBIB!B58&gt;=50,DONBIB!B58&lt;=54),AW136,0)</f>
        <v>0</v>
      </c>
      <c r="AX167" s="101">
        <f>IF(AND(DONBIB!B63&gt;=50,DONBIB!B63&lt;=54),AX136,0)</f>
        <v>0</v>
      </c>
    </row>
    <row r="168" spans="1:50" x14ac:dyDescent="0.2">
      <c r="A168" s="172"/>
      <c r="B168" s="172"/>
      <c r="C168" s="172"/>
      <c r="D168" s="172"/>
      <c r="E168" s="95"/>
      <c r="F168" s="173"/>
      <c r="G168" s="95"/>
      <c r="H168" s="95"/>
      <c r="I168" s="174"/>
      <c r="J168" s="175"/>
      <c r="K168" s="174"/>
      <c r="L168" s="174"/>
      <c r="M168" s="174"/>
      <c r="N168" s="79"/>
      <c r="O168" s="79"/>
      <c r="P168" s="100"/>
      <c r="Q168" s="101"/>
      <c r="R168" s="102"/>
      <c r="S168" s="101"/>
      <c r="T168" s="101"/>
      <c r="U168" s="101"/>
      <c r="V168" s="101"/>
      <c r="W168" s="101"/>
      <c r="X168" s="101"/>
      <c r="AP168" s="100"/>
      <c r="AQ168" s="101"/>
      <c r="AR168" s="102"/>
      <c r="AS168" s="101"/>
      <c r="AT168" s="101"/>
      <c r="AU168" s="101"/>
      <c r="AV168" s="101"/>
      <c r="AW168" s="101"/>
      <c r="AX168" s="101"/>
    </row>
    <row r="169" spans="1:50" x14ac:dyDescent="0.2">
      <c r="A169" s="29" t="s">
        <v>4</v>
      </c>
      <c r="B169" s="29"/>
      <c r="C169" s="29"/>
      <c r="D169" s="29"/>
      <c r="E169" s="29"/>
      <c r="F169" s="29">
        <f>DONBIB!G22</f>
        <v>0</v>
      </c>
      <c r="G169" s="49"/>
      <c r="H169" s="29"/>
      <c r="I169" s="29"/>
      <c r="J169" s="50"/>
      <c r="K169" s="29"/>
      <c r="L169" s="29"/>
      <c r="M169" s="29">
        <f>IF(AND(DONBIB!I20="oui",DONBIB!F20="ligne directe"),H181,0)</f>
        <v>0</v>
      </c>
      <c r="N169" s="79"/>
      <c r="O169" s="79"/>
      <c r="P169" s="100">
        <f>IF(AND(DONBIB!B21&gt;=55,DONBIB!B21&lt;=59),P138,0)</f>
        <v>0</v>
      </c>
      <c r="Q169" s="101">
        <f>IF(AND(DONBIB!B26&gt;=55,DONBIB!B26&lt;=59),Q138,0)</f>
        <v>0</v>
      </c>
      <c r="R169" s="102">
        <f>IF(AND(DONBIB!B31&gt;=55,DONBIB!B31&lt;=59),R138,0)</f>
        <v>0</v>
      </c>
      <c r="S169" s="101">
        <f>IF(AND(DONBIB!B36&gt;=55,DONBIB!B36&lt;=59),S138,0)</f>
        <v>0</v>
      </c>
      <c r="T169" s="101">
        <f>IF(AND(DONBIB!B41&gt;=55,DONBIB!B41&lt;=59),T138,0)</f>
        <v>0</v>
      </c>
      <c r="U169" s="101">
        <f>IF(AND(DONBIB!B46&gt;=55,DONBIB!B46&lt;=59),U138,0)</f>
        <v>0</v>
      </c>
      <c r="V169" s="101">
        <f>IF(AND(DONBIB!B51&gt;=55,DONBIB!B51&lt;=59),V138,0)</f>
        <v>0</v>
      </c>
      <c r="W169" s="101">
        <f>IF(AND(DONBIB!B56&gt;=55,DONBIB!B56&lt;=59),W138,0)</f>
        <v>0</v>
      </c>
      <c r="X169" s="101">
        <f>IF(AND(DONBIB!B61&gt;=55,DONBIB!B61&lt;=59),X138,0)</f>
        <v>0</v>
      </c>
      <c r="AP169" s="100">
        <f>IF(AND(DONBIB!B23&gt;=55,DONBIB!B23&lt;=59),AP138,0)</f>
        <v>0</v>
      </c>
      <c r="AQ169" s="101">
        <f>IF(AND(DONBIB!B28&gt;=55,DONBIB!B28&lt;=59),AQ138,0)</f>
        <v>0</v>
      </c>
      <c r="AR169" s="102">
        <f>IF(AND(DONBIB!B33&gt;=55,DONBIB!B33&lt;=59),AR138,0)</f>
        <v>0</v>
      </c>
      <c r="AS169" s="101">
        <f>IF(AND(DONBIB!B38&gt;=55,DONBIB!B38&lt;=59),AS138,0)</f>
        <v>0</v>
      </c>
      <c r="AT169" s="101">
        <f>IF(AND(DONBIB!B43&gt;=55,DONBIB!B43&lt;=59),AT138,0)</f>
        <v>0</v>
      </c>
      <c r="AU169" s="101">
        <f>IF(AND(DONBIB!B48&gt;=55,DONBIB!B48&lt;=59),AU138,0)</f>
        <v>0</v>
      </c>
      <c r="AV169" s="101">
        <f>IF(AND(DONBIB!B53&gt;=55,DONBIB!B53&lt;=59),AV138,0)</f>
        <v>0</v>
      </c>
      <c r="AW169" s="101">
        <f>IF(AND(DONBIB!B58&gt;=55,DONBIB!B58&lt;=59),AW138,0)</f>
        <v>0</v>
      </c>
      <c r="AX169" s="101">
        <f>IF(AND(DONBIB!B63&gt;=55,DONBIB!B63&lt;=59),AX138,0)</f>
        <v>0</v>
      </c>
    </row>
    <row r="170" spans="1:50" x14ac:dyDescent="0.2">
      <c r="A170" s="29"/>
      <c r="B170" s="29"/>
      <c r="C170" s="29"/>
      <c r="D170" s="29"/>
      <c r="E170" s="29"/>
      <c r="F170" s="29"/>
      <c r="G170" s="29"/>
      <c r="H170" s="29"/>
      <c r="I170" s="29"/>
      <c r="J170" s="50"/>
      <c r="K170" s="29"/>
      <c r="L170" s="29"/>
      <c r="M170" s="29">
        <f>IF(AND(DONBIB!I20="oui",DONBIB!F20="épou(x)(se)"),H181,0)</f>
        <v>0</v>
      </c>
      <c r="N170" s="79"/>
      <c r="O170" s="79"/>
      <c r="P170" s="101"/>
      <c r="Q170" s="101"/>
      <c r="R170" s="102"/>
      <c r="S170" s="101"/>
      <c r="T170" s="101"/>
      <c r="U170" s="101"/>
      <c r="V170" s="101"/>
      <c r="W170" s="101"/>
      <c r="X170" s="101"/>
      <c r="AP170" s="101"/>
      <c r="AQ170" s="101"/>
      <c r="AR170" s="102"/>
      <c r="AS170" s="101"/>
      <c r="AT170" s="101"/>
      <c r="AU170" s="101"/>
      <c r="AV170" s="101"/>
      <c r="AW170" s="101"/>
      <c r="AX170" s="101"/>
    </row>
    <row r="171" spans="1:50" x14ac:dyDescent="0.2">
      <c r="A171" s="52" t="s">
        <v>5</v>
      </c>
      <c r="B171" s="52"/>
      <c r="C171" s="52"/>
      <c r="D171" s="52"/>
      <c r="E171" s="29"/>
      <c r="F171" s="29"/>
      <c r="G171" s="53" t="s">
        <v>6</v>
      </c>
      <c r="H171" s="53" t="s">
        <v>25</v>
      </c>
      <c r="I171" s="29"/>
      <c r="J171" s="50"/>
      <c r="K171" s="29"/>
      <c r="L171" s="29"/>
      <c r="M171" s="29">
        <f>IF(AND(DONBIB!I20="non",DONBIB!F20="ligne directe"),G181,0)</f>
        <v>0</v>
      </c>
      <c r="N171" s="79"/>
      <c r="O171" s="79"/>
      <c r="P171" s="100">
        <f>IF(AND(DONBIB!B21&gt;=60,DONBIB!B21&lt;=64),P140,0)</f>
        <v>0</v>
      </c>
      <c r="Q171" s="101">
        <f>IF(AND(DONBIB!B26&gt;=60,DONBIB!B26&lt;=64),Q140,0)</f>
        <v>0</v>
      </c>
      <c r="R171" s="102">
        <f>IF(AND(DONBIB!B31&gt;=60,DONBIB!B31&lt;=64),R140,0)</f>
        <v>0</v>
      </c>
      <c r="S171" s="101">
        <f>IF(AND(DONBIB!B36&gt;=60,DONBIB!B36&lt;=64),S140,0)</f>
        <v>0</v>
      </c>
      <c r="T171" s="101">
        <f>IF(AND(DONBIB!B41&gt;=60,DONBIB!B41&lt;=64),T140,0)</f>
        <v>0</v>
      </c>
      <c r="U171" s="101">
        <f>IF(AND(DONBIB!B46&gt;=60,DONBIB!B46&lt;=64),U140,0)</f>
        <v>0</v>
      </c>
      <c r="V171" s="101">
        <f>IF(AND(DONBIB!B51&gt;=60,DONBIB!B51&lt;=64),V140,0)</f>
        <v>0</v>
      </c>
      <c r="W171" s="101">
        <f>IF(AND(DONBIB!B56&gt;=60,DONBIB!B56&lt;=64),W140,0)</f>
        <v>0</v>
      </c>
      <c r="X171" s="101">
        <f>IF(AND(DONBIB!B61&gt;=60,DONBIB!B61&lt;=64),X140,0)</f>
        <v>0</v>
      </c>
      <c r="AP171" s="100">
        <f>IF(AND(DONBIB!B23&gt;=60,DONBIB!B23&lt;=64),AP140,0)</f>
        <v>0</v>
      </c>
      <c r="AQ171" s="101">
        <f>IF(AND(DONBIB!B28&gt;=60,DONBIB!B28&lt;=64),AQ140,0)</f>
        <v>0</v>
      </c>
      <c r="AR171" s="102">
        <f>IF(AND(DONBIB!B33&gt;=60,DONBIB!B33&lt;=64),AR140,0)</f>
        <v>0</v>
      </c>
      <c r="AS171" s="101">
        <f>IF(AND(DONBIB!B38&gt;=60,DONBIB!B38&lt;=64),AS140,0)</f>
        <v>0</v>
      </c>
      <c r="AT171" s="101">
        <f>IF(AND(DONBIB!B43&gt;=60,DONBIB!B43&lt;=64),AT140,0)</f>
        <v>0</v>
      </c>
      <c r="AU171" s="101">
        <f>IF(AND(DONBIB!B48&gt;=60,DONBIB!B48&lt;=64),AU140,0)</f>
        <v>0</v>
      </c>
      <c r="AV171" s="101">
        <f>IF(AND(DONBIB!B53&gt;=60,DONBIB!B53&lt;=64),AV140,0)</f>
        <v>0</v>
      </c>
      <c r="AW171" s="101">
        <f>IF(AND(DONBIB!B58&gt;=60,DONBIB!B58&lt;=64),AW140,0)</f>
        <v>0</v>
      </c>
      <c r="AX171" s="101">
        <f>IF(AND(DONBIB!B63&gt;=60,DONBIB!B63&lt;=64),AX140,0)</f>
        <v>0</v>
      </c>
    </row>
    <row r="172" spans="1:50" x14ac:dyDescent="0.2">
      <c r="A172" s="29">
        <v>0</v>
      </c>
      <c r="B172" s="29"/>
      <c r="C172" s="29"/>
      <c r="D172" s="29"/>
      <c r="E172" s="29">
        <v>50000</v>
      </c>
      <c r="F172" s="29">
        <f>IF(AND(F169&gt;A172, F169&lt;=E172),F169,0)</f>
        <v>0</v>
      </c>
      <c r="G172" s="29">
        <f>0+(3/100)*(-A172+F172)</f>
        <v>0</v>
      </c>
      <c r="H172" s="29">
        <f>0+(2/100)*(-A172+F172)</f>
        <v>0</v>
      </c>
      <c r="I172" s="29"/>
      <c r="J172" s="50"/>
      <c r="K172" s="29"/>
      <c r="L172" s="29"/>
      <c r="M172" s="29">
        <f>IF(AND(DONBIB!I20="non",DONBIB!F20="épou(x)(se)"),G181,0)</f>
        <v>0</v>
      </c>
      <c r="N172" s="79"/>
      <c r="O172" s="79"/>
      <c r="P172" s="100"/>
      <c r="Q172" s="101"/>
      <c r="R172" s="102"/>
      <c r="S172" s="101"/>
      <c r="T172" s="101"/>
      <c r="U172" s="101"/>
      <c r="V172" s="101"/>
      <c r="W172" s="101"/>
      <c r="X172" s="101"/>
      <c r="AP172" s="100"/>
      <c r="AQ172" s="101"/>
      <c r="AR172" s="102"/>
      <c r="AS172" s="101"/>
      <c r="AT172" s="101"/>
      <c r="AU172" s="101"/>
      <c r="AV172" s="101"/>
      <c r="AW172" s="101"/>
      <c r="AX172" s="101"/>
    </row>
    <row r="173" spans="1:50" x14ac:dyDescent="0.2">
      <c r="A173" s="29">
        <f>E172</f>
        <v>50000</v>
      </c>
      <c r="B173" s="29"/>
      <c r="C173" s="29"/>
      <c r="D173" s="29"/>
      <c r="E173" s="29">
        <v>100000</v>
      </c>
      <c r="F173" s="29">
        <f>IF(AND(F169&gt;A173, F169&lt;=E173),F169,0)</f>
        <v>0</v>
      </c>
      <c r="G173" s="29">
        <f>(50000/100*3)+(8/100)*(-A173+F173)</f>
        <v>-2500</v>
      </c>
      <c r="H173" s="29">
        <f>(50000/100*2)+(5.3/100)*(-A173+F173)</f>
        <v>-1650</v>
      </c>
      <c r="I173" s="29"/>
      <c r="J173" s="50"/>
      <c r="K173" s="29"/>
      <c r="L173" s="29"/>
      <c r="M173" s="29">
        <f>IF(DONBIB!F20="frère/soeur",G192,0)</f>
        <v>0</v>
      </c>
      <c r="N173" s="79"/>
      <c r="O173" s="79"/>
      <c r="P173" s="100">
        <f>IF(AND(DONBIB!B21&gt;=65,DONBIB!B21&lt;=69),P142,0)</f>
        <v>0</v>
      </c>
      <c r="Q173" s="101">
        <f>IF(AND(DONBIB!B26&gt;=65,DONBIB!B26&lt;=69),Q142,0)</f>
        <v>0</v>
      </c>
      <c r="R173" s="102">
        <f>IF(AND(DONBIB!B31&gt;=65,DONBIB!B31&lt;=69),R142,0)</f>
        <v>0</v>
      </c>
      <c r="S173" s="101">
        <f>IF(AND(DONBIB!B36&gt;=65,DONBIB!B36&lt;=69),S142,0)</f>
        <v>0</v>
      </c>
      <c r="T173" s="101">
        <f>IF(AND(DONBIB!B41&gt;=65,DONBIB!B41&lt;=69),T142,0)</f>
        <v>0</v>
      </c>
      <c r="U173" s="101">
        <f>IF(AND(DONBIB!B46&gt;=65,DONBIB!B46&lt;=69),U142,0)</f>
        <v>0</v>
      </c>
      <c r="V173" s="101">
        <f>IF(AND(DONBIB!B51&gt;=65,DONBIB!B51&lt;=69),V142,0)</f>
        <v>0</v>
      </c>
      <c r="W173" s="101">
        <f>IF(AND(DONBIB!B56&gt;=65,DONBIB!B56&lt;=69),W142,0)</f>
        <v>0</v>
      </c>
      <c r="X173" s="101">
        <f>IF(AND(DONBIB!B61&gt;=65,DONBIB!B61&lt;=69),X142,0)</f>
        <v>0</v>
      </c>
      <c r="AP173" s="100">
        <f>IF(AND(DONBIB!B23&gt;=65,DONBIB!B23&lt;=69),AP142,0)</f>
        <v>0</v>
      </c>
      <c r="AQ173" s="101">
        <f>IF(AND(DONBIB!B28&gt;=65,DONBIB!B28&lt;=69),AQ142,0)</f>
        <v>0</v>
      </c>
      <c r="AR173" s="102">
        <f>IF(AND(DONBIB!B33&gt;=65,DONBIB!B33&lt;=69),AR142,0)</f>
        <v>0</v>
      </c>
      <c r="AS173" s="101">
        <f>IF(AND(DONBIB!B38&gt;=65,DONBIB!B38&lt;=69),AS142,0)</f>
        <v>0</v>
      </c>
      <c r="AT173" s="101">
        <f>IF(AND(DONBIB!B43&gt;=65,DONBIB!B43&lt;=69),AT142,0)</f>
        <v>0</v>
      </c>
      <c r="AU173" s="101">
        <f>IF(AND(DONBIB!B48&gt;=65,DONBIB!B48&lt;=69),AU142,0)</f>
        <v>0</v>
      </c>
      <c r="AV173" s="101">
        <f>IF(AND(DONBIB!B53&gt;=65,DONBIB!B53&lt;=69),AV142,0)</f>
        <v>0</v>
      </c>
      <c r="AW173" s="101">
        <f>IF(AND(DONBIB!B58&gt;=65,DONBIB!B58&lt;=69),AW142,0)</f>
        <v>0</v>
      </c>
      <c r="AX173" s="101">
        <f>IF(AND(DONBIB!B63&gt;=65,DONBIB!B63&lt;=69),AX142,0)</f>
        <v>0</v>
      </c>
    </row>
    <row r="174" spans="1:50" x14ac:dyDescent="0.2">
      <c r="A174" s="29">
        <f>E173</f>
        <v>100000</v>
      </c>
      <c r="B174" s="29"/>
      <c r="C174" s="29"/>
      <c r="D174" s="29"/>
      <c r="E174" s="29">
        <v>175000</v>
      </c>
      <c r="F174" s="29">
        <f>IF(AND(F169&gt;A174, F169&lt;=E174),F169,0)</f>
        <v>0</v>
      </c>
      <c r="G174" s="29">
        <f>(50000/100*3)+(50000/100*8)+((9/100)*(-A174+F174))</f>
        <v>-3500</v>
      </c>
      <c r="H174" s="29">
        <f>(50000/100*2)+(50000/100*5.3)+((6/100)*(-A174+F174))</f>
        <v>-2350</v>
      </c>
      <c r="I174" s="29"/>
      <c r="J174" s="50"/>
      <c r="K174" s="29"/>
      <c r="L174" s="29"/>
      <c r="M174" s="29">
        <f>IF(DONBIB!F20="oncle-tante/neveu-nièce",G205,0)</f>
        <v>0</v>
      </c>
      <c r="N174" s="79"/>
      <c r="O174" s="79"/>
      <c r="P174" s="100"/>
      <c r="Q174" s="101"/>
      <c r="R174" s="102"/>
      <c r="S174" s="101"/>
      <c r="T174" s="101"/>
      <c r="U174" s="101"/>
      <c r="V174" s="101"/>
      <c r="W174" s="101"/>
      <c r="X174" s="101"/>
      <c r="AP174" s="100"/>
      <c r="AQ174" s="101"/>
      <c r="AR174" s="102"/>
      <c r="AS174" s="101"/>
      <c r="AT174" s="101"/>
      <c r="AU174" s="101"/>
      <c r="AV174" s="101"/>
      <c r="AW174" s="101"/>
      <c r="AX174" s="101"/>
    </row>
    <row r="175" spans="1:50" x14ac:dyDescent="0.2">
      <c r="A175" s="29">
        <f>E174</f>
        <v>175000</v>
      </c>
      <c r="B175" s="29"/>
      <c r="C175" s="29"/>
      <c r="D175" s="29"/>
      <c r="E175" s="29">
        <v>250000</v>
      </c>
      <c r="F175" s="29">
        <f>IF(AND(F169&gt;A175, F169&lt;=E175),F169,0)</f>
        <v>0</v>
      </c>
      <c r="G175" s="29">
        <f>(50000/100*3)+(50000/100*8)+(75000/100*9)+((18/100)*(-A175+F175))</f>
        <v>-19250</v>
      </c>
      <c r="H175" s="29">
        <f>(50000/100*2)+(50000/100*5.3)+(75000/100*6)+((12/100)*(-A175+F175))</f>
        <v>-12850</v>
      </c>
      <c r="I175" s="29"/>
      <c r="J175" s="50"/>
      <c r="K175" s="29"/>
      <c r="L175" s="29"/>
      <c r="M175" s="29">
        <f>IF(DONBIB!F20="étrangers",M205,0)</f>
        <v>0</v>
      </c>
      <c r="N175" s="79"/>
      <c r="O175" s="79"/>
      <c r="P175" s="100">
        <f>IF(AND(DONBIB!B21&gt;=70,DONBIB!B21&lt;=74),P144,0)</f>
        <v>0</v>
      </c>
      <c r="Q175" s="101">
        <f>IF(AND(DONBIB!B26&gt;=70,DONBIB!B26&lt;=74),Q144,0)</f>
        <v>0</v>
      </c>
      <c r="R175" s="102">
        <f>IF(AND(DONBIB!B31&gt;=70,DONBIB!B31&lt;=74),R144,0)</f>
        <v>0</v>
      </c>
      <c r="S175" s="101">
        <f>IF(AND(DONBIB!B36&gt;=70,DONBIB!B36&lt;=74),S144,0)</f>
        <v>0</v>
      </c>
      <c r="T175" s="101">
        <f>IF(AND(DONBIB!B41&gt;=70,DONBIB!B41&lt;=74),T144,0)</f>
        <v>0</v>
      </c>
      <c r="U175" s="101">
        <f>IF(AND(DONBIB!B46&gt;=70,DONBIB!B46&lt;=74),U144,0)</f>
        <v>0</v>
      </c>
      <c r="V175" s="101">
        <f>IF(AND(DONBIB!B51&gt;=70,DONBIB!B51&lt;=74),V144,0)</f>
        <v>0</v>
      </c>
      <c r="W175" s="101">
        <f>IF(AND(DONBIB!B56&gt;=70,DONBIB!B56&lt;=74),W144,0)</f>
        <v>0</v>
      </c>
      <c r="X175" s="101">
        <f>IF(AND(DONBIB!B61&gt;=70,DONBIB!B61&lt;=74),X144,0)</f>
        <v>0</v>
      </c>
      <c r="AP175" s="100">
        <f>IF(AND(DONBIB!B23&gt;=70,DONBIB!B23&lt;=74),AP144,0)</f>
        <v>0</v>
      </c>
      <c r="AQ175" s="101">
        <f>IF(AND(DONBIB!B28&gt;=70,DONBIB!B28&lt;=74),AQ144,0)</f>
        <v>0</v>
      </c>
      <c r="AR175" s="102">
        <f>IF(AND(DONBIB!B33&gt;=70,DONBIB!B33&lt;=74),AR144,0)</f>
        <v>0</v>
      </c>
      <c r="AS175" s="101">
        <f>IF(AND(DONBIB!B38&gt;=70,DONBIB!B38&lt;=74),AS144,0)</f>
        <v>0</v>
      </c>
      <c r="AT175" s="101">
        <f>IF(AND(DONBIB!B43&gt;=70,DONBIB!B43&lt;=74),AT144,0)</f>
        <v>0</v>
      </c>
      <c r="AU175" s="101">
        <f>IF(AND(DONBIB!B48&gt;=70,DONBIB!B48&lt;=74),AU144,0)</f>
        <v>0</v>
      </c>
      <c r="AV175" s="101">
        <f>IF(AND(DONBIB!B53&gt;=70,DONBIB!B53&lt;=74),AV144,0)</f>
        <v>0</v>
      </c>
      <c r="AW175" s="101">
        <f>IF(AND(DONBIB!B58&gt;=70,DONBIB!B58&lt;=74),AW144,0)</f>
        <v>0</v>
      </c>
      <c r="AX175" s="101">
        <f>IF(AND(DONBIB!B63&gt;=70,DONBIB!B63&lt;=74),AX144,0)</f>
        <v>0</v>
      </c>
    </row>
    <row r="176" spans="1:50" x14ac:dyDescent="0.2">
      <c r="A176" s="29">
        <f>E175</f>
        <v>250000</v>
      </c>
      <c r="B176" s="29"/>
      <c r="C176" s="29"/>
      <c r="D176" s="29"/>
      <c r="E176" s="29">
        <v>500000</v>
      </c>
      <c r="F176" s="29">
        <f>IF(AND(F169&gt;A176, F169&lt;=E176),F169,0)</f>
        <v>0</v>
      </c>
      <c r="G176" s="29">
        <f>(50000/100*3)+(50000/100*8)+(75000/100*9)+(75000/100*18)+((24/100)*(-A176+F176))</f>
        <v>-34250</v>
      </c>
      <c r="H176" s="29">
        <f>(50000/100*2)+(50000/100*5.3)+(75000/100*6)+(75000/100*12)+((24/100)*(-A176+F176))</f>
        <v>-42850</v>
      </c>
      <c r="I176" s="29"/>
      <c r="J176" s="29"/>
      <c r="K176" s="29"/>
      <c r="L176" s="29"/>
      <c r="M176" s="29"/>
      <c r="N176" s="79"/>
      <c r="O176" s="79"/>
      <c r="P176" s="100"/>
      <c r="Q176" s="101"/>
      <c r="R176" s="102"/>
      <c r="S176" s="101"/>
      <c r="T176" s="101"/>
      <c r="U176" s="101"/>
      <c r="V176" s="101"/>
      <c r="W176" s="101"/>
      <c r="X176" s="101"/>
      <c r="AP176" s="100"/>
      <c r="AQ176" s="101"/>
      <c r="AR176" s="102"/>
      <c r="AS176" s="101"/>
      <c r="AT176" s="101"/>
      <c r="AU176" s="101"/>
      <c r="AV176" s="101"/>
      <c r="AW176" s="101"/>
      <c r="AX176" s="101"/>
    </row>
    <row r="177" spans="1:50" x14ac:dyDescent="0.2">
      <c r="A177" s="29">
        <f>E176</f>
        <v>500000</v>
      </c>
      <c r="B177" s="29"/>
      <c r="C177" s="29"/>
      <c r="D177" s="29"/>
      <c r="E177" s="29">
        <v>999999999</v>
      </c>
      <c r="F177" s="29">
        <f>IF(AND(F169&gt;A177, F169&lt;=E177),F169,0)</f>
        <v>0</v>
      </c>
      <c r="G177" s="29">
        <f>(50000/100*3)+(50000/100*8)+(75000/100*9)+(75000/100*18)+(250000/100*24)+((30/100)*(-A177+F177))</f>
        <v>-64250</v>
      </c>
      <c r="H177" s="29">
        <f>(50000/100*2)+(50000/100*5.3)+(75000/100*6)+(75000/100*12)+(250000/100*24)+((30/100)*(-A177+F177))</f>
        <v>-72850</v>
      </c>
      <c r="I177" s="29"/>
      <c r="J177" s="29"/>
      <c r="K177" s="29"/>
      <c r="L177" s="29"/>
      <c r="M177" s="29">
        <f>SUM(M169:M176)</f>
        <v>0</v>
      </c>
      <c r="N177" s="79"/>
      <c r="O177" s="79"/>
      <c r="P177" s="100">
        <f>IF(AND(DONBIB!B21&gt;=75,DONBIB!B21&lt;=79),P146,0)</f>
        <v>0</v>
      </c>
      <c r="Q177" s="101">
        <f>IF(AND(DONBIB!B26&gt;=75,DONBIB!B26&lt;=79),Q146,0)</f>
        <v>0</v>
      </c>
      <c r="R177" s="102">
        <f>IF(AND(DONBIB!B31&gt;=75,DONBIB!B31&lt;=79),R146,0)</f>
        <v>0</v>
      </c>
      <c r="S177" s="101">
        <f>IF(AND(DONBIB!B36&gt;=75,DONBIB!B36&lt;=79),S146,0)</f>
        <v>0</v>
      </c>
      <c r="T177" s="101">
        <f>IF(AND(DONBIB!B41&gt;=75,DONBIB!B41&lt;=79),T146,0)</f>
        <v>0</v>
      </c>
      <c r="U177" s="101">
        <f>IF(AND(DONBIB!B46&gt;=75,DONBIB!B46&lt;=79),U146,0)</f>
        <v>0</v>
      </c>
      <c r="V177" s="101">
        <f>IF(AND(DONBIB!B51&gt;=75,DONBIB!B51&lt;=79),V146,0)</f>
        <v>0</v>
      </c>
      <c r="W177" s="101">
        <f>IF(AND(DONBIB!B56&gt;=75,DONBIB!B56&lt;=79),W146,0)</f>
        <v>0</v>
      </c>
      <c r="X177" s="101">
        <f>IF(AND(DONBIB!B61&gt;=75,DONBIB!B61&lt;=79),X146,0)</f>
        <v>0</v>
      </c>
      <c r="AP177" s="100">
        <f>IF(AND(DONBIB!B23&gt;=75,DONBIB!B23&lt;=79),AP146,0)</f>
        <v>0</v>
      </c>
      <c r="AQ177" s="101">
        <f>IF(AND(DONBIB!B28&gt;=75,DONBIB!B28&lt;=79),AQ146,0)</f>
        <v>0</v>
      </c>
      <c r="AR177" s="102">
        <f>IF(AND(DONBIB!B33&gt;=75,DONBIB!B33&lt;=79),AR146,0)</f>
        <v>0</v>
      </c>
      <c r="AS177" s="101">
        <f>IF(AND(DONBIB!B38&gt;=75,DONBIB!B38&lt;=79),AS146,0)</f>
        <v>0</v>
      </c>
      <c r="AT177" s="101">
        <f>IF(AND(DONBIB!B43&gt;=75,DONBIB!B43&lt;=79),AT146,0)</f>
        <v>0</v>
      </c>
      <c r="AU177" s="101">
        <f>IF(AND(DONBIB!B48&gt;=75,DONBIB!B48&lt;=79),AU146,0)</f>
        <v>0</v>
      </c>
      <c r="AV177" s="101">
        <f>IF(AND(DONBIB!B53&gt;=75,DONBIB!B53&lt;=79),AV146,0)</f>
        <v>0</v>
      </c>
      <c r="AW177" s="101">
        <f>IF(AND(DONBIB!B58&gt;=75,DONBIB!B58&lt;=79),AW146,0)</f>
        <v>0</v>
      </c>
      <c r="AX177" s="101">
        <f>IF(AND(DONBIB!B63&gt;=75,DONBIB!B63&lt;=79),AX146,0)</f>
        <v>0</v>
      </c>
    </row>
    <row r="178" spans="1:50" x14ac:dyDescent="0.2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79"/>
      <c r="O178" s="79"/>
      <c r="P178" s="100"/>
      <c r="Q178" s="101"/>
      <c r="R178" s="102"/>
      <c r="S178" s="101"/>
      <c r="T178" s="101"/>
      <c r="U178" s="101"/>
      <c r="V178" s="101"/>
      <c r="W178" s="101"/>
      <c r="X178" s="101"/>
      <c r="AP178" s="100"/>
      <c r="AQ178" s="101"/>
      <c r="AR178" s="102"/>
      <c r="AS178" s="101"/>
      <c r="AT178" s="101"/>
      <c r="AU178" s="101"/>
      <c r="AV178" s="101"/>
      <c r="AW178" s="101"/>
      <c r="AX178" s="101"/>
    </row>
    <row r="179" spans="1:50" x14ac:dyDescent="0.2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79"/>
      <c r="O179" s="79"/>
      <c r="P179" s="100">
        <f>IF(DONBIB!B21&gt;=80,P148,0)</f>
        <v>0</v>
      </c>
      <c r="Q179" s="101">
        <f>IF(DONBIB!B26&gt;=80,Q148,0)</f>
        <v>0</v>
      </c>
      <c r="R179" s="102">
        <f>IF(DONBIB!B31&gt;=80,R148,0)</f>
        <v>0</v>
      </c>
      <c r="S179" s="101">
        <f>IF(DONBIB!B36&gt;=80,S148,0)</f>
        <v>0</v>
      </c>
      <c r="T179" s="101">
        <f>IF(DONBIB!B41&gt;=80,T148,0)</f>
        <v>0</v>
      </c>
      <c r="U179" s="101">
        <f>IF(DONBIB!B46&gt;=80,U148,0)</f>
        <v>0</v>
      </c>
      <c r="V179" s="101">
        <f>IF(DONBIB!B51&gt;=80,V148,0)</f>
        <v>0</v>
      </c>
      <c r="W179" s="101">
        <f>IF(DONBIB!B56&gt;=80,W148,0)</f>
        <v>0</v>
      </c>
      <c r="X179" s="101">
        <f>IF(DONBIB!B61&gt;=80,X148,0)</f>
        <v>0</v>
      </c>
      <c r="AP179" s="100">
        <f>IF(DONBIB!B23&gt;=80,AP148,0)</f>
        <v>0</v>
      </c>
      <c r="AQ179" s="101">
        <f>IF(DONBIB!B28&gt;=80,AQ148,0)</f>
        <v>0</v>
      </c>
      <c r="AR179" s="102">
        <f>IF(DONBIB!B33&gt;=80,AR148,0)</f>
        <v>0</v>
      </c>
      <c r="AS179" s="101">
        <f>IF(DONBIB!B38&gt;=80,AS148,0)</f>
        <v>0</v>
      </c>
      <c r="AT179" s="101">
        <f>IF(DONBIB!B43&gt;=80,AT148,0)</f>
        <v>0</v>
      </c>
      <c r="AU179" s="101">
        <f>IF(DONBIB!B48&gt;=80,AU148,0)</f>
        <v>0</v>
      </c>
      <c r="AV179" s="101">
        <f>IF(DONBIB!B53&gt;=80,AV148,0)</f>
        <v>0</v>
      </c>
      <c r="AW179" s="101">
        <f>IF(DONBIB!B58&gt;=80,AW148,0)</f>
        <v>0</v>
      </c>
      <c r="AX179" s="101">
        <f>IF(DONBIB!B63&gt;=80,AX148,0)</f>
        <v>0</v>
      </c>
    </row>
    <row r="180" spans="1:50" ht="13.5" thickBot="1" x14ac:dyDescent="0.2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79"/>
      <c r="O180" s="79"/>
      <c r="P180" s="100"/>
      <c r="Q180" s="101"/>
      <c r="R180" s="102"/>
      <c r="S180" s="101"/>
      <c r="T180" s="101"/>
      <c r="U180" s="101"/>
      <c r="V180" s="101"/>
      <c r="W180" s="101"/>
      <c r="X180" s="101"/>
      <c r="AP180" s="100"/>
      <c r="AQ180" s="101"/>
      <c r="AR180" s="102"/>
      <c r="AS180" s="101"/>
      <c r="AT180" s="101"/>
      <c r="AU180" s="101"/>
      <c r="AV180" s="101"/>
      <c r="AW180" s="101"/>
      <c r="AX180" s="101"/>
    </row>
    <row r="181" spans="1:50" ht="13.5" thickBot="1" x14ac:dyDescent="0.25">
      <c r="A181" s="54" t="s">
        <v>7</v>
      </c>
      <c r="B181" s="54"/>
      <c r="C181" s="54"/>
      <c r="D181" s="54"/>
      <c r="E181" s="29"/>
      <c r="F181" s="29"/>
      <c r="G181" s="29">
        <f>VLOOKUP(F169,F172:G177,2,FALSE)</f>
        <v>0</v>
      </c>
      <c r="H181" s="29">
        <f>VLOOKUP(F169,F172:H177,3,FALSE)</f>
        <v>0</v>
      </c>
      <c r="I181" s="29"/>
      <c r="J181" s="29"/>
      <c r="K181" s="29"/>
      <c r="L181" s="29"/>
      <c r="M181" s="29"/>
      <c r="N181" s="79"/>
      <c r="O181" s="79"/>
      <c r="P181" s="114">
        <f t="shared" ref="P181:U181" si="1">SUM(P157:P179)</f>
        <v>0</v>
      </c>
      <c r="Q181" s="103">
        <f t="shared" si="1"/>
        <v>0</v>
      </c>
      <c r="R181" s="104">
        <f t="shared" si="1"/>
        <v>0</v>
      </c>
      <c r="S181" s="103">
        <f t="shared" si="1"/>
        <v>0</v>
      </c>
      <c r="T181" s="103">
        <f t="shared" si="1"/>
        <v>0</v>
      </c>
      <c r="U181" s="103">
        <f t="shared" si="1"/>
        <v>0</v>
      </c>
      <c r="V181" s="103">
        <f>SUM(U157:U179)</f>
        <v>0</v>
      </c>
      <c r="W181" s="103">
        <f>SUM(W157:W179)</f>
        <v>0</v>
      </c>
      <c r="X181" s="103">
        <f>SUM(X157:X179)</f>
        <v>0</v>
      </c>
      <c r="AP181" s="114">
        <f t="shared" ref="AP181:AU181" si="2">SUM(AP157:AP179)</f>
        <v>0</v>
      </c>
      <c r="AQ181" s="103">
        <f t="shared" si="2"/>
        <v>0</v>
      </c>
      <c r="AR181" s="104">
        <f t="shared" si="2"/>
        <v>0</v>
      </c>
      <c r="AS181" s="103">
        <f t="shared" si="2"/>
        <v>0</v>
      </c>
      <c r="AT181" s="103">
        <f t="shared" si="2"/>
        <v>0</v>
      </c>
      <c r="AU181" s="103">
        <f t="shared" si="2"/>
        <v>0</v>
      </c>
      <c r="AV181" s="103">
        <f>SUM(AU157:AU179)</f>
        <v>0</v>
      </c>
      <c r="AW181" s="103">
        <f>SUM(AW157:AW179)</f>
        <v>0</v>
      </c>
      <c r="AX181" s="103">
        <f>SUM(AX157:AX179)</f>
        <v>0</v>
      </c>
    </row>
    <row r="182" spans="1:50" x14ac:dyDescent="0.2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79"/>
      <c r="O182" s="79"/>
      <c r="P182" s="38"/>
      <c r="R182" s="22"/>
      <c r="AP182" s="38"/>
      <c r="AR182" s="22"/>
    </row>
    <row r="183" spans="1:50" x14ac:dyDescent="0.2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79"/>
      <c r="O183" s="79"/>
      <c r="P183" s="38">
        <f>SUM(P181:X181)</f>
        <v>0</v>
      </c>
      <c r="R183" s="22"/>
      <c r="AP183" s="38">
        <f>SUM(AP181:AX181)</f>
        <v>0</v>
      </c>
      <c r="AR183" s="22"/>
    </row>
    <row r="184" spans="1:50" x14ac:dyDescent="0.2">
      <c r="A184" s="52" t="s">
        <v>8</v>
      </c>
      <c r="B184" s="52"/>
      <c r="C184" s="52"/>
      <c r="D184" s="52"/>
      <c r="E184" s="29"/>
      <c r="F184" s="29"/>
      <c r="G184" s="53" t="s">
        <v>9</v>
      </c>
      <c r="H184" s="53"/>
      <c r="I184" s="42"/>
      <c r="J184" s="42"/>
      <c r="K184" s="42"/>
      <c r="L184" s="42"/>
      <c r="M184" s="42"/>
      <c r="N184" s="79"/>
      <c r="O184" s="79"/>
    </row>
    <row r="185" spans="1:50" x14ac:dyDescent="0.2">
      <c r="A185" s="29">
        <v>0</v>
      </c>
      <c r="B185" s="29"/>
      <c r="C185" s="29"/>
      <c r="D185" s="29"/>
      <c r="E185" s="29">
        <v>12500</v>
      </c>
      <c r="F185" s="29">
        <f>IF(AND(F169&gt;A185, F169&lt;=E185),F169,0)</f>
        <v>0</v>
      </c>
      <c r="G185" s="29">
        <f>0+(20/100)*(-A185+F185)</f>
        <v>0</v>
      </c>
      <c r="H185" s="29"/>
      <c r="I185" s="29"/>
      <c r="J185" s="29"/>
      <c r="K185" s="29"/>
      <c r="L185" s="29"/>
      <c r="M185" s="29"/>
      <c r="N185" s="79"/>
      <c r="O185" s="79"/>
    </row>
    <row r="186" spans="1:50" x14ac:dyDescent="0.2">
      <c r="A186" s="29">
        <f>E185</f>
        <v>12500</v>
      </c>
      <c r="B186" s="29"/>
      <c r="C186" s="29"/>
      <c r="D186" s="29"/>
      <c r="E186" s="29">
        <v>25000</v>
      </c>
      <c r="F186" s="29">
        <f>IF(AND(F169&gt;A186, F169&lt;=E186),F169,0)</f>
        <v>0</v>
      </c>
      <c r="G186" s="29">
        <f>(12500/100*20)+((25/100)*(-A186+F186))</f>
        <v>-625</v>
      </c>
      <c r="H186" s="29"/>
      <c r="I186" s="29"/>
      <c r="J186" s="29"/>
      <c r="K186" s="29"/>
      <c r="L186" s="29"/>
      <c r="M186" s="29"/>
      <c r="N186" s="79"/>
      <c r="O186" s="79"/>
    </row>
    <row r="187" spans="1:50" x14ac:dyDescent="0.2">
      <c r="A187" s="29">
        <f>E186</f>
        <v>25000</v>
      </c>
      <c r="B187" s="29"/>
      <c r="C187" s="29"/>
      <c r="D187" s="29"/>
      <c r="E187" s="29">
        <v>50000</v>
      </c>
      <c r="F187" s="29">
        <f>IF(AND(F169&gt;A187, F169&lt;=E187),F169,0)</f>
        <v>0</v>
      </c>
      <c r="G187" s="29">
        <f>(12500/100*20)+(12500/100*25)+((30/100)*(-A187+F187))</f>
        <v>-1875</v>
      </c>
      <c r="H187" s="29"/>
      <c r="I187" s="29"/>
      <c r="J187" s="29"/>
      <c r="K187" s="29"/>
      <c r="L187" s="29"/>
      <c r="M187" s="29"/>
      <c r="N187" s="79"/>
      <c r="O187" s="79"/>
    </row>
    <row r="188" spans="1:50" x14ac:dyDescent="0.2">
      <c r="A188" s="29">
        <f>E187</f>
        <v>50000</v>
      </c>
      <c r="B188" s="29"/>
      <c r="C188" s="29"/>
      <c r="D188" s="29"/>
      <c r="E188" s="29">
        <v>100000</v>
      </c>
      <c r="F188" s="29">
        <f>IF(AND(F169&gt;A188, F169&lt;=E188),F169,0)</f>
        <v>0</v>
      </c>
      <c r="G188" s="29">
        <f>(12500/100*20)+(12500/100*25)+(25000/100*30)+((40/100)*(-A188+F188))</f>
        <v>-6875</v>
      </c>
      <c r="H188" s="29"/>
      <c r="I188" s="29"/>
      <c r="J188" s="29"/>
      <c r="K188" s="29"/>
      <c r="L188" s="29"/>
      <c r="M188" s="29"/>
      <c r="N188" s="79"/>
      <c r="O188" s="79"/>
    </row>
    <row r="189" spans="1:50" x14ac:dyDescent="0.2">
      <c r="A189" s="29">
        <f>E188</f>
        <v>100000</v>
      </c>
      <c r="B189" s="29"/>
      <c r="C189" s="29"/>
      <c r="D189" s="29"/>
      <c r="E189" s="29">
        <v>175000</v>
      </c>
      <c r="F189" s="29">
        <f>IF(AND(F169&gt;A189, F169&lt;=E189),F169,0)</f>
        <v>0</v>
      </c>
      <c r="G189" s="29">
        <f>(12500/100*20)+(12500/100*25)+(25000/100*30)+(50000/100*40)+((55/100)*(-A189+F189))</f>
        <v>-21875.000000000007</v>
      </c>
      <c r="H189" s="29"/>
      <c r="I189" s="29"/>
      <c r="J189" s="29"/>
      <c r="K189" s="29"/>
      <c r="L189" s="29"/>
      <c r="M189" s="29"/>
      <c r="N189" s="79"/>
      <c r="O189" s="79"/>
    </row>
    <row r="190" spans="1:50" x14ac:dyDescent="0.2">
      <c r="A190" s="29">
        <v>175000</v>
      </c>
      <c r="B190" s="29"/>
      <c r="C190" s="29"/>
      <c r="D190" s="29"/>
      <c r="E190" s="29">
        <v>250000</v>
      </c>
      <c r="F190" s="29">
        <f>IF(AND(F169&gt;A190, F169&lt;=E190),F169,0)</f>
        <v>0</v>
      </c>
      <c r="G190" s="29">
        <f>(12500/100*20)+(12500/100*25)+(25000/100*30)+(50000/100*40)+(75000/100*55)+((60/100)*(-A190+F190))</f>
        <v>-30625</v>
      </c>
      <c r="H190" s="29"/>
      <c r="I190" s="29"/>
      <c r="J190" s="29"/>
      <c r="K190" s="29"/>
      <c r="L190" s="29"/>
      <c r="M190" s="2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</row>
    <row r="191" spans="1:50" x14ac:dyDescent="0.2">
      <c r="A191" s="29">
        <f>E190</f>
        <v>250000</v>
      </c>
      <c r="B191" s="29"/>
      <c r="C191" s="29"/>
      <c r="D191" s="29"/>
      <c r="E191" s="29">
        <v>999999999</v>
      </c>
      <c r="F191" s="29">
        <f>IF(AND(F169&gt;A191, F169&lt;=E191),F169,0)</f>
        <v>0</v>
      </c>
      <c r="G191" s="29">
        <f>(12500/100*20)+(12500/100*25)+(25000/100*30)+(50000/100*40)+(75000/100*55)+(75000/100*60)+((65/100)*(-A191+F191))</f>
        <v>-43125</v>
      </c>
      <c r="H191" s="29"/>
      <c r="I191" s="29"/>
      <c r="J191" s="29"/>
      <c r="K191" s="29"/>
      <c r="L191" s="29"/>
      <c r="M191" s="2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</row>
    <row r="192" spans="1:50" x14ac:dyDescent="0.2">
      <c r="A192" s="54" t="s">
        <v>7</v>
      </c>
      <c r="B192" s="54"/>
      <c r="C192" s="54"/>
      <c r="D192" s="54"/>
      <c r="E192" s="29"/>
      <c r="F192" s="29"/>
      <c r="G192" s="29">
        <f>VLOOKUP(F169,F185:G191,2,FALSE)</f>
        <v>0</v>
      </c>
      <c r="H192" s="29"/>
      <c r="I192" s="29"/>
      <c r="J192" s="29"/>
      <c r="K192" s="29"/>
      <c r="L192" s="29"/>
      <c r="M192" s="2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</row>
    <row r="193" spans="1:25" x14ac:dyDescent="0.2"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</row>
    <row r="194" spans="1:25" x14ac:dyDescent="0.2">
      <c r="E194" s="29"/>
      <c r="F194" s="29"/>
      <c r="G194" s="29"/>
      <c r="H194" s="32"/>
      <c r="I194" s="29"/>
      <c r="J194" s="33"/>
      <c r="M194" s="33"/>
      <c r="N194" s="79"/>
      <c r="O194" s="159"/>
      <c r="P194" s="79"/>
      <c r="Q194" s="79"/>
      <c r="R194" s="79"/>
      <c r="S194" s="79"/>
      <c r="T194" s="79"/>
      <c r="U194" s="79"/>
      <c r="V194" s="79"/>
      <c r="W194" s="79"/>
      <c r="X194" s="79"/>
      <c r="Y194" s="79"/>
    </row>
    <row r="195" spans="1:25" x14ac:dyDescent="0.2">
      <c r="E195" s="29"/>
      <c r="F195" s="29"/>
      <c r="G195" s="29"/>
      <c r="H195" s="32"/>
      <c r="I195" s="29"/>
      <c r="J195" s="33"/>
      <c r="M195" s="33"/>
      <c r="N195" s="79"/>
      <c r="O195" s="159"/>
      <c r="P195" s="79"/>
      <c r="Q195" s="79"/>
      <c r="R195" s="79"/>
      <c r="S195" s="79"/>
      <c r="T195" s="79"/>
      <c r="U195" s="79"/>
      <c r="V195" s="79"/>
      <c r="W195" s="79"/>
      <c r="X195" s="79"/>
      <c r="Y195" s="79"/>
    </row>
    <row r="196" spans="1:25" x14ac:dyDescent="0.2">
      <c r="E196" s="29"/>
      <c r="F196" s="29"/>
      <c r="G196" s="29"/>
      <c r="H196" s="32"/>
      <c r="I196" s="29"/>
      <c r="J196" s="33"/>
      <c r="M196" s="33"/>
      <c r="N196" s="79"/>
      <c r="O196" s="159"/>
      <c r="P196" s="79"/>
      <c r="Q196" s="79"/>
      <c r="R196" s="79"/>
      <c r="S196" s="79"/>
      <c r="T196" s="79"/>
      <c r="U196" s="79"/>
      <c r="V196" s="79"/>
      <c r="W196" s="79"/>
      <c r="X196" s="79"/>
      <c r="Y196" s="79"/>
    </row>
    <row r="197" spans="1:25" x14ac:dyDescent="0.2">
      <c r="A197" s="52" t="s">
        <v>26</v>
      </c>
      <c r="B197" s="52"/>
      <c r="C197" s="52"/>
      <c r="D197" s="52"/>
      <c r="E197" s="29"/>
      <c r="F197" s="29"/>
      <c r="G197" s="53" t="s">
        <v>10</v>
      </c>
      <c r="H197" s="32"/>
      <c r="I197" s="52" t="s">
        <v>27</v>
      </c>
      <c r="J197" s="29"/>
      <c r="K197" s="29"/>
      <c r="L197" s="29"/>
      <c r="M197" s="53" t="s">
        <v>11</v>
      </c>
      <c r="N197" s="79"/>
      <c r="O197" s="159"/>
      <c r="P197" s="79"/>
      <c r="Q197" s="79"/>
      <c r="R197" s="79"/>
      <c r="S197" s="79"/>
      <c r="T197" s="79"/>
      <c r="U197" s="79"/>
      <c r="V197" s="79"/>
      <c r="W197" s="79"/>
      <c r="X197" s="79"/>
      <c r="Y197" s="79"/>
    </row>
    <row r="198" spans="1:25" x14ac:dyDescent="0.2">
      <c r="A198" s="29">
        <v>0</v>
      </c>
      <c r="B198" s="29"/>
      <c r="C198" s="29"/>
      <c r="D198" s="29"/>
      <c r="E198" s="29">
        <v>50000</v>
      </c>
      <c r="F198" s="29">
        <f>IF(AND(F169&gt;A198, F169&lt;=E198),F169,0)</f>
        <v>0</v>
      </c>
      <c r="G198" s="29">
        <f>0+(35/100)*(-A198+F198)</f>
        <v>0</v>
      </c>
      <c r="H198" s="32"/>
      <c r="I198" s="29">
        <v>0</v>
      </c>
      <c r="J198" s="29">
        <v>50000</v>
      </c>
      <c r="K198" s="29">
        <f>IF(AND(F169&gt;I198, F169&lt;=J198),F169,0)</f>
        <v>0</v>
      </c>
      <c r="L198" s="29"/>
      <c r="M198" s="29">
        <f>0+(40/100)*(-I198+K198)</f>
        <v>0</v>
      </c>
      <c r="N198" s="79"/>
      <c r="O198" s="159"/>
      <c r="P198" s="79"/>
      <c r="Q198" s="79"/>
      <c r="R198" s="79"/>
      <c r="S198" s="79"/>
      <c r="T198" s="79"/>
      <c r="U198" s="79"/>
      <c r="V198" s="79"/>
      <c r="W198" s="79"/>
      <c r="X198" s="79"/>
      <c r="Y198" s="79"/>
    </row>
    <row r="199" spans="1:25" x14ac:dyDescent="0.2">
      <c r="A199" s="29">
        <f>E198</f>
        <v>50000</v>
      </c>
      <c r="B199" s="29"/>
      <c r="C199" s="29"/>
      <c r="D199" s="29"/>
      <c r="E199" s="29">
        <v>100000</v>
      </c>
      <c r="F199" s="29">
        <f>IF(AND(F169&gt;A199, F169&lt;=E199),F169,0)</f>
        <v>0</v>
      </c>
      <c r="G199" s="29">
        <f>(50000/100*35)+((50/100)*(-A199+F199))</f>
        <v>-7500</v>
      </c>
      <c r="H199" s="32"/>
      <c r="I199" s="29">
        <f>J198</f>
        <v>50000</v>
      </c>
      <c r="J199" s="29">
        <v>75000</v>
      </c>
      <c r="K199" s="29">
        <f>IF(AND(F169&gt;I199, F169&lt;=J199),F169,0)</f>
        <v>0</v>
      </c>
      <c r="L199" s="29"/>
      <c r="M199" s="29">
        <f>(50000/100*40)+((55/100)*(-I199+K199))</f>
        <v>-7500.0000000000036</v>
      </c>
      <c r="N199" s="79"/>
      <c r="O199" s="159"/>
      <c r="P199" s="79"/>
      <c r="Q199" s="79"/>
      <c r="R199" s="79"/>
      <c r="S199" s="79"/>
      <c r="T199" s="79"/>
      <c r="U199" s="79"/>
      <c r="V199" s="79"/>
      <c r="W199" s="79"/>
      <c r="X199" s="79"/>
      <c r="Y199" s="79"/>
    </row>
    <row r="200" spans="1:25" x14ac:dyDescent="0.2">
      <c r="A200" s="29">
        <f>E199</f>
        <v>100000</v>
      </c>
      <c r="B200" s="29"/>
      <c r="C200" s="29"/>
      <c r="D200" s="29"/>
      <c r="E200" s="29">
        <v>175000</v>
      </c>
      <c r="F200" s="29">
        <f>IF(AND(F169&gt;A200, F169&lt;=E200),F169,0)</f>
        <v>0</v>
      </c>
      <c r="G200" s="29">
        <f>(50000/100*35)+(50000/100*50)+((60/100)*(-A200+F200))</f>
        <v>-17500</v>
      </c>
      <c r="H200" s="32"/>
      <c r="I200" s="29">
        <f>J199</f>
        <v>75000</v>
      </c>
      <c r="J200" s="29">
        <v>175000</v>
      </c>
      <c r="K200" s="29">
        <f>IF(AND(F169&gt;I200, F169&lt;=J200),F169,0)</f>
        <v>0</v>
      </c>
      <c r="L200" s="29"/>
      <c r="M200" s="29">
        <f>(50000/100*40)+(25000/100*55)+((65/100)*(-I200+K200))</f>
        <v>-15000</v>
      </c>
      <c r="N200" s="79"/>
      <c r="O200" s="159"/>
      <c r="P200" s="79"/>
      <c r="Q200" s="79"/>
      <c r="R200" s="79"/>
      <c r="S200" s="79"/>
      <c r="T200" s="79"/>
      <c r="U200" s="79"/>
      <c r="V200" s="79"/>
      <c r="W200" s="79"/>
      <c r="X200" s="79"/>
      <c r="Y200" s="79"/>
    </row>
    <row r="201" spans="1:25" x14ac:dyDescent="0.2">
      <c r="A201" s="29">
        <f>E200</f>
        <v>175000</v>
      </c>
      <c r="B201" s="29"/>
      <c r="C201" s="29"/>
      <c r="D201" s="29"/>
      <c r="E201" s="29">
        <v>999999999</v>
      </c>
      <c r="F201" s="29">
        <f>IF(AND(F169&gt;A201, F169&lt;=E201),F169,0)</f>
        <v>0</v>
      </c>
      <c r="G201" s="29">
        <f>(50000/100*35)+(50000/100*50)+(75000/100*60)+((70/100)*(-A201+F201))</f>
        <v>-34999.999999999985</v>
      </c>
      <c r="H201" s="32"/>
      <c r="I201" s="29">
        <f>J200</f>
        <v>175000</v>
      </c>
      <c r="J201" s="29">
        <v>999999999</v>
      </c>
      <c r="K201" s="29">
        <f>IF(AND(F169&gt;I201, F169&lt;=J201),F169,0)</f>
        <v>0</v>
      </c>
      <c r="L201" s="29"/>
      <c r="M201" s="29">
        <f>(50000/100*40)+(25000/100*55)+(100000/100*65)+((80/100)*(-I201+K201))</f>
        <v>-41250</v>
      </c>
      <c r="N201" s="79"/>
      <c r="O201" s="159"/>
      <c r="P201" s="79"/>
      <c r="Q201" s="79"/>
      <c r="R201" s="79"/>
      <c r="S201" s="79"/>
      <c r="T201" s="79"/>
      <c r="U201" s="79"/>
      <c r="V201" s="79"/>
      <c r="W201" s="79"/>
      <c r="X201" s="79"/>
      <c r="Y201" s="79"/>
    </row>
    <row r="202" spans="1:25" x14ac:dyDescent="0.2">
      <c r="A202" s="29"/>
      <c r="B202" s="29"/>
      <c r="C202" s="29"/>
      <c r="D202" s="29"/>
      <c r="E202" s="29"/>
      <c r="F202" s="29"/>
      <c r="G202" s="29"/>
      <c r="H202" s="32"/>
      <c r="I202" s="29"/>
      <c r="J202" s="29"/>
      <c r="K202" s="29"/>
      <c r="L202" s="29"/>
      <c r="M202" s="29"/>
      <c r="N202" s="79"/>
      <c r="O202" s="159"/>
      <c r="P202" s="79"/>
      <c r="Q202" s="79"/>
      <c r="R202" s="79"/>
      <c r="S202" s="79"/>
      <c r="T202" s="79"/>
      <c r="U202" s="79"/>
      <c r="V202" s="79"/>
      <c r="W202" s="79"/>
      <c r="X202" s="79"/>
      <c r="Y202" s="79"/>
    </row>
    <row r="203" spans="1:25" x14ac:dyDescent="0.2">
      <c r="A203" s="29"/>
      <c r="B203" s="29"/>
      <c r="C203" s="29"/>
      <c r="D203" s="29"/>
      <c r="E203" s="29"/>
      <c r="F203" s="29"/>
      <c r="G203" s="29"/>
      <c r="H203" s="32"/>
      <c r="I203" s="29"/>
      <c r="J203" s="29"/>
      <c r="K203" s="29"/>
      <c r="L203" s="29"/>
      <c r="M203" s="29"/>
      <c r="N203" s="79"/>
      <c r="O203" s="159"/>
      <c r="P203" s="79"/>
      <c r="Q203" s="79"/>
      <c r="R203" s="79"/>
      <c r="S203" s="79"/>
      <c r="T203" s="79"/>
      <c r="U203" s="79"/>
      <c r="V203" s="79"/>
      <c r="W203" s="79"/>
      <c r="X203" s="79"/>
      <c r="Y203" s="79"/>
    </row>
    <row r="204" spans="1:25" x14ac:dyDescent="0.2">
      <c r="A204" s="29"/>
      <c r="B204" s="29"/>
      <c r="C204" s="29"/>
      <c r="D204" s="29"/>
      <c r="E204" s="29"/>
      <c r="F204" s="29"/>
      <c r="G204" s="29"/>
      <c r="H204" s="32"/>
      <c r="I204" s="29"/>
      <c r="J204" s="29"/>
      <c r="K204" s="29"/>
      <c r="L204" s="29"/>
      <c r="M204" s="29"/>
      <c r="N204" s="79"/>
      <c r="O204" s="159"/>
      <c r="P204" s="79"/>
      <c r="Q204" s="79"/>
      <c r="R204" s="79"/>
      <c r="S204" s="79"/>
      <c r="T204" s="79"/>
      <c r="U204" s="79"/>
      <c r="V204" s="79"/>
      <c r="W204" s="79"/>
      <c r="X204" s="79"/>
      <c r="Y204" s="79"/>
    </row>
    <row r="205" spans="1:25" x14ac:dyDescent="0.2">
      <c r="A205" s="54" t="s">
        <v>7</v>
      </c>
      <c r="B205" s="54"/>
      <c r="C205" s="54"/>
      <c r="D205" s="54"/>
      <c r="E205" s="29"/>
      <c r="F205" s="29"/>
      <c r="G205" s="29">
        <f>VLOOKUP(F169,F198:G201,2,FALSE)</f>
        <v>0</v>
      </c>
      <c r="H205" s="32"/>
      <c r="I205" s="54" t="s">
        <v>7</v>
      </c>
      <c r="J205" s="29"/>
      <c r="K205" s="29"/>
      <c r="L205" s="29"/>
      <c r="M205" s="29">
        <f>VLOOKUP(F169,K198:M201,3,FALSE)</f>
        <v>0</v>
      </c>
      <c r="N205" s="79"/>
      <c r="O205" s="159"/>
      <c r="P205" s="79"/>
      <c r="Q205" s="79"/>
      <c r="R205" s="79"/>
      <c r="S205" s="79"/>
      <c r="T205" s="79"/>
      <c r="U205" s="79"/>
      <c r="V205" s="79"/>
      <c r="W205" s="79"/>
      <c r="X205" s="79"/>
      <c r="Y205" s="79"/>
    </row>
    <row r="206" spans="1:25" x14ac:dyDescent="0.2">
      <c r="H206" s="32"/>
      <c r="N206" s="79"/>
      <c r="O206" s="159"/>
      <c r="P206" s="79"/>
      <c r="Q206" s="79"/>
      <c r="R206" s="79"/>
      <c r="S206" s="79"/>
      <c r="T206" s="79"/>
      <c r="U206" s="79"/>
      <c r="V206" s="79"/>
      <c r="W206" s="79"/>
      <c r="X206" s="79"/>
      <c r="Y206" s="79"/>
    </row>
    <row r="207" spans="1:25" x14ac:dyDescent="0.2">
      <c r="E207" s="29"/>
      <c r="F207" s="29"/>
      <c r="G207" s="29"/>
      <c r="H207" s="32"/>
      <c r="J207" s="29"/>
      <c r="K207" s="29"/>
      <c r="L207" s="29"/>
      <c r="M207" s="29"/>
      <c r="N207" s="79"/>
      <c r="O207" s="159"/>
      <c r="P207" s="79"/>
      <c r="Q207" s="79"/>
      <c r="R207" s="79"/>
      <c r="S207" s="79"/>
      <c r="T207" s="79"/>
      <c r="U207" s="79"/>
      <c r="V207" s="79"/>
      <c r="W207" s="79"/>
      <c r="X207" s="79"/>
      <c r="Y207" s="79"/>
    </row>
    <row r="208" spans="1:25" x14ac:dyDescent="0.2">
      <c r="E208" s="29"/>
      <c r="G208" s="2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</row>
    <row r="209" spans="5:25" x14ac:dyDescent="0.2"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</row>
    <row r="210" spans="5:25" x14ac:dyDescent="0.2">
      <c r="E210" s="9" t="s">
        <v>84</v>
      </c>
      <c r="F210" s="9" t="s">
        <v>91</v>
      </c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</row>
    <row r="211" spans="5:25" x14ac:dyDescent="0.2"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</row>
    <row r="212" spans="5:25" x14ac:dyDescent="0.2">
      <c r="E212" s="9" t="s">
        <v>84</v>
      </c>
      <c r="F212" s="9">
        <f>IF(DONBIB!J20=3,M177*12%,0)</f>
        <v>0</v>
      </c>
      <c r="G212" s="9">
        <f>IF(F212&gt;372,372,F212)</f>
        <v>0</v>
      </c>
      <c r="I212" s="9" t="s">
        <v>30</v>
      </c>
      <c r="J212" s="9">
        <f>M177*6%</f>
        <v>0</v>
      </c>
      <c r="K212" s="9">
        <f>IF(J212&gt;186,186,J212)</f>
        <v>0</v>
      </c>
      <c r="L212" s="9">
        <f>IF(DONBIB!J20=3,K212,0)</f>
        <v>0</v>
      </c>
      <c r="N212" s="79"/>
      <c r="O212" s="79"/>
      <c r="P212" s="181"/>
      <c r="Q212" s="79"/>
      <c r="R212" s="79"/>
      <c r="S212" s="79"/>
      <c r="T212" s="79"/>
      <c r="U212" s="79"/>
      <c r="V212" s="79"/>
      <c r="W212" s="79"/>
      <c r="X212" s="79"/>
      <c r="Y212" s="79"/>
    </row>
    <row r="213" spans="5:25" x14ac:dyDescent="0.2">
      <c r="F213" s="9">
        <f>IF(DONBIB!J20=4,M177*16%,0)</f>
        <v>0</v>
      </c>
      <c r="G213" s="9">
        <f>IF(F213&gt;496,496,F213)</f>
        <v>0</v>
      </c>
      <c r="I213" s="9" t="s">
        <v>31</v>
      </c>
      <c r="J213" s="9">
        <f>M177*8%</f>
        <v>0</v>
      </c>
      <c r="K213" s="9">
        <f>IF(J213&gt;248,248,J213)</f>
        <v>0</v>
      </c>
      <c r="L213" s="9">
        <f>IF(DONBIB!J20=4,K213,0)</f>
        <v>0</v>
      </c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</row>
    <row r="214" spans="5:25" x14ac:dyDescent="0.2">
      <c r="F214" s="9">
        <f>IF(DONBIB!J20=5,M177*20%,0)</f>
        <v>0</v>
      </c>
      <c r="G214" s="9">
        <f>IF(F214&gt;620,620,F214)</f>
        <v>0</v>
      </c>
      <c r="J214" s="9">
        <f>M177*10%</f>
        <v>0</v>
      </c>
      <c r="K214" s="9">
        <f>IF(J214&gt;310,310,J214)</f>
        <v>0</v>
      </c>
      <c r="L214" s="9">
        <f>IF(DONBIB!J20=5,K214,0)</f>
        <v>0</v>
      </c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</row>
    <row r="215" spans="5:25" x14ac:dyDescent="0.2">
      <c r="F215" s="9">
        <f>IF(DONBIB!J20=6,M177*24%,0)</f>
        <v>0</v>
      </c>
      <c r="G215" s="9">
        <f>IF(F215&gt;744,744,F215)</f>
        <v>0</v>
      </c>
      <c r="J215" s="9">
        <f>M177*12%</f>
        <v>0</v>
      </c>
      <c r="K215" s="9">
        <f>IF(J215&gt;372,372,J215)</f>
        <v>0</v>
      </c>
      <c r="L215" s="9">
        <f>IF(DONBIB!J20=6,K215,0)</f>
        <v>0</v>
      </c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</row>
    <row r="216" spans="5:25" x14ac:dyDescent="0.2">
      <c r="F216" s="9">
        <f>IF(DONBIB!J20=7,M177*28%,0)</f>
        <v>0</v>
      </c>
      <c r="G216" s="9">
        <f>IF(F216&gt;868,868,F216)</f>
        <v>0</v>
      </c>
      <c r="J216" s="9">
        <f>M177*14%</f>
        <v>0</v>
      </c>
      <c r="K216" s="9">
        <f>IF(J216&gt;434,434,J216)</f>
        <v>0</v>
      </c>
      <c r="L216" s="9">
        <f>IF(DONBIB!J20=7,K216,0)</f>
        <v>0</v>
      </c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</row>
    <row r="217" spans="5:25" x14ac:dyDescent="0.2">
      <c r="F217" s="9">
        <f>IF(DONBIB!J20=8,M177*32%,0)</f>
        <v>0</v>
      </c>
      <c r="G217" s="9">
        <f>IF(F217&gt;992,992,F217)</f>
        <v>0</v>
      </c>
      <c r="J217" s="9">
        <f>M177*16%</f>
        <v>0</v>
      </c>
      <c r="K217" s="9">
        <f>IF(J217&gt;496,496,J217)</f>
        <v>0</v>
      </c>
      <c r="L217" s="9">
        <f>IF(DONBIB!J20=8,K217,0)</f>
        <v>0</v>
      </c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</row>
    <row r="218" spans="5:25" x14ac:dyDescent="0.2">
      <c r="F218" s="9">
        <f>IF(DONBIB!J20=9,M177*36%,0)</f>
        <v>0</v>
      </c>
      <c r="G218" s="9">
        <f>IF(F218&gt;1116,1116,F218)</f>
        <v>0</v>
      </c>
      <c r="J218" s="9">
        <f>M177*18%</f>
        <v>0</v>
      </c>
      <c r="K218" s="9">
        <f>IF(J218&gt;558,558,J218)</f>
        <v>0</v>
      </c>
      <c r="L218" s="9">
        <f>IF(DONBIB!J20=9,K218,0)</f>
        <v>0</v>
      </c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</row>
    <row r="219" spans="5:25" x14ac:dyDescent="0.2">
      <c r="F219" s="9">
        <f>IF(DONBIB!J20=10,M177*40%,0)</f>
        <v>0</v>
      </c>
      <c r="G219" s="9">
        <f>IF(F219&gt;1240,1240,F219)</f>
        <v>0</v>
      </c>
      <c r="J219" s="9">
        <f>M177*20%</f>
        <v>0</v>
      </c>
      <c r="K219" s="9">
        <f>IF(J219&gt;620,620,J219)</f>
        <v>0</v>
      </c>
      <c r="L219" s="9">
        <f>IF(DONBIB!J20=10,K219,0)</f>
        <v>0</v>
      </c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</row>
    <row r="220" spans="5:25" x14ac:dyDescent="0.2"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</row>
    <row r="221" spans="5:25" x14ac:dyDescent="0.2">
      <c r="G221" s="9">
        <f>SUM(G212:G220)</f>
        <v>0</v>
      </c>
      <c r="L221" s="9">
        <f>SUM(L212:L220)</f>
        <v>0</v>
      </c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</row>
    <row r="222" spans="5:25" x14ac:dyDescent="0.2">
      <c r="G222" s="22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</row>
    <row r="223" spans="5:25" x14ac:dyDescent="0.2">
      <c r="G223" s="22"/>
      <c r="N223" s="79"/>
      <c r="O223" s="79"/>
    </row>
    <row r="224" spans="5:25" x14ac:dyDescent="0.2">
      <c r="G224" s="22"/>
      <c r="N224" s="79"/>
      <c r="O224" s="79"/>
    </row>
    <row r="225" spans="1:15" x14ac:dyDescent="0.2">
      <c r="E225" s="9" t="s">
        <v>32</v>
      </c>
      <c r="F225" s="23">
        <f>M177-G221</f>
        <v>0</v>
      </c>
      <c r="G225" s="22"/>
      <c r="H225" s="9" t="s">
        <v>33</v>
      </c>
      <c r="I225" s="56">
        <f>M177-L221</f>
        <v>0</v>
      </c>
      <c r="N225" s="79"/>
      <c r="O225" s="79"/>
    </row>
    <row r="226" spans="1:15" x14ac:dyDescent="0.2">
      <c r="A226" s="79"/>
      <c r="B226" s="79"/>
      <c r="C226" s="79"/>
      <c r="D226" s="79"/>
      <c r="E226" s="95"/>
      <c r="F226" s="79"/>
      <c r="G226" s="95"/>
      <c r="H226" s="79"/>
      <c r="I226" s="79"/>
      <c r="J226" s="79"/>
      <c r="K226" s="79"/>
      <c r="L226" s="79"/>
      <c r="M226" s="79"/>
      <c r="N226" s="79"/>
      <c r="O226" s="79"/>
    </row>
    <row r="227" spans="1:15" x14ac:dyDescent="0.2">
      <c r="A227" s="79"/>
      <c r="B227" s="79"/>
      <c r="C227" s="79"/>
      <c r="D227" s="79"/>
      <c r="E227" s="95"/>
      <c r="F227" s="79"/>
      <c r="G227" s="95"/>
      <c r="H227" s="79"/>
      <c r="I227" s="79"/>
      <c r="J227" s="79"/>
      <c r="K227" s="79"/>
      <c r="L227" s="79"/>
      <c r="M227" s="79"/>
      <c r="N227" s="79"/>
      <c r="O227" s="79"/>
    </row>
    <row r="228" spans="1:15" x14ac:dyDescent="0.2">
      <c r="A228" s="79"/>
      <c r="B228" s="79"/>
      <c r="C228" s="79"/>
      <c r="D228" s="79"/>
      <c r="E228" s="95"/>
      <c r="F228" s="79"/>
      <c r="G228" s="163"/>
      <c r="H228" s="79"/>
      <c r="I228" s="79"/>
      <c r="J228" s="79"/>
      <c r="K228" s="79"/>
      <c r="L228" s="79"/>
      <c r="M228" s="79"/>
      <c r="N228" s="79"/>
      <c r="O228" s="79"/>
    </row>
    <row r="229" spans="1:15" x14ac:dyDescent="0.2">
      <c r="A229" s="178"/>
      <c r="B229" s="79"/>
      <c r="C229" s="79"/>
      <c r="D229" s="79"/>
      <c r="E229" s="95"/>
      <c r="F229" s="163"/>
      <c r="G229" s="95"/>
      <c r="H229" s="95"/>
      <c r="I229" s="174"/>
      <c r="J229" s="175"/>
      <c r="K229" s="174"/>
      <c r="L229" s="174"/>
      <c r="M229" s="174"/>
      <c r="N229" s="79"/>
      <c r="O229" s="79"/>
    </row>
    <row r="230" spans="1:15" x14ac:dyDescent="0.2">
      <c r="A230" s="79"/>
      <c r="B230" s="79"/>
      <c r="C230" s="79"/>
      <c r="D230" s="79"/>
      <c r="E230" s="95"/>
      <c r="F230" s="95"/>
      <c r="G230" s="176"/>
      <c r="H230" s="95"/>
      <c r="I230" s="95"/>
      <c r="J230" s="175"/>
      <c r="K230" s="95"/>
      <c r="L230" s="95"/>
      <c r="M230" s="95"/>
      <c r="N230" s="79"/>
      <c r="O230" s="79"/>
    </row>
    <row r="231" spans="1:15" x14ac:dyDescent="0.2">
      <c r="A231" s="79"/>
      <c r="B231" s="79"/>
      <c r="C231" s="79"/>
      <c r="D231" s="79"/>
      <c r="E231" s="95"/>
      <c r="F231" s="95"/>
      <c r="G231" s="95"/>
      <c r="H231" s="95"/>
      <c r="I231" s="95"/>
      <c r="J231" s="175"/>
      <c r="K231" s="95"/>
      <c r="L231" s="95"/>
      <c r="M231" s="95"/>
      <c r="N231" s="79"/>
      <c r="O231" s="79"/>
    </row>
    <row r="232" spans="1:15" x14ac:dyDescent="0.2">
      <c r="A232" s="79"/>
      <c r="B232" s="79"/>
      <c r="C232" s="79"/>
      <c r="D232" s="79"/>
      <c r="E232" s="95"/>
      <c r="F232" s="95"/>
      <c r="G232" s="179"/>
      <c r="H232" s="179"/>
      <c r="I232" s="95"/>
      <c r="J232" s="175"/>
      <c r="K232" s="95"/>
      <c r="L232" s="95"/>
      <c r="M232" s="95"/>
      <c r="N232" s="79"/>
      <c r="O232" s="79"/>
    </row>
    <row r="233" spans="1:15" x14ac:dyDescent="0.2">
      <c r="A233" s="79"/>
      <c r="B233" s="79"/>
      <c r="C233" s="79"/>
      <c r="D233" s="79"/>
      <c r="E233" s="95"/>
      <c r="F233" s="95"/>
      <c r="G233" s="95"/>
      <c r="H233" s="95"/>
      <c r="I233" s="95"/>
      <c r="J233" s="175"/>
      <c r="K233" s="95"/>
      <c r="L233" s="95"/>
      <c r="M233" s="95"/>
      <c r="N233" s="79"/>
      <c r="O233" s="79"/>
    </row>
    <row r="234" spans="1:15" x14ac:dyDescent="0.2">
      <c r="A234" s="79"/>
      <c r="B234" s="79"/>
      <c r="C234" s="79"/>
      <c r="D234" s="79"/>
      <c r="E234" s="95"/>
      <c r="F234" s="95"/>
      <c r="G234" s="95"/>
      <c r="H234" s="95"/>
      <c r="I234" s="95"/>
      <c r="J234" s="175"/>
      <c r="K234" s="95"/>
      <c r="L234" s="95"/>
      <c r="M234" s="95"/>
      <c r="N234" s="79"/>
      <c r="O234" s="79"/>
    </row>
    <row r="235" spans="1:15" x14ac:dyDescent="0.2">
      <c r="A235" s="79"/>
      <c r="B235" s="79"/>
      <c r="C235" s="79"/>
      <c r="D235" s="79"/>
      <c r="E235" s="95"/>
      <c r="F235" s="95"/>
      <c r="G235" s="95"/>
      <c r="H235" s="95"/>
      <c r="I235" s="95"/>
      <c r="J235" s="175"/>
      <c r="K235" s="95"/>
      <c r="L235" s="95"/>
      <c r="M235" s="95"/>
      <c r="N235" s="79"/>
      <c r="O235" s="79"/>
    </row>
    <row r="236" spans="1:15" x14ac:dyDescent="0.2">
      <c r="A236" s="79"/>
      <c r="B236" s="79"/>
      <c r="C236" s="79"/>
      <c r="D236" s="79"/>
      <c r="E236" s="95"/>
      <c r="F236" s="95"/>
      <c r="G236" s="95"/>
      <c r="H236" s="95"/>
      <c r="I236" s="95"/>
      <c r="J236" s="175"/>
      <c r="K236" s="95"/>
      <c r="L236" s="95"/>
      <c r="M236" s="95"/>
      <c r="N236" s="79"/>
      <c r="O236" s="79"/>
    </row>
    <row r="237" spans="1:15" x14ac:dyDescent="0.2">
      <c r="A237" s="79"/>
      <c r="B237" s="79"/>
      <c r="C237" s="79"/>
      <c r="D237" s="79"/>
      <c r="E237" s="95"/>
      <c r="F237" s="95"/>
      <c r="G237" s="95"/>
      <c r="H237" s="95"/>
      <c r="I237" s="95"/>
      <c r="J237" s="95"/>
      <c r="K237" s="95"/>
      <c r="L237" s="95"/>
      <c r="M237" s="95"/>
      <c r="N237" s="79"/>
      <c r="O237" s="79"/>
    </row>
    <row r="238" spans="1:15" x14ac:dyDescent="0.2">
      <c r="A238" s="79"/>
      <c r="B238" s="79"/>
      <c r="C238" s="79"/>
      <c r="D238" s="79"/>
      <c r="E238" s="95"/>
      <c r="F238" s="95"/>
      <c r="G238" s="95"/>
      <c r="H238" s="95"/>
      <c r="I238" s="95"/>
      <c r="J238" s="95"/>
      <c r="K238" s="95"/>
      <c r="L238" s="95"/>
      <c r="M238" s="95"/>
      <c r="N238" s="79"/>
      <c r="O238" s="79"/>
    </row>
    <row r="239" spans="1:15" x14ac:dyDescent="0.2">
      <c r="A239" s="79"/>
      <c r="B239" s="79"/>
      <c r="C239" s="79"/>
      <c r="D239" s="79"/>
      <c r="E239" s="95"/>
      <c r="F239" s="95"/>
      <c r="G239" s="95"/>
      <c r="H239" s="95"/>
      <c r="I239" s="95"/>
      <c r="J239" s="95"/>
      <c r="K239" s="95"/>
      <c r="L239" s="95"/>
      <c r="M239" s="95"/>
      <c r="N239" s="79"/>
      <c r="O239" s="79"/>
    </row>
    <row r="240" spans="1:15" x14ac:dyDescent="0.2">
      <c r="A240" s="79"/>
      <c r="B240" s="79"/>
      <c r="C240" s="79"/>
      <c r="D240" s="79"/>
      <c r="E240" s="95"/>
      <c r="F240" s="95"/>
      <c r="G240" s="95"/>
      <c r="H240" s="95"/>
      <c r="I240" s="95"/>
      <c r="J240" s="95"/>
      <c r="K240" s="95"/>
      <c r="L240" s="95"/>
      <c r="M240" s="95"/>
      <c r="N240" s="79"/>
      <c r="O240" s="79"/>
    </row>
    <row r="241" spans="1:15" x14ac:dyDescent="0.2">
      <c r="A241" s="79"/>
      <c r="B241" s="79"/>
      <c r="C241" s="79"/>
      <c r="D241" s="79"/>
      <c r="E241" s="95"/>
      <c r="F241" s="95"/>
      <c r="G241" s="95"/>
      <c r="H241" s="95"/>
      <c r="I241" s="95"/>
      <c r="J241" s="95"/>
      <c r="K241" s="95"/>
      <c r="L241" s="95"/>
      <c r="M241" s="95"/>
      <c r="N241" s="79"/>
      <c r="O241" s="79"/>
    </row>
    <row r="242" spans="1:15" x14ac:dyDescent="0.2">
      <c r="A242" s="79"/>
      <c r="B242" s="79"/>
      <c r="C242" s="79"/>
      <c r="D242" s="79"/>
      <c r="E242" s="95"/>
      <c r="F242" s="95"/>
      <c r="G242" s="95"/>
      <c r="H242" s="95"/>
      <c r="I242" s="95"/>
      <c r="J242" s="95"/>
      <c r="K242" s="95"/>
      <c r="L242" s="95"/>
      <c r="M242" s="95"/>
      <c r="N242" s="79"/>
      <c r="O242" s="79"/>
    </row>
    <row r="243" spans="1:15" x14ac:dyDescent="0.2">
      <c r="A243" s="79"/>
      <c r="B243" s="79"/>
      <c r="C243" s="79"/>
      <c r="D243" s="79"/>
      <c r="E243" s="95"/>
      <c r="F243" s="95"/>
      <c r="G243" s="95"/>
      <c r="H243" s="95"/>
      <c r="I243" s="95"/>
      <c r="J243" s="95"/>
      <c r="K243" s="95"/>
      <c r="L243" s="95"/>
      <c r="M243" s="95"/>
      <c r="N243" s="79"/>
      <c r="O243" s="79"/>
    </row>
    <row r="244" spans="1:15" x14ac:dyDescent="0.2">
      <c r="A244" s="79"/>
      <c r="B244" s="79"/>
      <c r="C244" s="79"/>
      <c r="D244" s="79"/>
      <c r="E244" s="95"/>
      <c r="F244" s="95"/>
      <c r="G244" s="95"/>
      <c r="H244" s="95"/>
      <c r="I244" s="95"/>
      <c r="J244" s="95"/>
      <c r="K244" s="95"/>
      <c r="L244" s="95"/>
      <c r="M244" s="95"/>
      <c r="N244" s="79"/>
      <c r="O244" s="79"/>
    </row>
    <row r="245" spans="1:15" x14ac:dyDescent="0.2">
      <c r="A245" s="180"/>
      <c r="B245" s="79"/>
      <c r="C245" s="178"/>
      <c r="D245" s="79"/>
      <c r="E245" s="95"/>
      <c r="F245" s="95"/>
      <c r="G245" s="174"/>
      <c r="H245" s="174"/>
      <c r="I245" s="172"/>
      <c r="J245" s="172"/>
      <c r="K245" s="172"/>
      <c r="L245" s="172"/>
      <c r="M245" s="172"/>
      <c r="N245" s="79"/>
      <c r="O245" s="79"/>
    </row>
    <row r="246" spans="1:15" x14ac:dyDescent="0.2">
      <c r="A246" s="79"/>
      <c r="B246" s="79"/>
      <c r="C246" s="79"/>
      <c r="D246" s="79"/>
      <c r="E246" s="95"/>
      <c r="F246" s="95"/>
      <c r="G246" s="95"/>
      <c r="H246" s="95"/>
      <c r="I246" s="95"/>
      <c r="J246" s="95"/>
      <c r="K246" s="95"/>
      <c r="L246" s="95"/>
      <c r="M246" s="95"/>
      <c r="N246" s="79"/>
      <c r="O246" s="79"/>
    </row>
    <row r="247" spans="1:15" x14ac:dyDescent="0.2">
      <c r="A247" s="79"/>
      <c r="B247" s="79"/>
      <c r="C247" s="79"/>
      <c r="D247" s="79"/>
      <c r="E247" s="95"/>
      <c r="F247" s="95"/>
      <c r="G247" s="95"/>
      <c r="H247" s="95"/>
      <c r="I247" s="95"/>
      <c r="J247" s="95"/>
      <c r="K247" s="95"/>
      <c r="L247" s="95"/>
      <c r="M247" s="95"/>
      <c r="N247" s="79"/>
      <c r="O247" s="79"/>
    </row>
    <row r="248" spans="1:15" x14ac:dyDescent="0.2">
      <c r="A248" s="178"/>
      <c r="B248" s="79"/>
      <c r="C248" s="178"/>
      <c r="D248" s="79"/>
      <c r="E248" s="95"/>
      <c r="F248" s="95"/>
      <c r="G248" s="95"/>
      <c r="H248" s="95"/>
      <c r="I248" s="95"/>
      <c r="J248" s="95"/>
      <c r="K248" s="95"/>
      <c r="L248" s="95"/>
      <c r="M248" s="95"/>
      <c r="N248" s="79"/>
      <c r="O248" s="79"/>
    </row>
    <row r="249" spans="1:15" x14ac:dyDescent="0.2">
      <c r="A249" s="79"/>
      <c r="B249" s="79"/>
      <c r="C249" s="79"/>
      <c r="D249" s="79"/>
      <c r="E249" s="95"/>
      <c r="F249" s="95"/>
      <c r="G249" s="95"/>
      <c r="H249" s="95"/>
      <c r="I249" s="95"/>
      <c r="J249" s="95"/>
      <c r="K249" s="95"/>
      <c r="L249" s="95"/>
      <c r="M249" s="95"/>
      <c r="N249" s="79"/>
      <c r="O249" s="79"/>
    </row>
    <row r="250" spans="1:15" x14ac:dyDescent="0.2">
      <c r="A250" s="178"/>
      <c r="B250" s="79"/>
      <c r="C250" s="178"/>
      <c r="D250" s="79"/>
      <c r="E250" s="95"/>
      <c r="F250" s="95"/>
      <c r="G250" s="95"/>
      <c r="H250" s="95"/>
      <c r="I250" s="95"/>
      <c r="J250" s="95"/>
      <c r="K250" s="95"/>
      <c r="L250" s="95"/>
      <c r="M250" s="95"/>
      <c r="N250" s="79"/>
      <c r="O250" s="79"/>
    </row>
    <row r="251" spans="1:15" x14ac:dyDescent="0.2">
      <c r="A251" s="79"/>
      <c r="B251" s="79"/>
      <c r="C251" s="79"/>
      <c r="D251" s="79"/>
      <c r="E251" s="95"/>
      <c r="F251" s="95"/>
      <c r="G251" s="95"/>
      <c r="H251" s="95"/>
      <c r="I251" s="95"/>
      <c r="J251" s="95"/>
      <c r="K251" s="95"/>
      <c r="L251" s="95"/>
      <c r="M251" s="95"/>
      <c r="N251" s="79"/>
      <c r="O251" s="79"/>
    </row>
    <row r="252" spans="1:15" x14ac:dyDescent="0.2">
      <c r="A252" s="178"/>
      <c r="B252" s="79"/>
      <c r="C252" s="178"/>
      <c r="D252" s="79"/>
      <c r="E252" s="95"/>
      <c r="F252" s="95"/>
      <c r="G252" s="95"/>
      <c r="H252" s="95"/>
      <c r="I252" s="95"/>
      <c r="J252" s="95"/>
      <c r="K252" s="95"/>
      <c r="L252" s="95"/>
      <c r="M252" s="95"/>
      <c r="N252" s="79"/>
      <c r="O252" s="79"/>
    </row>
    <row r="253" spans="1:15" x14ac:dyDescent="0.2">
      <c r="A253" s="79"/>
      <c r="B253" s="79"/>
      <c r="C253" s="79"/>
      <c r="D253" s="79"/>
      <c r="E253" s="95"/>
      <c r="F253" s="95"/>
      <c r="G253" s="95"/>
      <c r="H253" s="95"/>
      <c r="I253" s="95"/>
      <c r="J253" s="95"/>
      <c r="K253" s="95"/>
      <c r="L253" s="95"/>
      <c r="M253" s="95"/>
      <c r="N253" s="79"/>
      <c r="O253" s="79"/>
    </row>
    <row r="254" spans="1:15" x14ac:dyDescent="0.2">
      <c r="A254" s="178"/>
      <c r="B254" s="79"/>
      <c r="C254" s="178"/>
      <c r="D254" s="79"/>
      <c r="E254" s="181"/>
      <c r="F254" s="95"/>
      <c r="G254" s="79"/>
      <c r="H254" s="79"/>
      <c r="I254" s="79"/>
      <c r="J254" s="79"/>
      <c r="K254" s="79"/>
      <c r="L254" s="79"/>
      <c r="M254" s="79"/>
      <c r="N254" s="79"/>
      <c r="O254" s="79"/>
    </row>
    <row r="255" spans="1:15" x14ac:dyDescent="0.2">
      <c r="A255" s="79"/>
      <c r="B255" s="79"/>
      <c r="C255" s="79"/>
      <c r="D255" s="79"/>
      <c r="E255" s="95"/>
      <c r="F255" s="95"/>
      <c r="G255" s="95"/>
      <c r="H255" s="157"/>
      <c r="I255" s="95"/>
      <c r="J255" s="159"/>
      <c r="K255" s="79"/>
      <c r="L255" s="79"/>
      <c r="M255" s="159"/>
      <c r="N255" s="79"/>
      <c r="O255" s="159"/>
    </row>
    <row r="256" spans="1:15" x14ac:dyDescent="0.2">
      <c r="A256" s="178"/>
      <c r="B256" s="79"/>
      <c r="C256" s="178"/>
      <c r="D256" s="79"/>
      <c r="E256" s="95"/>
      <c r="F256" s="95"/>
      <c r="G256" s="95"/>
      <c r="H256" s="157"/>
      <c r="I256" s="95"/>
      <c r="J256" s="159"/>
      <c r="K256" s="79"/>
      <c r="L256" s="79"/>
      <c r="M256" s="159"/>
      <c r="N256" s="79"/>
      <c r="O256" s="159"/>
    </row>
    <row r="257" spans="1:15" x14ac:dyDescent="0.2">
      <c r="A257" s="79"/>
      <c r="B257" s="79"/>
      <c r="C257" s="79"/>
      <c r="D257" s="79"/>
      <c r="E257" s="95"/>
      <c r="F257" s="95"/>
      <c r="G257" s="95"/>
      <c r="H257" s="157"/>
      <c r="I257" s="95"/>
      <c r="J257" s="159"/>
      <c r="K257" s="79"/>
      <c r="L257" s="79"/>
      <c r="M257" s="159"/>
      <c r="N257" s="79"/>
      <c r="O257" s="159"/>
    </row>
    <row r="258" spans="1:15" x14ac:dyDescent="0.2">
      <c r="A258" s="178"/>
      <c r="B258" s="79"/>
      <c r="C258" s="178"/>
      <c r="D258" s="79"/>
      <c r="E258" s="95"/>
      <c r="F258" s="95"/>
      <c r="G258" s="174"/>
      <c r="H258" s="157"/>
      <c r="I258" s="173"/>
      <c r="J258" s="95"/>
      <c r="K258" s="95"/>
      <c r="L258" s="95"/>
      <c r="M258" s="174"/>
      <c r="N258" s="79"/>
      <c r="O258" s="159"/>
    </row>
    <row r="259" spans="1:15" x14ac:dyDescent="0.2">
      <c r="A259" s="79"/>
      <c r="B259" s="79"/>
      <c r="C259" s="79"/>
      <c r="D259" s="79"/>
      <c r="E259" s="95"/>
      <c r="F259" s="95"/>
      <c r="G259" s="95"/>
      <c r="H259" s="157"/>
      <c r="I259" s="95"/>
      <c r="J259" s="95"/>
      <c r="K259" s="95"/>
      <c r="L259" s="95"/>
      <c r="M259" s="95"/>
      <c r="N259" s="79"/>
      <c r="O259" s="159"/>
    </row>
    <row r="260" spans="1:15" x14ac:dyDescent="0.2">
      <c r="A260" s="178"/>
      <c r="B260" s="79"/>
      <c r="C260" s="178"/>
      <c r="D260" s="79"/>
      <c r="E260" s="95"/>
      <c r="F260" s="95"/>
      <c r="G260" s="95"/>
      <c r="H260" s="157"/>
      <c r="I260" s="95"/>
      <c r="J260" s="95"/>
      <c r="K260" s="95"/>
      <c r="L260" s="95"/>
      <c r="M260" s="95"/>
      <c r="N260" s="79"/>
      <c r="O260" s="159"/>
    </row>
    <row r="261" spans="1:15" x14ac:dyDescent="0.2">
      <c r="A261" s="79"/>
      <c r="B261" s="79"/>
      <c r="C261" s="79"/>
      <c r="D261" s="79"/>
      <c r="E261" s="95"/>
      <c r="F261" s="95"/>
      <c r="G261" s="95"/>
      <c r="H261" s="157"/>
      <c r="I261" s="95"/>
      <c r="J261" s="95"/>
      <c r="K261" s="95"/>
      <c r="L261" s="95"/>
      <c r="M261" s="95"/>
      <c r="N261" s="79"/>
      <c r="O261" s="159"/>
    </row>
    <row r="262" spans="1:15" x14ac:dyDescent="0.2">
      <c r="A262" s="178"/>
      <c r="B262" s="79"/>
      <c r="C262" s="178"/>
      <c r="D262" s="79"/>
      <c r="E262" s="95"/>
      <c r="F262" s="95"/>
      <c r="G262" s="95"/>
      <c r="H262" s="157"/>
      <c r="I262" s="95"/>
      <c r="J262" s="95"/>
      <c r="K262" s="95"/>
      <c r="L262" s="95"/>
      <c r="M262" s="95"/>
      <c r="N262" s="79"/>
      <c r="O262" s="159"/>
    </row>
    <row r="263" spans="1:15" x14ac:dyDescent="0.2">
      <c r="A263" s="79"/>
      <c r="B263" s="79"/>
      <c r="C263" s="79"/>
      <c r="D263" s="79"/>
      <c r="E263" s="95"/>
      <c r="F263" s="95"/>
      <c r="G263" s="95"/>
      <c r="H263" s="157"/>
      <c r="I263" s="95"/>
      <c r="J263" s="95"/>
      <c r="K263" s="95"/>
      <c r="L263" s="95"/>
      <c r="M263" s="95"/>
      <c r="N263" s="79"/>
      <c r="O263" s="159"/>
    </row>
    <row r="264" spans="1:15" x14ac:dyDescent="0.2">
      <c r="A264" s="178"/>
      <c r="B264" s="79"/>
      <c r="C264" s="178"/>
      <c r="D264" s="79"/>
      <c r="E264" s="95"/>
      <c r="F264" s="95"/>
      <c r="G264" s="95"/>
      <c r="H264" s="157"/>
      <c r="I264" s="95"/>
      <c r="J264" s="95"/>
      <c r="K264" s="95"/>
      <c r="L264" s="95"/>
      <c r="M264" s="95"/>
      <c r="N264" s="79"/>
      <c r="O264" s="159"/>
    </row>
    <row r="265" spans="1:15" x14ac:dyDescent="0.2">
      <c r="A265" s="79"/>
      <c r="B265" s="79"/>
      <c r="C265" s="79"/>
      <c r="D265" s="79"/>
      <c r="E265" s="95"/>
      <c r="F265" s="95"/>
      <c r="G265" s="95"/>
      <c r="H265" s="157"/>
      <c r="I265" s="95"/>
      <c r="J265" s="95"/>
      <c r="K265" s="95"/>
      <c r="L265" s="95"/>
      <c r="M265" s="95"/>
      <c r="N265" s="79"/>
      <c r="O265" s="159"/>
    </row>
    <row r="266" spans="1:15" x14ac:dyDescent="0.2">
      <c r="A266" s="79"/>
      <c r="B266" s="79"/>
      <c r="C266" s="79"/>
      <c r="D266" s="79"/>
      <c r="E266" s="95"/>
      <c r="F266" s="95"/>
      <c r="G266" s="95"/>
      <c r="H266" s="157"/>
      <c r="I266" s="177"/>
      <c r="J266" s="95"/>
      <c r="K266" s="95"/>
      <c r="L266" s="95"/>
      <c r="M266" s="95"/>
      <c r="N266" s="79"/>
      <c r="O266" s="159"/>
    </row>
    <row r="267" spans="1:15" x14ac:dyDescent="0.2">
      <c r="A267" s="79"/>
      <c r="B267" s="79"/>
      <c r="C267" s="79"/>
      <c r="D267" s="79"/>
      <c r="E267" s="79"/>
      <c r="F267" s="79"/>
      <c r="G267" s="79"/>
      <c r="H267" s="157"/>
      <c r="I267" s="79"/>
      <c r="J267" s="79"/>
      <c r="K267" s="79"/>
      <c r="L267" s="79"/>
      <c r="M267" s="79"/>
      <c r="N267" s="79"/>
      <c r="O267" s="159"/>
    </row>
    <row r="268" spans="1:15" x14ac:dyDescent="0.2">
      <c r="A268" s="79"/>
      <c r="B268" s="79"/>
      <c r="C268" s="79"/>
      <c r="D268" s="79"/>
      <c r="E268" s="95"/>
      <c r="F268" s="95"/>
      <c r="G268" s="95"/>
      <c r="H268" s="157"/>
      <c r="I268" s="79"/>
      <c r="J268" s="95"/>
      <c r="K268" s="95"/>
      <c r="L268" s="95"/>
      <c r="M268" s="95"/>
      <c r="N268" s="79"/>
      <c r="O268" s="159"/>
    </row>
    <row r="269" spans="1:15" x14ac:dyDescent="0.2">
      <c r="A269" s="79"/>
      <c r="B269" s="79"/>
      <c r="C269" s="79"/>
      <c r="D269" s="79"/>
      <c r="E269" s="95"/>
      <c r="F269" s="79"/>
      <c r="G269" s="95"/>
      <c r="H269" s="79"/>
      <c r="I269" s="79"/>
      <c r="J269" s="79"/>
      <c r="K269" s="79"/>
      <c r="L269" s="79"/>
      <c r="M269" s="79"/>
      <c r="N269" s="79"/>
      <c r="O269" s="79"/>
    </row>
    <row r="270" spans="1:15" x14ac:dyDescent="0.2">
      <c r="A270" s="79"/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  <c r="O270" s="79"/>
    </row>
    <row r="271" spans="1:15" x14ac:dyDescent="0.2">
      <c r="A271" s="172"/>
      <c r="B271" s="172"/>
      <c r="C271" s="172"/>
      <c r="D271" s="172"/>
      <c r="E271" s="95"/>
      <c r="F271" s="173"/>
      <c r="G271" s="95"/>
      <c r="H271" s="95"/>
      <c r="I271" s="174"/>
      <c r="J271" s="175"/>
      <c r="K271" s="174"/>
      <c r="L271" s="174"/>
      <c r="M271" s="174"/>
      <c r="N271" s="79"/>
      <c r="O271" s="79"/>
    </row>
    <row r="272" spans="1:15" x14ac:dyDescent="0.2">
      <c r="A272" s="29" t="s">
        <v>4</v>
      </c>
      <c r="B272" s="29"/>
      <c r="C272" s="29"/>
      <c r="D272" s="29"/>
      <c r="E272" s="29"/>
      <c r="F272" s="29">
        <f>DONBIB!G27</f>
        <v>0</v>
      </c>
      <c r="G272" s="49"/>
      <c r="H272" s="29"/>
      <c r="I272" s="29"/>
      <c r="J272" s="50"/>
      <c r="K272" s="29"/>
      <c r="L272" s="29"/>
      <c r="M272" s="29">
        <f>IF(AND(DONBIB!I25="oui",DONBIB!F25="ligne directe"),H284,0)</f>
        <v>0</v>
      </c>
      <c r="N272" s="79"/>
      <c r="O272" s="79"/>
    </row>
    <row r="273" spans="1:15" x14ac:dyDescent="0.2">
      <c r="A273" s="29"/>
      <c r="B273" s="29"/>
      <c r="C273" s="29"/>
      <c r="D273" s="29"/>
      <c r="E273" s="29"/>
      <c r="F273" s="29"/>
      <c r="G273" s="29"/>
      <c r="H273" s="29"/>
      <c r="I273" s="29"/>
      <c r="J273" s="50"/>
      <c r="K273" s="29"/>
      <c r="L273" s="29"/>
      <c r="M273" s="29">
        <f>IF(AND(DONBIB!I25="oui",DONBIB!F25="épou(x)(se)"),H284,0)</f>
        <v>0</v>
      </c>
      <c r="N273" s="79"/>
      <c r="O273" s="79"/>
    </row>
    <row r="274" spans="1:15" x14ac:dyDescent="0.2">
      <c r="A274" s="52" t="s">
        <v>5</v>
      </c>
      <c r="B274" s="52"/>
      <c r="C274" s="52"/>
      <c r="D274" s="52"/>
      <c r="E274" s="29"/>
      <c r="F274" s="29"/>
      <c r="G274" s="53" t="s">
        <v>6</v>
      </c>
      <c r="H274" s="53" t="s">
        <v>25</v>
      </c>
      <c r="I274" s="29"/>
      <c r="J274" s="50"/>
      <c r="K274" s="29"/>
      <c r="L274" s="29"/>
      <c r="M274" s="29">
        <f>IF(AND(DONBIB!I25="non",DONBIB!F25="ligne directe"),G284,0)</f>
        <v>0</v>
      </c>
      <c r="N274" s="79"/>
      <c r="O274" s="79"/>
    </row>
    <row r="275" spans="1:15" x14ac:dyDescent="0.2">
      <c r="A275" s="29">
        <v>0</v>
      </c>
      <c r="B275" s="29"/>
      <c r="C275" s="29"/>
      <c r="D275" s="29"/>
      <c r="E275" s="29">
        <v>50000</v>
      </c>
      <c r="F275" s="29">
        <f>IF(AND(F272&gt;A275, F272&lt;=E275),F272,0)</f>
        <v>0</v>
      </c>
      <c r="G275" s="29">
        <f>0+(3/100)*(-A275+F275)</f>
        <v>0</v>
      </c>
      <c r="H275" s="29">
        <f>0+(2/100)*(-A275+F275)</f>
        <v>0</v>
      </c>
      <c r="I275" s="29"/>
      <c r="J275" s="50"/>
      <c r="K275" s="29"/>
      <c r="L275" s="29"/>
      <c r="M275" s="29">
        <f>IF(AND(DONBIB!I25="non",DONBIB!F25="épou(x)(se)"),G284,0)</f>
        <v>0</v>
      </c>
      <c r="N275" s="79"/>
      <c r="O275" s="79"/>
    </row>
    <row r="276" spans="1:15" x14ac:dyDescent="0.2">
      <c r="A276" s="29">
        <f>E275</f>
        <v>50000</v>
      </c>
      <c r="B276" s="29"/>
      <c r="C276" s="29"/>
      <c r="D276" s="29"/>
      <c r="E276" s="29">
        <v>100000</v>
      </c>
      <c r="F276" s="29">
        <f>IF(AND(F272&gt;A276, F272&lt;=E276),F272,0)</f>
        <v>0</v>
      </c>
      <c r="G276" s="29">
        <f>(50000/100*3)+(8/100)*(-A276+F276)</f>
        <v>-2500</v>
      </c>
      <c r="H276" s="29">
        <f>(50000/100*2)+(5.3/100)*(-A276+F276)</f>
        <v>-1650</v>
      </c>
      <c r="I276" s="29"/>
      <c r="J276" s="50"/>
      <c r="K276" s="29"/>
      <c r="L276" s="29"/>
      <c r="M276" s="29">
        <f>IF(DONBIB!F25="frère/soeur",G295,0)</f>
        <v>0</v>
      </c>
      <c r="N276" s="79"/>
      <c r="O276" s="79"/>
    </row>
    <row r="277" spans="1:15" x14ac:dyDescent="0.2">
      <c r="A277" s="29">
        <f>E276</f>
        <v>100000</v>
      </c>
      <c r="B277" s="29"/>
      <c r="C277" s="29"/>
      <c r="D277" s="29"/>
      <c r="E277" s="29">
        <v>175000</v>
      </c>
      <c r="F277" s="29">
        <f>IF(AND(F272&gt;A277, F272&lt;=E277),F272,0)</f>
        <v>0</v>
      </c>
      <c r="G277" s="29">
        <f>(50000/100*3)+(50000/100*8)+((9/100)*(-A277+F277))</f>
        <v>-3500</v>
      </c>
      <c r="H277" s="29">
        <f>(50000/100*2)+(50000/100*5.3)+((6/100)*(-A277+F277))</f>
        <v>-2350</v>
      </c>
      <c r="I277" s="29"/>
      <c r="J277" s="50"/>
      <c r="K277" s="29"/>
      <c r="L277" s="29"/>
      <c r="M277" s="29">
        <f>IF(DONBIB!F25="oncle-tante/neveu-nièce",G308,0)</f>
        <v>0</v>
      </c>
      <c r="N277" s="79"/>
      <c r="O277" s="79"/>
    </row>
    <row r="278" spans="1:15" x14ac:dyDescent="0.2">
      <c r="A278" s="29">
        <f>E277</f>
        <v>175000</v>
      </c>
      <c r="B278" s="29"/>
      <c r="C278" s="29"/>
      <c r="D278" s="29"/>
      <c r="E278" s="29">
        <v>250000</v>
      </c>
      <c r="F278" s="29">
        <f>IF(AND(F272&gt;A278, F272&lt;=E278),F272,0)</f>
        <v>0</v>
      </c>
      <c r="G278" s="29">
        <f>(50000/100*3)+(50000/100*8)+(75000/100*9)+((18/100)*(-A278+F278))</f>
        <v>-19250</v>
      </c>
      <c r="H278" s="29">
        <f>(50000/100*2)+(50000/100*5.3)+(75000/100*6)+((12/100)*(-A278+F278))</f>
        <v>-12850</v>
      </c>
      <c r="I278" s="29"/>
      <c r="J278" s="50"/>
      <c r="K278" s="29"/>
      <c r="L278" s="29"/>
      <c r="M278" s="29">
        <f>IF(DONBIB!F25="étrangers",M308,0)</f>
        <v>0</v>
      </c>
      <c r="N278" s="79"/>
      <c r="O278" s="79"/>
    </row>
    <row r="279" spans="1:15" x14ac:dyDescent="0.2">
      <c r="A279" s="29">
        <f>E278</f>
        <v>250000</v>
      </c>
      <c r="B279" s="29"/>
      <c r="C279" s="29"/>
      <c r="D279" s="29"/>
      <c r="E279" s="29">
        <v>500000</v>
      </c>
      <c r="F279" s="29">
        <f>IF(AND(F272&gt;A279, F272&lt;=E279),F272,0)</f>
        <v>0</v>
      </c>
      <c r="G279" s="29">
        <f>(50000/100*3)+(50000/100*8)+(75000/100*9)+(75000/100*18)+((24/100)*(-A279+F279))</f>
        <v>-34250</v>
      </c>
      <c r="H279" s="29">
        <f>(50000/100*2)+(50000/100*5.3)+(75000/100*6)+(75000/100*12)+((24/100)*(-A279+F279))</f>
        <v>-42850</v>
      </c>
      <c r="I279" s="29"/>
      <c r="J279" s="29"/>
      <c r="K279" s="29"/>
      <c r="L279" s="29"/>
      <c r="M279" s="29"/>
      <c r="N279" s="79"/>
      <c r="O279" s="79"/>
    </row>
    <row r="280" spans="1:15" x14ac:dyDescent="0.2">
      <c r="A280" s="29">
        <f>E279</f>
        <v>500000</v>
      </c>
      <c r="B280" s="29"/>
      <c r="C280" s="29"/>
      <c r="D280" s="29"/>
      <c r="E280" s="29">
        <v>999999999</v>
      </c>
      <c r="F280" s="29">
        <f>IF(AND(F272&gt;A280, F272&lt;=E280),F272,0)</f>
        <v>0</v>
      </c>
      <c r="G280" s="29">
        <f>(50000/100*3)+(50000/100*8)+(75000/100*9)+(75000/100*18)+(250000/100*24)+((30/100)*(-A280+F280))</f>
        <v>-64250</v>
      </c>
      <c r="H280" s="29">
        <f>(50000/100*2)+(50000/100*5.3)+(75000/100*6)+(75000/100*12)+(250000/100*24)+((30/100)*(-A280+F280))</f>
        <v>-72850</v>
      </c>
      <c r="I280" s="29"/>
      <c r="J280" s="29"/>
      <c r="K280" s="29"/>
      <c r="L280" s="29"/>
      <c r="M280" s="29">
        <f>SUM(M272:M279)</f>
        <v>0</v>
      </c>
      <c r="N280" s="79"/>
      <c r="O280" s="79"/>
    </row>
    <row r="281" spans="1:15" x14ac:dyDescent="0.2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79"/>
      <c r="O281" s="79"/>
    </row>
    <row r="282" spans="1:15" x14ac:dyDescent="0.2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79"/>
      <c r="O282" s="79"/>
    </row>
    <row r="283" spans="1:15" x14ac:dyDescent="0.2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79"/>
      <c r="O283" s="79"/>
    </row>
    <row r="284" spans="1:15" x14ac:dyDescent="0.2">
      <c r="A284" s="54" t="s">
        <v>7</v>
      </c>
      <c r="B284" s="54"/>
      <c r="C284" s="54"/>
      <c r="D284" s="54"/>
      <c r="E284" s="29"/>
      <c r="F284" s="29"/>
      <c r="G284" s="29">
        <f>VLOOKUP(F272,F275:G280,2,FALSE)</f>
        <v>0</v>
      </c>
      <c r="H284" s="29">
        <f>VLOOKUP(F272,F275:H280,3,FALSE)</f>
        <v>0</v>
      </c>
      <c r="I284" s="29"/>
      <c r="J284" s="29"/>
      <c r="K284" s="29"/>
      <c r="L284" s="29"/>
      <c r="M284" s="29"/>
      <c r="N284" s="79"/>
      <c r="O284" s="79"/>
    </row>
    <row r="285" spans="1:15" x14ac:dyDescent="0.2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79"/>
      <c r="O285" s="79"/>
    </row>
    <row r="286" spans="1:15" x14ac:dyDescent="0.2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79"/>
      <c r="O286" s="79"/>
    </row>
    <row r="287" spans="1:15" x14ac:dyDescent="0.2">
      <c r="A287" s="52" t="s">
        <v>8</v>
      </c>
      <c r="B287" s="52"/>
      <c r="C287" s="52"/>
      <c r="D287" s="52"/>
      <c r="E287" s="29"/>
      <c r="F287" s="29"/>
      <c r="G287" s="53" t="s">
        <v>9</v>
      </c>
      <c r="H287" s="53"/>
      <c r="I287" s="42"/>
      <c r="J287" s="42"/>
      <c r="K287" s="42"/>
      <c r="L287" s="42"/>
      <c r="M287" s="42"/>
      <c r="N287" s="79"/>
      <c r="O287" s="79"/>
    </row>
    <row r="288" spans="1:15" x14ac:dyDescent="0.2">
      <c r="A288" s="29">
        <v>0</v>
      </c>
      <c r="B288" s="29"/>
      <c r="C288" s="29"/>
      <c r="D288" s="29"/>
      <c r="E288" s="29">
        <v>12500</v>
      </c>
      <c r="F288" s="29">
        <f>IF(AND(F272&gt;A288, F272&lt;=E288),F272,0)</f>
        <v>0</v>
      </c>
      <c r="G288" s="29">
        <f>0+(20/100)*(-A288+F288)</f>
        <v>0</v>
      </c>
      <c r="H288" s="29"/>
      <c r="I288" s="29"/>
      <c r="J288" s="29"/>
      <c r="K288" s="29"/>
      <c r="L288" s="29"/>
      <c r="M288" s="29"/>
      <c r="N288" s="79"/>
      <c r="O288" s="79"/>
    </row>
    <row r="289" spans="1:15" x14ac:dyDescent="0.2">
      <c r="A289" s="29">
        <f>E288</f>
        <v>12500</v>
      </c>
      <c r="B289" s="29"/>
      <c r="C289" s="29"/>
      <c r="D289" s="29"/>
      <c r="E289" s="29">
        <v>25000</v>
      </c>
      <c r="F289" s="29">
        <f>IF(AND(F272&gt;A289, F272&lt;=E289),F272,0)</f>
        <v>0</v>
      </c>
      <c r="G289" s="29">
        <f>(12500/100*20)+((25/100)*(-A289+F289))</f>
        <v>-625</v>
      </c>
      <c r="H289" s="29"/>
      <c r="I289" s="29"/>
      <c r="J289" s="29"/>
      <c r="K289" s="29"/>
      <c r="L289" s="29"/>
      <c r="M289" s="29"/>
      <c r="N289" s="79"/>
      <c r="O289" s="79"/>
    </row>
    <row r="290" spans="1:15" x14ac:dyDescent="0.2">
      <c r="A290" s="29">
        <f>E289</f>
        <v>25000</v>
      </c>
      <c r="B290" s="29"/>
      <c r="C290" s="29"/>
      <c r="D290" s="29"/>
      <c r="E290" s="29">
        <v>50000</v>
      </c>
      <c r="F290" s="29">
        <f>IF(AND(F272&gt;A290, F272&lt;=E290),F272,0)</f>
        <v>0</v>
      </c>
      <c r="G290" s="29">
        <f>(12500/100*20)+(12500/100*25)+((30/100)*(-A290+F290))</f>
        <v>-1875</v>
      </c>
      <c r="H290" s="29"/>
      <c r="I290" s="29"/>
      <c r="J290" s="29"/>
      <c r="K290" s="29"/>
      <c r="L290" s="29"/>
      <c r="M290" s="29"/>
      <c r="N290" s="79"/>
      <c r="O290" s="79"/>
    </row>
    <row r="291" spans="1:15" x14ac:dyDescent="0.2">
      <c r="A291" s="29">
        <f>E290</f>
        <v>50000</v>
      </c>
      <c r="B291" s="29"/>
      <c r="C291" s="29"/>
      <c r="D291" s="29"/>
      <c r="E291" s="29">
        <v>100000</v>
      </c>
      <c r="F291" s="29">
        <f>IF(AND(F272&gt;A291, F272&lt;=E291),F272,0)</f>
        <v>0</v>
      </c>
      <c r="G291" s="29">
        <f>(12500/100*20)+(12500/100*25)+(25000/100*30)+((40/100)*(-A291+F291))</f>
        <v>-6875</v>
      </c>
      <c r="H291" s="29"/>
      <c r="I291" s="29"/>
      <c r="J291" s="29"/>
      <c r="K291" s="29"/>
      <c r="L291" s="29"/>
      <c r="M291" s="29"/>
      <c r="N291" s="79"/>
      <c r="O291" s="79"/>
    </row>
    <row r="292" spans="1:15" x14ac:dyDescent="0.2">
      <c r="A292" s="29">
        <f>E291</f>
        <v>100000</v>
      </c>
      <c r="B292" s="29"/>
      <c r="C292" s="29"/>
      <c r="D292" s="29"/>
      <c r="E292" s="29">
        <v>175000</v>
      </c>
      <c r="F292" s="29">
        <f>IF(AND(F272&gt;A292, F272&lt;=E292),F272,0)</f>
        <v>0</v>
      </c>
      <c r="G292" s="29">
        <f>(12500/100*20)+(12500/100*25)+(25000/100*30)+(50000/100*40)+((55/100)*(-A292+F292))</f>
        <v>-21875.000000000007</v>
      </c>
      <c r="H292" s="29"/>
      <c r="I292" s="29"/>
      <c r="J292" s="29"/>
      <c r="K292" s="29"/>
      <c r="L292" s="29"/>
      <c r="M292" s="29"/>
      <c r="N292" s="79"/>
      <c r="O292" s="79"/>
    </row>
    <row r="293" spans="1:15" x14ac:dyDescent="0.2">
      <c r="A293" s="29">
        <v>175000</v>
      </c>
      <c r="B293" s="29"/>
      <c r="C293" s="29"/>
      <c r="D293" s="29"/>
      <c r="E293" s="29">
        <v>250000</v>
      </c>
      <c r="F293" s="29">
        <f>IF(AND(F272&gt;A293, F272&lt;=E293),F272,0)</f>
        <v>0</v>
      </c>
      <c r="G293" s="29">
        <f>(12500/100*20)+(12500/100*25)+(25000/100*30)+(50000/100*40)+(75000/100*55)+((60/100)*(-A293+F293))</f>
        <v>-30625</v>
      </c>
      <c r="H293" s="29"/>
      <c r="I293" s="29"/>
      <c r="J293" s="29"/>
      <c r="K293" s="29"/>
      <c r="L293" s="29"/>
      <c r="M293" s="29"/>
      <c r="N293" s="79"/>
      <c r="O293" s="79"/>
    </row>
    <row r="294" spans="1:15" x14ac:dyDescent="0.2">
      <c r="A294" s="29">
        <f>E293</f>
        <v>250000</v>
      </c>
      <c r="B294" s="29"/>
      <c r="C294" s="29"/>
      <c r="D294" s="29"/>
      <c r="E294" s="29">
        <v>999999999</v>
      </c>
      <c r="F294" s="29">
        <f>IF(AND(F272&gt;A294, F272&lt;=E294),F272,0)</f>
        <v>0</v>
      </c>
      <c r="G294" s="29">
        <f>(12500/100*20)+(12500/100*25)+(25000/100*30)+(50000/100*40)+(75000/100*55)+(75000/100*60)+((65/100)*(-A294+F294))</f>
        <v>-43125</v>
      </c>
      <c r="H294" s="29"/>
      <c r="I294" s="29"/>
      <c r="J294" s="29"/>
      <c r="K294" s="29"/>
      <c r="L294" s="29"/>
      <c r="M294" s="29"/>
      <c r="N294" s="79"/>
      <c r="O294" s="79"/>
    </row>
    <row r="295" spans="1:15" x14ac:dyDescent="0.2">
      <c r="A295" s="54" t="s">
        <v>7</v>
      </c>
      <c r="B295" s="54"/>
      <c r="C295" s="54"/>
      <c r="D295" s="54"/>
      <c r="E295" s="29"/>
      <c r="F295" s="29"/>
      <c r="G295" s="29">
        <f>VLOOKUP(F272,F288:G294,2,FALSE)</f>
        <v>0</v>
      </c>
      <c r="H295" s="29"/>
      <c r="I295" s="29"/>
      <c r="J295" s="29"/>
      <c r="K295" s="29"/>
      <c r="L295" s="29"/>
      <c r="M295" s="29"/>
      <c r="N295" s="79"/>
      <c r="O295" s="79"/>
    </row>
    <row r="296" spans="1:15" x14ac:dyDescent="0.2">
      <c r="N296" s="79"/>
      <c r="O296" s="79"/>
    </row>
    <row r="297" spans="1:15" x14ac:dyDescent="0.2">
      <c r="E297" s="29"/>
      <c r="F297" s="29"/>
      <c r="G297" s="29"/>
      <c r="H297" s="32"/>
      <c r="I297" s="29"/>
      <c r="J297" s="33"/>
      <c r="M297" s="33"/>
      <c r="N297" s="79"/>
      <c r="O297" s="159"/>
    </row>
    <row r="298" spans="1:15" x14ac:dyDescent="0.2">
      <c r="E298" s="29"/>
      <c r="F298" s="29"/>
      <c r="G298" s="29"/>
      <c r="H298" s="32"/>
      <c r="I298" s="29"/>
      <c r="J298" s="33"/>
      <c r="M298" s="33"/>
      <c r="N298" s="79"/>
      <c r="O298" s="159"/>
    </row>
    <row r="299" spans="1:15" x14ac:dyDescent="0.2">
      <c r="E299" s="29"/>
      <c r="F299" s="29"/>
      <c r="G299" s="29"/>
      <c r="H299" s="32"/>
      <c r="I299" s="29"/>
      <c r="J299" s="33"/>
      <c r="M299" s="33"/>
      <c r="N299" s="79"/>
      <c r="O299" s="159"/>
    </row>
    <row r="300" spans="1:15" x14ac:dyDescent="0.2">
      <c r="A300" s="52" t="s">
        <v>26</v>
      </c>
      <c r="B300" s="52"/>
      <c r="C300" s="52"/>
      <c r="D300" s="52"/>
      <c r="E300" s="29"/>
      <c r="F300" s="29"/>
      <c r="G300" s="53" t="s">
        <v>10</v>
      </c>
      <c r="H300" s="32"/>
      <c r="I300" s="52" t="s">
        <v>27</v>
      </c>
      <c r="J300" s="29"/>
      <c r="K300" s="29"/>
      <c r="L300" s="29"/>
      <c r="M300" s="53" t="s">
        <v>11</v>
      </c>
      <c r="N300" s="79"/>
      <c r="O300" s="159"/>
    </row>
    <row r="301" spans="1:15" x14ac:dyDescent="0.2">
      <c r="A301" s="29">
        <v>0</v>
      </c>
      <c r="B301" s="29"/>
      <c r="C301" s="29"/>
      <c r="D301" s="29"/>
      <c r="E301" s="29">
        <v>50000</v>
      </c>
      <c r="F301" s="29">
        <f>IF(AND(F272&gt;A301, F272&lt;=E301),F272,0)</f>
        <v>0</v>
      </c>
      <c r="G301" s="29">
        <f>0+(35/100)*(-A301+F301)</f>
        <v>0</v>
      </c>
      <c r="H301" s="32"/>
      <c r="I301" s="29">
        <v>0</v>
      </c>
      <c r="J301" s="29">
        <v>50000</v>
      </c>
      <c r="K301" s="29">
        <f>IF(AND(F272&gt;I301, F272&lt;=J301),F272,0)</f>
        <v>0</v>
      </c>
      <c r="L301" s="29"/>
      <c r="M301" s="29">
        <f>0+(40/100)*(-I301+K301)</f>
        <v>0</v>
      </c>
      <c r="N301" s="79"/>
      <c r="O301" s="159"/>
    </row>
    <row r="302" spans="1:15" x14ac:dyDescent="0.2">
      <c r="A302" s="29">
        <f>E301</f>
        <v>50000</v>
      </c>
      <c r="B302" s="29"/>
      <c r="C302" s="29"/>
      <c r="D302" s="29"/>
      <c r="E302" s="29">
        <v>100000</v>
      </c>
      <c r="F302" s="29">
        <f>IF(AND(F272&gt;A302, F272&lt;=E302),F272,0)</f>
        <v>0</v>
      </c>
      <c r="G302" s="29">
        <f>(50000/100*35)+((50/100)*(-A302+F302))</f>
        <v>-7500</v>
      </c>
      <c r="H302" s="32"/>
      <c r="I302" s="29">
        <f>J301</f>
        <v>50000</v>
      </c>
      <c r="J302" s="29">
        <v>75000</v>
      </c>
      <c r="K302" s="29">
        <f>IF(AND(F272&gt;I302, F272&lt;=J302),F272,0)</f>
        <v>0</v>
      </c>
      <c r="L302" s="29"/>
      <c r="M302" s="29">
        <f>(50000/100*40)+((55/100)*(-I302+K302))</f>
        <v>-7500.0000000000036</v>
      </c>
      <c r="N302" s="79"/>
      <c r="O302" s="159"/>
    </row>
    <row r="303" spans="1:15" x14ac:dyDescent="0.2">
      <c r="A303" s="29">
        <f>E302</f>
        <v>100000</v>
      </c>
      <c r="B303" s="29"/>
      <c r="C303" s="29"/>
      <c r="D303" s="29"/>
      <c r="E303" s="29">
        <v>175000</v>
      </c>
      <c r="F303" s="29">
        <f>IF(AND(F272&gt;A303, F272&lt;=E303),F272,0)</f>
        <v>0</v>
      </c>
      <c r="G303" s="29">
        <f>(50000/100*35)+(50000/100*50)+((60/100)*(-A303+F303))</f>
        <v>-17500</v>
      </c>
      <c r="H303" s="32"/>
      <c r="I303" s="29">
        <f>J302</f>
        <v>75000</v>
      </c>
      <c r="J303" s="29">
        <v>175000</v>
      </c>
      <c r="K303" s="29">
        <f>IF(AND(F272&gt;I303, F272&lt;=J303),F272,0)</f>
        <v>0</v>
      </c>
      <c r="L303" s="29"/>
      <c r="M303" s="29">
        <f>(50000/100*40)+(25000/100*55)+((65/100)*(-I303+K303))</f>
        <v>-15000</v>
      </c>
      <c r="N303" s="79"/>
      <c r="O303" s="159"/>
    </row>
    <row r="304" spans="1:15" x14ac:dyDescent="0.2">
      <c r="A304" s="29">
        <f>E303</f>
        <v>175000</v>
      </c>
      <c r="B304" s="29"/>
      <c r="C304" s="29"/>
      <c r="D304" s="29"/>
      <c r="E304" s="29">
        <v>999999999</v>
      </c>
      <c r="F304" s="29">
        <f>IF(AND(F272&gt;A304, F272&lt;=E304),F272,0)</f>
        <v>0</v>
      </c>
      <c r="G304" s="29">
        <f>(50000/100*35)+(50000/100*50)+(75000/100*60)+((70/100)*(-A304+F304))</f>
        <v>-34999.999999999985</v>
      </c>
      <c r="H304" s="32"/>
      <c r="I304" s="29">
        <f>J303</f>
        <v>175000</v>
      </c>
      <c r="J304" s="29">
        <v>999999999</v>
      </c>
      <c r="K304" s="29">
        <f>IF(AND(F272&gt;I304, F272&lt;=J304),F272,0)</f>
        <v>0</v>
      </c>
      <c r="L304" s="29"/>
      <c r="M304" s="29">
        <f>(50000/100*40)+(25000/100*55)+(100000/100*65)+((80/100)*(-I304+K304))</f>
        <v>-41250</v>
      </c>
      <c r="N304" s="79"/>
      <c r="O304" s="159"/>
    </row>
    <row r="305" spans="1:15" x14ac:dyDescent="0.2">
      <c r="A305" s="29"/>
      <c r="B305" s="29"/>
      <c r="C305" s="29"/>
      <c r="D305" s="29"/>
      <c r="E305" s="29"/>
      <c r="F305" s="29"/>
      <c r="G305" s="29"/>
      <c r="H305" s="32"/>
      <c r="I305" s="29"/>
      <c r="J305" s="29"/>
      <c r="K305" s="29"/>
      <c r="L305" s="29"/>
      <c r="M305" s="29"/>
      <c r="N305" s="79"/>
      <c r="O305" s="159"/>
    </row>
    <row r="306" spans="1:15" x14ac:dyDescent="0.2">
      <c r="A306" s="29"/>
      <c r="B306" s="29"/>
      <c r="C306" s="29"/>
      <c r="D306" s="29"/>
      <c r="E306" s="29"/>
      <c r="F306" s="29"/>
      <c r="G306" s="29"/>
      <c r="H306" s="32"/>
      <c r="I306" s="29"/>
      <c r="J306" s="29"/>
      <c r="K306" s="29"/>
      <c r="L306" s="29"/>
      <c r="M306" s="29"/>
      <c r="N306" s="79"/>
      <c r="O306" s="159"/>
    </row>
    <row r="307" spans="1:15" x14ac:dyDescent="0.2">
      <c r="A307" s="29"/>
      <c r="B307" s="29"/>
      <c r="C307" s="29"/>
      <c r="D307" s="29"/>
      <c r="E307" s="29"/>
      <c r="F307" s="29"/>
      <c r="G307" s="29"/>
      <c r="H307" s="32"/>
      <c r="I307" s="29"/>
      <c r="J307" s="29"/>
      <c r="K307" s="29"/>
      <c r="L307" s="29"/>
      <c r="M307" s="29"/>
      <c r="N307" s="79"/>
      <c r="O307" s="159"/>
    </row>
    <row r="308" spans="1:15" x14ac:dyDescent="0.2">
      <c r="A308" s="54" t="s">
        <v>7</v>
      </c>
      <c r="B308" s="54"/>
      <c r="C308" s="54"/>
      <c r="D308" s="54"/>
      <c r="E308" s="29"/>
      <c r="F308" s="29"/>
      <c r="G308" s="29">
        <f>VLOOKUP(F272,F301:G304,2,FALSE)</f>
        <v>0</v>
      </c>
      <c r="H308" s="32"/>
      <c r="I308" s="54" t="s">
        <v>7</v>
      </c>
      <c r="J308" s="29"/>
      <c r="K308" s="29"/>
      <c r="L308" s="29"/>
      <c r="M308" s="29">
        <f>VLOOKUP(F272,K301:M304,3,FALSE)</f>
        <v>0</v>
      </c>
      <c r="N308" s="79"/>
      <c r="O308" s="159"/>
    </row>
    <row r="309" spans="1:15" x14ac:dyDescent="0.2">
      <c r="H309" s="32"/>
      <c r="N309" s="79"/>
      <c r="O309" s="159"/>
    </row>
    <row r="310" spans="1:15" x14ac:dyDescent="0.2">
      <c r="E310" s="29"/>
      <c r="F310" s="29"/>
      <c r="G310" s="29"/>
      <c r="H310" s="32"/>
      <c r="J310" s="29"/>
      <c r="K310" s="29"/>
      <c r="L310" s="29"/>
      <c r="M310" s="29"/>
      <c r="N310" s="79"/>
      <c r="O310" s="159"/>
    </row>
    <row r="311" spans="1:15" x14ac:dyDescent="0.2">
      <c r="E311" s="29"/>
      <c r="G311" s="29"/>
      <c r="N311" s="79"/>
      <c r="O311" s="79"/>
    </row>
    <row r="312" spans="1:15" x14ac:dyDescent="0.2">
      <c r="N312" s="79"/>
      <c r="O312" s="79"/>
    </row>
    <row r="313" spans="1:15" x14ac:dyDescent="0.2">
      <c r="E313" s="9" t="s">
        <v>84</v>
      </c>
      <c r="F313" s="9" t="s">
        <v>91</v>
      </c>
      <c r="N313" s="79"/>
      <c r="O313" s="79"/>
    </row>
    <row r="314" spans="1:15" x14ac:dyDescent="0.2">
      <c r="N314" s="79"/>
      <c r="O314" s="79"/>
    </row>
    <row r="315" spans="1:15" x14ac:dyDescent="0.2">
      <c r="E315" s="9" t="s">
        <v>84</v>
      </c>
      <c r="F315" s="9">
        <f>IF(DONBIB!J25=3,M280*12%,0)</f>
        <v>0</v>
      </c>
      <c r="G315" s="9">
        <f>IF(F315&gt;372,372,F315)</f>
        <v>0</v>
      </c>
      <c r="I315" s="9" t="s">
        <v>30</v>
      </c>
      <c r="J315" s="9">
        <f>M280*6%</f>
        <v>0</v>
      </c>
      <c r="K315" s="9">
        <f>IF(J315&gt;186,186,J315)</f>
        <v>0</v>
      </c>
      <c r="L315" s="9">
        <f>IF(DONBIB!J25=3,K315,0)</f>
        <v>0</v>
      </c>
      <c r="N315" s="79"/>
      <c r="O315" s="79"/>
    </row>
    <row r="316" spans="1:15" x14ac:dyDescent="0.2">
      <c r="F316" s="9">
        <f>IF(DONBIB!J25=4,M280*16%,0)</f>
        <v>0</v>
      </c>
      <c r="G316" s="9">
        <f>IF(F316&gt;496,496,F316)</f>
        <v>0</v>
      </c>
      <c r="I316" s="9" t="s">
        <v>31</v>
      </c>
      <c r="J316" s="9">
        <f>M280*8%</f>
        <v>0</v>
      </c>
      <c r="K316" s="9">
        <f>IF(J316&gt;248,248,J316)</f>
        <v>0</v>
      </c>
      <c r="L316" s="9">
        <f>IF(DONBIB!J25=4,K316,0)</f>
        <v>0</v>
      </c>
      <c r="N316" s="79"/>
      <c r="O316" s="79"/>
    </row>
    <row r="317" spans="1:15" x14ac:dyDescent="0.2">
      <c r="F317" s="9">
        <f>IF(DONBIB!J25=5,M280*20%,0)</f>
        <v>0</v>
      </c>
      <c r="G317" s="9">
        <f>IF(F317&gt;620,620,F317)</f>
        <v>0</v>
      </c>
      <c r="J317" s="9">
        <f>M280*10%</f>
        <v>0</v>
      </c>
      <c r="K317" s="9">
        <f>IF(J317&gt;310,310,J317)</f>
        <v>0</v>
      </c>
      <c r="L317" s="9">
        <f>IF(DONBIB!J25=5,K317,0)</f>
        <v>0</v>
      </c>
      <c r="N317" s="79"/>
      <c r="O317" s="79"/>
    </row>
    <row r="318" spans="1:15" x14ac:dyDescent="0.2">
      <c r="F318" s="9">
        <f>IF(DONBIB!J25=6,M280*24%,0)</f>
        <v>0</v>
      </c>
      <c r="G318" s="9">
        <f>IF(F318&gt;744,744,F318)</f>
        <v>0</v>
      </c>
      <c r="J318" s="9">
        <f>M280*12%</f>
        <v>0</v>
      </c>
      <c r="K318" s="9">
        <f>IF(J318&gt;372,372,J318)</f>
        <v>0</v>
      </c>
      <c r="L318" s="9">
        <f>IF(DONBIB!J25=6,K318,0)</f>
        <v>0</v>
      </c>
      <c r="N318" s="79"/>
      <c r="O318" s="79"/>
    </row>
    <row r="319" spans="1:15" x14ac:dyDescent="0.2">
      <c r="F319" s="9">
        <f>IF(DONBIB!J25=7,M280*28%,0)</f>
        <v>0</v>
      </c>
      <c r="G319" s="9">
        <f>IF(F319&gt;868,868,F319)</f>
        <v>0</v>
      </c>
      <c r="J319" s="9">
        <f>M280*14%</f>
        <v>0</v>
      </c>
      <c r="K319" s="9">
        <f>IF(J319&gt;434,434,J319)</f>
        <v>0</v>
      </c>
      <c r="L319" s="9">
        <f>IF(DONBIB!J25=7,K319,0)</f>
        <v>0</v>
      </c>
      <c r="N319" s="79"/>
      <c r="O319" s="79"/>
    </row>
    <row r="320" spans="1:15" x14ac:dyDescent="0.2">
      <c r="F320" s="9">
        <f>IF(DONBIB!J25=8,M280*32%,0)</f>
        <v>0</v>
      </c>
      <c r="G320" s="9">
        <f>IF(F320&gt;992,992,F320)</f>
        <v>0</v>
      </c>
      <c r="J320" s="9">
        <f>M280*16%</f>
        <v>0</v>
      </c>
      <c r="K320" s="9">
        <f>IF(J320&gt;496,496,J320)</f>
        <v>0</v>
      </c>
      <c r="L320" s="9">
        <f>IF(DONBIB!J25=8,K320,0)</f>
        <v>0</v>
      </c>
      <c r="N320" s="79"/>
      <c r="O320" s="79"/>
    </row>
    <row r="321" spans="1:15" x14ac:dyDescent="0.2">
      <c r="F321" s="9">
        <f>IF(DONBIB!J25=9,M280*36%,0)</f>
        <v>0</v>
      </c>
      <c r="G321" s="9">
        <f>IF(F321&gt;1116,1116,F321)</f>
        <v>0</v>
      </c>
      <c r="J321" s="9">
        <f>M280*18%</f>
        <v>0</v>
      </c>
      <c r="K321" s="9">
        <f>IF(J321&gt;558,558,J321)</f>
        <v>0</v>
      </c>
      <c r="L321" s="9">
        <f>IF(DONBIB!J25=9,K321,0)</f>
        <v>0</v>
      </c>
      <c r="N321" s="79"/>
      <c r="O321" s="79"/>
    </row>
    <row r="322" spans="1:15" x14ac:dyDescent="0.2">
      <c r="F322" s="9">
        <f>IF(DONBIB!J25=10,M280*40%,0)</f>
        <v>0</v>
      </c>
      <c r="G322" s="9">
        <f>IF(F322&gt;1240,1240,F322)</f>
        <v>0</v>
      </c>
      <c r="J322" s="9">
        <f>M280*20%</f>
        <v>0</v>
      </c>
      <c r="K322" s="9">
        <f>IF(J322&gt;620,620,J322)</f>
        <v>0</v>
      </c>
      <c r="L322" s="9">
        <f>IF(DONBIB!J25=10,K322,0)</f>
        <v>0</v>
      </c>
      <c r="N322" s="79"/>
      <c r="O322" s="79"/>
    </row>
    <row r="323" spans="1:15" x14ac:dyDescent="0.2">
      <c r="N323" s="79"/>
      <c r="O323" s="79"/>
    </row>
    <row r="324" spans="1:15" x14ac:dyDescent="0.2">
      <c r="G324" s="9">
        <f>SUM(G315:G323)</f>
        <v>0</v>
      </c>
      <c r="L324" s="9">
        <f>SUM(L315:L323)</f>
        <v>0</v>
      </c>
      <c r="N324" s="79"/>
      <c r="O324" s="79"/>
    </row>
    <row r="325" spans="1:15" x14ac:dyDescent="0.2">
      <c r="G325" s="22"/>
      <c r="N325" s="79"/>
      <c r="O325" s="79"/>
    </row>
    <row r="326" spans="1:15" x14ac:dyDescent="0.2">
      <c r="G326" s="22"/>
      <c r="N326" s="79"/>
      <c r="O326" s="79"/>
    </row>
    <row r="327" spans="1:15" x14ac:dyDescent="0.2">
      <c r="G327" s="22"/>
      <c r="N327" s="79"/>
      <c r="O327" s="79"/>
    </row>
    <row r="328" spans="1:15" x14ac:dyDescent="0.2">
      <c r="E328" s="9" t="s">
        <v>32</v>
      </c>
      <c r="F328" s="23">
        <f>M280-G324</f>
        <v>0</v>
      </c>
      <c r="G328" s="22"/>
      <c r="H328" s="9" t="s">
        <v>33</v>
      </c>
      <c r="I328" s="56">
        <f>M280-L324</f>
        <v>0</v>
      </c>
      <c r="N328" s="79"/>
      <c r="O328" s="79"/>
    </row>
    <row r="329" spans="1:15" x14ac:dyDescent="0.2">
      <c r="A329" s="79"/>
      <c r="B329" s="79"/>
      <c r="C329" s="79"/>
      <c r="D329" s="79"/>
      <c r="E329" s="95"/>
      <c r="F329" s="79"/>
      <c r="G329" s="95"/>
      <c r="H329" s="79"/>
      <c r="I329" s="79"/>
      <c r="J329" s="79"/>
      <c r="K329" s="79"/>
      <c r="L329" s="79"/>
      <c r="M329" s="79"/>
      <c r="N329" s="79"/>
      <c r="O329" s="79"/>
    </row>
    <row r="330" spans="1:15" x14ac:dyDescent="0.2">
      <c r="A330" s="79"/>
      <c r="B330" s="79"/>
      <c r="C330" s="79"/>
      <c r="D330" s="79"/>
      <c r="E330" s="95"/>
      <c r="F330" s="79"/>
      <c r="G330" s="95"/>
      <c r="H330" s="79"/>
      <c r="I330" s="79"/>
      <c r="J330" s="79"/>
      <c r="K330" s="79"/>
      <c r="L330" s="79"/>
      <c r="M330" s="79"/>
      <c r="N330" s="79"/>
      <c r="O330" s="79"/>
    </row>
    <row r="331" spans="1:15" x14ac:dyDescent="0.2">
      <c r="A331" s="79"/>
      <c r="B331" s="79"/>
      <c r="C331" s="79"/>
      <c r="D331" s="79"/>
      <c r="E331" s="95"/>
      <c r="F331" s="79"/>
      <c r="G331" s="95"/>
      <c r="H331" s="79"/>
      <c r="I331" s="79"/>
      <c r="J331" s="79"/>
      <c r="K331" s="79"/>
      <c r="L331" s="79"/>
      <c r="M331" s="79"/>
      <c r="N331" s="79"/>
      <c r="O331" s="79"/>
    </row>
    <row r="332" spans="1:15" x14ac:dyDescent="0.2">
      <c r="A332" s="79"/>
      <c r="B332" s="79"/>
      <c r="C332" s="79"/>
      <c r="D332" s="79"/>
      <c r="E332" s="95"/>
      <c r="F332" s="79"/>
      <c r="G332" s="95"/>
      <c r="H332" s="79"/>
      <c r="I332" s="79"/>
      <c r="J332" s="79"/>
      <c r="K332" s="79"/>
      <c r="L332" s="79"/>
      <c r="M332" s="79"/>
      <c r="N332" s="79"/>
      <c r="O332" s="79"/>
    </row>
    <row r="333" spans="1:15" x14ac:dyDescent="0.2">
      <c r="A333" s="79"/>
      <c r="B333" s="79"/>
      <c r="C333" s="79"/>
      <c r="D333" s="79"/>
      <c r="E333" s="95"/>
      <c r="F333" s="79"/>
      <c r="G333" s="95"/>
      <c r="H333" s="79"/>
      <c r="I333" s="79"/>
      <c r="J333" s="79"/>
      <c r="K333" s="79"/>
      <c r="L333" s="79"/>
      <c r="M333" s="79"/>
      <c r="N333" s="79"/>
      <c r="O333" s="79"/>
    </row>
    <row r="334" spans="1:15" x14ac:dyDescent="0.2">
      <c r="A334" s="79"/>
      <c r="B334" s="79"/>
      <c r="C334" s="79"/>
      <c r="D334" s="79"/>
      <c r="E334" s="95"/>
      <c r="F334" s="79"/>
      <c r="G334" s="95"/>
      <c r="H334" s="79"/>
      <c r="I334" s="79"/>
      <c r="J334" s="79"/>
      <c r="K334" s="79"/>
      <c r="L334" s="79"/>
      <c r="M334" s="79"/>
      <c r="N334" s="79"/>
      <c r="O334" s="79"/>
    </row>
    <row r="335" spans="1:15" x14ac:dyDescent="0.2">
      <c r="A335" s="79"/>
      <c r="B335" s="79"/>
      <c r="C335" s="79"/>
      <c r="D335" s="79"/>
      <c r="E335" s="95"/>
      <c r="F335" s="79"/>
      <c r="G335" s="95"/>
      <c r="H335" s="79"/>
      <c r="I335" s="79"/>
      <c r="J335" s="79"/>
      <c r="K335" s="79"/>
      <c r="L335" s="79"/>
      <c r="M335" s="79"/>
      <c r="N335" s="79"/>
      <c r="O335" s="79"/>
    </row>
    <row r="336" spans="1:15" x14ac:dyDescent="0.2">
      <c r="A336" s="79"/>
      <c r="B336" s="79"/>
      <c r="C336" s="79"/>
      <c r="D336" s="79"/>
      <c r="E336" s="95"/>
      <c r="F336" s="79"/>
      <c r="G336" s="95"/>
      <c r="H336" s="79"/>
      <c r="I336" s="79"/>
      <c r="J336" s="79"/>
      <c r="K336" s="79"/>
      <c r="L336" s="79"/>
      <c r="M336" s="79"/>
      <c r="N336" s="79"/>
      <c r="O336" s="79"/>
    </row>
    <row r="337" spans="1:15" x14ac:dyDescent="0.2">
      <c r="A337" s="79"/>
      <c r="B337" s="79"/>
      <c r="C337" s="79"/>
      <c r="D337" s="79"/>
      <c r="E337" s="95"/>
      <c r="F337" s="79"/>
      <c r="G337" s="95"/>
      <c r="H337" s="79"/>
      <c r="I337" s="79"/>
      <c r="J337" s="79"/>
      <c r="K337" s="79"/>
      <c r="L337" s="79"/>
      <c r="M337" s="79"/>
      <c r="N337" s="79"/>
      <c r="O337" s="79"/>
    </row>
    <row r="338" spans="1:15" x14ac:dyDescent="0.2">
      <c r="A338" s="79"/>
      <c r="B338" s="79"/>
      <c r="C338" s="79"/>
      <c r="D338" s="79"/>
      <c r="E338" s="95"/>
      <c r="F338" s="79"/>
      <c r="G338" s="95"/>
      <c r="H338" s="79"/>
      <c r="I338" s="79"/>
      <c r="J338" s="79"/>
      <c r="K338" s="79"/>
      <c r="L338" s="79"/>
      <c r="M338" s="79"/>
      <c r="N338" s="79"/>
      <c r="O338" s="79"/>
    </row>
    <row r="339" spans="1:15" x14ac:dyDescent="0.2">
      <c r="A339" s="79"/>
      <c r="B339" s="79"/>
      <c r="C339" s="79"/>
      <c r="D339" s="79"/>
      <c r="E339" s="95"/>
      <c r="F339" s="79"/>
      <c r="G339" s="95"/>
      <c r="H339" s="79"/>
      <c r="I339" s="79"/>
      <c r="J339" s="79"/>
      <c r="K339" s="79"/>
      <c r="L339" s="79"/>
      <c r="M339" s="79"/>
      <c r="N339" s="79"/>
      <c r="O339" s="79"/>
    </row>
    <row r="340" spans="1:15" x14ac:dyDescent="0.2">
      <c r="A340" s="79"/>
      <c r="B340" s="79"/>
      <c r="C340" s="79"/>
      <c r="D340" s="79"/>
      <c r="E340" s="95"/>
      <c r="F340" s="79"/>
      <c r="G340" s="95"/>
      <c r="H340" s="79"/>
      <c r="I340" s="79"/>
      <c r="J340" s="79"/>
      <c r="K340" s="79"/>
      <c r="L340" s="79"/>
      <c r="M340" s="79"/>
      <c r="N340" s="79"/>
      <c r="O340" s="79"/>
    </row>
    <row r="341" spans="1:15" x14ac:dyDescent="0.2">
      <c r="A341" s="79"/>
      <c r="B341" s="79"/>
      <c r="C341" s="79"/>
      <c r="D341" s="79"/>
      <c r="E341" s="95"/>
      <c r="F341" s="79"/>
      <c r="G341" s="95"/>
      <c r="H341" s="79"/>
      <c r="I341" s="79"/>
      <c r="J341" s="79"/>
      <c r="K341" s="79"/>
      <c r="L341" s="79"/>
      <c r="M341" s="79"/>
      <c r="N341" s="79"/>
      <c r="O341" s="79"/>
    </row>
    <row r="342" spans="1:15" x14ac:dyDescent="0.2">
      <c r="A342" s="79"/>
      <c r="B342" s="79"/>
      <c r="C342" s="79"/>
      <c r="D342" s="79"/>
      <c r="E342" s="95"/>
      <c r="F342" s="79"/>
      <c r="G342" s="95"/>
      <c r="H342" s="79"/>
      <c r="I342" s="79"/>
      <c r="J342" s="79"/>
      <c r="K342" s="79"/>
      <c r="L342" s="79"/>
      <c r="M342" s="79"/>
      <c r="N342" s="79"/>
      <c r="O342" s="79"/>
    </row>
    <row r="343" spans="1:15" x14ac:dyDescent="0.2">
      <c r="A343" s="79"/>
      <c r="B343" s="79"/>
      <c r="C343" s="79"/>
      <c r="D343" s="79"/>
      <c r="E343" s="95"/>
      <c r="F343" s="79"/>
      <c r="G343" s="95"/>
      <c r="H343" s="79"/>
      <c r="I343" s="79"/>
      <c r="J343" s="79"/>
      <c r="K343" s="79"/>
      <c r="L343" s="79"/>
      <c r="M343" s="79"/>
      <c r="N343" s="79"/>
      <c r="O343" s="79"/>
    </row>
    <row r="344" spans="1:15" x14ac:dyDescent="0.2">
      <c r="A344" s="79"/>
      <c r="B344" s="79"/>
      <c r="C344" s="79"/>
      <c r="D344" s="79"/>
      <c r="E344" s="95"/>
      <c r="F344" s="79"/>
      <c r="G344" s="95"/>
      <c r="H344" s="79"/>
      <c r="I344" s="79"/>
      <c r="J344" s="79"/>
      <c r="K344" s="79"/>
      <c r="L344" s="79"/>
      <c r="M344" s="79"/>
      <c r="N344" s="79"/>
      <c r="O344" s="79"/>
    </row>
    <row r="345" spans="1:15" x14ac:dyDescent="0.2">
      <c r="A345" s="79"/>
      <c r="B345" s="79"/>
      <c r="C345" s="79"/>
      <c r="D345" s="79"/>
      <c r="E345" s="95"/>
      <c r="F345" s="79"/>
      <c r="G345" s="95"/>
      <c r="H345" s="79"/>
      <c r="I345" s="79"/>
      <c r="J345" s="79"/>
      <c r="K345" s="79"/>
      <c r="L345" s="79"/>
      <c r="M345" s="79"/>
      <c r="N345" s="79"/>
      <c r="O345" s="79"/>
    </row>
    <row r="346" spans="1:15" x14ac:dyDescent="0.2">
      <c r="A346" s="79"/>
      <c r="B346" s="79"/>
      <c r="C346" s="79"/>
      <c r="D346" s="79"/>
      <c r="E346" s="95"/>
      <c r="F346" s="79"/>
      <c r="G346" s="95"/>
      <c r="H346" s="79"/>
      <c r="I346" s="79"/>
      <c r="J346" s="79"/>
      <c r="K346" s="79"/>
      <c r="L346" s="79"/>
      <c r="M346" s="79"/>
      <c r="N346" s="79"/>
      <c r="O346" s="79"/>
    </row>
    <row r="347" spans="1:15" x14ac:dyDescent="0.2">
      <c r="A347" s="79"/>
      <c r="B347" s="79"/>
      <c r="C347" s="79"/>
      <c r="D347" s="79"/>
      <c r="E347" s="95"/>
      <c r="F347" s="79"/>
      <c r="G347" s="95"/>
      <c r="H347" s="79"/>
      <c r="I347" s="79"/>
      <c r="J347" s="79"/>
      <c r="K347" s="79"/>
      <c r="L347" s="79"/>
      <c r="M347" s="79"/>
      <c r="N347" s="79"/>
      <c r="O347" s="79"/>
    </row>
    <row r="348" spans="1:15" x14ac:dyDescent="0.2">
      <c r="A348" s="79"/>
      <c r="B348" s="79"/>
      <c r="C348" s="79"/>
      <c r="D348" s="79"/>
      <c r="E348" s="95"/>
      <c r="F348" s="79"/>
      <c r="G348" s="95"/>
      <c r="H348" s="79"/>
      <c r="I348" s="79"/>
      <c r="J348" s="79"/>
      <c r="K348" s="79"/>
      <c r="L348" s="79"/>
      <c r="M348" s="79"/>
      <c r="N348" s="79"/>
      <c r="O348" s="79"/>
    </row>
    <row r="349" spans="1:15" x14ac:dyDescent="0.2">
      <c r="A349" s="79"/>
      <c r="B349" s="79"/>
      <c r="C349" s="79"/>
      <c r="D349" s="79"/>
      <c r="E349" s="95"/>
      <c r="F349" s="79"/>
      <c r="G349" s="95"/>
      <c r="H349" s="79"/>
      <c r="I349" s="79"/>
      <c r="J349" s="79"/>
      <c r="K349" s="79"/>
      <c r="L349" s="79"/>
      <c r="M349" s="79"/>
      <c r="N349" s="79"/>
      <c r="O349" s="79"/>
    </row>
    <row r="350" spans="1:15" x14ac:dyDescent="0.2">
      <c r="A350" s="79"/>
      <c r="B350" s="79"/>
      <c r="C350" s="79"/>
      <c r="D350" s="79"/>
      <c r="E350" s="95"/>
      <c r="F350" s="79"/>
      <c r="G350" s="95"/>
      <c r="H350" s="79"/>
      <c r="I350" s="79"/>
      <c r="J350" s="79"/>
      <c r="K350" s="79"/>
      <c r="L350" s="79"/>
      <c r="M350" s="79"/>
      <c r="N350" s="79"/>
      <c r="O350" s="79"/>
    </row>
    <row r="351" spans="1:15" x14ac:dyDescent="0.2">
      <c r="A351" s="79"/>
      <c r="B351" s="79"/>
      <c r="C351" s="79"/>
      <c r="D351" s="79"/>
      <c r="E351" s="95"/>
      <c r="F351" s="79"/>
      <c r="G351" s="95"/>
      <c r="H351" s="79"/>
      <c r="I351" s="79"/>
      <c r="J351" s="79"/>
      <c r="K351" s="79"/>
      <c r="L351" s="79"/>
      <c r="M351" s="79"/>
      <c r="N351" s="79"/>
      <c r="O351" s="79"/>
    </row>
    <row r="352" spans="1:15" x14ac:dyDescent="0.2">
      <c r="A352" s="79"/>
      <c r="B352" s="79"/>
      <c r="C352" s="79"/>
      <c r="D352" s="79"/>
      <c r="E352" s="95"/>
      <c r="F352" s="79"/>
      <c r="G352" s="95"/>
      <c r="H352" s="79"/>
      <c r="I352" s="79"/>
      <c r="J352" s="79"/>
      <c r="K352" s="79"/>
      <c r="L352" s="79"/>
      <c r="M352" s="79"/>
      <c r="N352" s="79"/>
      <c r="O352" s="79"/>
    </row>
    <row r="353" spans="1:15" x14ac:dyDescent="0.2">
      <c r="A353" s="79"/>
      <c r="B353" s="79"/>
      <c r="C353" s="79"/>
      <c r="D353" s="79"/>
      <c r="E353" s="95"/>
      <c r="F353" s="79"/>
      <c r="G353" s="95"/>
      <c r="H353" s="79"/>
      <c r="I353" s="79"/>
      <c r="J353" s="79"/>
      <c r="K353" s="79"/>
      <c r="L353" s="79"/>
      <c r="M353" s="79"/>
      <c r="N353" s="79"/>
      <c r="O353" s="79"/>
    </row>
    <row r="354" spans="1:15" x14ac:dyDescent="0.2">
      <c r="A354" s="79"/>
      <c r="B354" s="79"/>
      <c r="C354" s="79"/>
      <c r="D354" s="79"/>
      <c r="E354" s="95"/>
      <c r="F354" s="79"/>
      <c r="G354" s="95"/>
      <c r="H354" s="79"/>
      <c r="I354" s="79"/>
      <c r="J354" s="79"/>
      <c r="K354" s="79"/>
      <c r="L354" s="79"/>
      <c r="M354" s="79"/>
      <c r="N354" s="79"/>
      <c r="O354" s="79"/>
    </row>
    <row r="355" spans="1:15" x14ac:dyDescent="0.2">
      <c r="A355" s="79"/>
      <c r="B355" s="79"/>
      <c r="C355" s="79"/>
      <c r="D355" s="79"/>
      <c r="E355" s="95"/>
      <c r="F355" s="79"/>
      <c r="G355" s="95"/>
      <c r="H355" s="79"/>
      <c r="I355" s="79"/>
      <c r="J355" s="79"/>
      <c r="K355" s="79"/>
      <c r="L355" s="79"/>
      <c r="M355" s="79"/>
      <c r="N355" s="79"/>
      <c r="O355" s="79"/>
    </row>
    <row r="356" spans="1:15" x14ac:dyDescent="0.2">
      <c r="A356" s="79"/>
      <c r="B356" s="79"/>
      <c r="C356" s="79"/>
      <c r="D356" s="79"/>
      <c r="E356" s="95"/>
      <c r="F356" s="79"/>
      <c r="G356" s="95"/>
      <c r="H356" s="79"/>
      <c r="I356" s="79"/>
      <c r="J356" s="79"/>
      <c r="K356" s="79"/>
      <c r="L356" s="79"/>
      <c r="M356" s="79"/>
      <c r="N356" s="79"/>
      <c r="O356" s="79"/>
    </row>
    <row r="357" spans="1:15" x14ac:dyDescent="0.2">
      <c r="A357" s="79"/>
      <c r="B357" s="79"/>
      <c r="C357" s="79"/>
      <c r="D357" s="79"/>
      <c r="E357" s="95"/>
      <c r="F357" s="79"/>
      <c r="G357" s="95"/>
      <c r="H357" s="79"/>
      <c r="I357" s="79"/>
      <c r="J357" s="79"/>
      <c r="K357" s="79"/>
      <c r="L357" s="79"/>
      <c r="M357" s="79"/>
      <c r="N357" s="79"/>
      <c r="O357" s="79"/>
    </row>
    <row r="358" spans="1:15" x14ac:dyDescent="0.2">
      <c r="A358" s="79"/>
      <c r="B358" s="79"/>
      <c r="C358" s="79"/>
      <c r="D358" s="79"/>
      <c r="E358" s="95"/>
      <c r="F358" s="79"/>
      <c r="G358" s="95"/>
      <c r="H358" s="79"/>
      <c r="I358" s="79"/>
      <c r="J358" s="79"/>
      <c r="K358" s="79"/>
      <c r="L358" s="79"/>
      <c r="M358" s="79"/>
      <c r="N358" s="79"/>
      <c r="O358" s="79"/>
    </row>
    <row r="359" spans="1:15" x14ac:dyDescent="0.2">
      <c r="A359" s="79"/>
      <c r="B359" s="79"/>
      <c r="C359" s="79"/>
      <c r="D359" s="79"/>
      <c r="E359" s="95"/>
      <c r="F359" s="79"/>
      <c r="G359" s="95"/>
      <c r="H359" s="79"/>
      <c r="I359" s="79"/>
      <c r="J359" s="79"/>
      <c r="K359" s="79"/>
      <c r="L359" s="79"/>
      <c r="M359" s="79"/>
      <c r="N359" s="79"/>
      <c r="O359" s="79"/>
    </row>
    <row r="360" spans="1:15" x14ac:dyDescent="0.2">
      <c r="A360" s="79"/>
      <c r="B360" s="79"/>
      <c r="C360" s="79"/>
      <c r="D360" s="79"/>
      <c r="E360" s="95"/>
      <c r="F360" s="79"/>
      <c r="G360" s="95"/>
      <c r="H360" s="79"/>
      <c r="I360" s="79"/>
      <c r="J360" s="79"/>
      <c r="K360" s="79"/>
      <c r="L360" s="79"/>
      <c r="M360" s="79"/>
      <c r="N360" s="79"/>
      <c r="O360" s="79"/>
    </row>
    <row r="361" spans="1:15" x14ac:dyDescent="0.2">
      <c r="A361" s="79"/>
      <c r="B361" s="79"/>
      <c r="C361" s="79"/>
      <c r="D361" s="79"/>
      <c r="E361" s="95"/>
      <c r="F361" s="79"/>
      <c r="G361" s="95"/>
      <c r="H361" s="79"/>
      <c r="I361" s="79"/>
      <c r="J361" s="79"/>
      <c r="K361" s="79"/>
      <c r="L361" s="79"/>
      <c r="M361" s="79"/>
      <c r="N361" s="79"/>
      <c r="O361" s="79"/>
    </row>
    <row r="362" spans="1:15" x14ac:dyDescent="0.2">
      <c r="A362" s="79"/>
      <c r="B362" s="79"/>
      <c r="C362" s="79"/>
      <c r="D362" s="79"/>
      <c r="E362" s="95"/>
      <c r="F362" s="79"/>
      <c r="G362" s="95"/>
      <c r="H362" s="79"/>
      <c r="I362" s="79"/>
      <c r="J362" s="79"/>
      <c r="K362" s="79"/>
      <c r="L362" s="79"/>
      <c r="M362" s="79"/>
      <c r="N362" s="79"/>
      <c r="O362" s="79"/>
    </row>
    <row r="363" spans="1:15" x14ac:dyDescent="0.2">
      <c r="A363" s="79"/>
      <c r="B363" s="79"/>
      <c r="C363" s="79"/>
      <c r="D363" s="79"/>
      <c r="E363" s="95"/>
      <c r="F363" s="79"/>
      <c r="G363" s="95"/>
      <c r="H363" s="79"/>
      <c r="I363" s="79"/>
      <c r="J363" s="79"/>
      <c r="K363" s="79"/>
      <c r="L363" s="79"/>
      <c r="M363" s="79"/>
      <c r="N363" s="79"/>
      <c r="O363" s="79"/>
    </row>
    <row r="364" spans="1:15" x14ac:dyDescent="0.2">
      <c r="A364" s="79"/>
      <c r="B364" s="79"/>
      <c r="C364" s="79"/>
      <c r="D364" s="79"/>
      <c r="E364" s="95"/>
      <c r="F364" s="79"/>
      <c r="G364" s="95"/>
      <c r="H364" s="79"/>
      <c r="I364" s="79"/>
      <c r="J364" s="79"/>
      <c r="K364" s="79"/>
      <c r="L364" s="79"/>
      <c r="M364" s="79"/>
      <c r="N364" s="79"/>
      <c r="O364" s="79"/>
    </row>
    <row r="365" spans="1:15" x14ac:dyDescent="0.2">
      <c r="A365" s="79"/>
      <c r="B365" s="79"/>
      <c r="C365" s="79"/>
      <c r="D365" s="79"/>
      <c r="E365" s="95"/>
      <c r="F365" s="79"/>
      <c r="G365" s="95"/>
      <c r="H365" s="79"/>
      <c r="I365" s="79"/>
      <c r="J365" s="79"/>
      <c r="K365" s="79"/>
      <c r="L365" s="79"/>
      <c r="M365" s="79"/>
      <c r="N365" s="79"/>
      <c r="O365" s="79"/>
    </row>
    <row r="366" spans="1:15" x14ac:dyDescent="0.2">
      <c r="A366" s="79"/>
      <c r="B366" s="79"/>
      <c r="C366" s="79"/>
      <c r="D366" s="79"/>
      <c r="E366" s="95"/>
      <c r="F366" s="79"/>
      <c r="G366" s="95"/>
      <c r="H366" s="79"/>
      <c r="I366" s="79"/>
      <c r="J366" s="79"/>
      <c r="K366" s="79"/>
      <c r="L366" s="79"/>
      <c r="M366" s="79"/>
      <c r="N366" s="79"/>
      <c r="O366" s="79"/>
    </row>
    <row r="367" spans="1:15" x14ac:dyDescent="0.2">
      <c r="A367" s="79"/>
      <c r="B367" s="79"/>
      <c r="C367" s="79"/>
      <c r="D367" s="79"/>
      <c r="E367" s="95"/>
      <c r="F367" s="79"/>
      <c r="G367" s="95"/>
      <c r="H367" s="79"/>
      <c r="I367" s="79"/>
      <c r="J367" s="79"/>
      <c r="K367" s="79"/>
      <c r="L367" s="79"/>
      <c r="M367" s="79"/>
      <c r="N367" s="79"/>
      <c r="O367" s="79"/>
    </row>
    <row r="368" spans="1:15" x14ac:dyDescent="0.2">
      <c r="A368" s="79"/>
      <c r="B368" s="79"/>
      <c r="C368" s="79"/>
      <c r="D368" s="79"/>
      <c r="E368" s="95"/>
      <c r="F368" s="79"/>
      <c r="G368" s="95"/>
      <c r="H368" s="79"/>
      <c r="I368" s="79"/>
      <c r="J368" s="79"/>
      <c r="K368" s="79"/>
      <c r="L368" s="79"/>
      <c r="M368" s="79"/>
      <c r="N368" s="79"/>
      <c r="O368" s="79"/>
    </row>
    <row r="369" spans="1:15" x14ac:dyDescent="0.2">
      <c r="A369" s="79"/>
      <c r="B369" s="79"/>
      <c r="C369" s="79"/>
      <c r="D369" s="79"/>
      <c r="E369" s="95"/>
      <c r="F369" s="79"/>
      <c r="G369" s="95"/>
      <c r="H369" s="79"/>
      <c r="I369" s="79"/>
      <c r="J369" s="79"/>
      <c r="K369" s="79"/>
      <c r="L369" s="79"/>
      <c r="M369" s="79"/>
      <c r="N369" s="79"/>
      <c r="O369" s="79"/>
    </row>
    <row r="370" spans="1:15" x14ac:dyDescent="0.2">
      <c r="A370" s="79"/>
      <c r="B370" s="79"/>
      <c r="C370" s="79"/>
      <c r="D370" s="79"/>
      <c r="E370" s="95"/>
      <c r="F370" s="79"/>
      <c r="G370" s="95"/>
      <c r="H370" s="79"/>
      <c r="I370" s="79"/>
      <c r="J370" s="79"/>
      <c r="K370" s="79"/>
      <c r="L370" s="79"/>
      <c r="M370" s="79"/>
      <c r="N370" s="79"/>
      <c r="O370" s="79"/>
    </row>
    <row r="371" spans="1:15" x14ac:dyDescent="0.2">
      <c r="A371" s="79"/>
      <c r="B371" s="79"/>
      <c r="C371" s="79"/>
      <c r="D371" s="79"/>
      <c r="E371" s="95"/>
      <c r="F371" s="79"/>
      <c r="G371" s="95"/>
      <c r="H371" s="79"/>
      <c r="I371" s="79"/>
      <c r="J371" s="79"/>
      <c r="K371" s="79"/>
      <c r="L371" s="79"/>
      <c r="M371" s="79"/>
      <c r="N371" s="79"/>
      <c r="O371" s="79"/>
    </row>
    <row r="372" spans="1:15" x14ac:dyDescent="0.2">
      <c r="A372" s="79"/>
      <c r="B372" s="79"/>
      <c r="C372" s="79"/>
      <c r="D372" s="79"/>
      <c r="E372" s="95"/>
      <c r="F372" s="79"/>
      <c r="G372" s="95"/>
      <c r="H372" s="79"/>
      <c r="I372" s="79"/>
      <c r="J372" s="79"/>
      <c r="K372" s="79"/>
      <c r="L372" s="79"/>
      <c r="M372" s="79"/>
      <c r="N372" s="79"/>
      <c r="O372" s="79"/>
    </row>
    <row r="373" spans="1:15" x14ac:dyDescent="0.2">
      <c r="A373" s="79"/>
      <c r="B373" s="79"/>
      <c r="C373" s="79"/>
      <c r="D373" s="79"/>
      <c r="E373" s="95"/>
      <c r="F373" s="79"/>
      <c r="G373" s="95"/>
      <c r="H373" s="79"/>
      <c r="I373" s="79"/>
      <c r="J373" s="79"/>
      <c r="K373" s="79"/>
      <c r="L373" s="79"/>
      <c r="M373" s="79"/>
      <c r="N373" s="79"/>
      <c r="O373" s="79"/>
    </row>
    <row r="374" spans="1:15" x14ac:dyDescent="0.2">
      <c r="A374" s="172"/>
      <c r="B374" s="172"/>
      <c r="C374" s="172"/>
      <c r="D374" s="172"/>
      <c r="E374" s="95"/>
      <c r="F374" s="173"/>
      <c r="G374" s="95"/>
      <c r="H374" s="95"/>
      <c r="I374" s="174"/>
      <c r="J374" s="175"/>
      <c r="K374" s="174"/>
      <c r="L374" s="174"/>
      <c r="M374" s="174"/>
      <c r="N374" s="79"/>
      <c r="O374" s="79"/>
    </row>
    <row r="375" spans="1:15" x14ac:dyDescent="0.2">
      <c r="A375" s="29" t="s">
        <v>4</v>
      </c>
      <c r="B375" s="29"/>
      <c r="C375" s="29"/>
      <c r="D375" s="29"/>
      <c r="E375" s="29"/>
      <c r="F375" s="29">
        <f>DONBIB!G32</f>
        <v>0</v>
      </c>
      <c r="G375" s="49"/>
      <c r="H375" s="29"/>
      <c r="I375" s="29"/>
      <c r="J375" s="50"/>
      <c r="K375" s="29"/>
      <c r="L375" s="29"/>
      <c r="M375" s="29">
        <f>IF(AND(DONBIB!I30="oui",DONBIB!F30="ligne directe"),H387,0)</f>
        <v>0</v>
      </c>
      <c r="N375" s="79"/>
      <c r="O375" s="79"/>
    </row>
    <row r="376" spans="1:15" x14ac:dyDescent="0.2">
      <c r="A376" s="29"/>
      <c r="B376" s="29"/>
      <c r="C376" s="29"/>
      <c r="D376" s="29"/>
      <c r="E376" s="29"/>
      <c r="F376" s="29"/>
      <c r="G376" s="29"/>
      <c r="H376" s="29"/>
      <c r="I376" s="29"/>
      <c r="J376" s="50"/>
      <c r="K376" s="29"/>
      <c r="L376" s="29"/>
      <c r="M376" s="29">
        <f>IF(AND(DONBIB!I30="oui",DONBIB!F30="épou(x)(se)"),H387,0)</f>
        <v>0</v>
      </c>
      <c r="N376" s="79"/>
      <c r="O376" s="79"/>
    </row>
    <row r="377" spans="1:15" x14ac:dyDescent="0.2">
      <c r="A377" s="52" t="s">
        <v>5</v>
      </c>
      <c r="B377" s="52"/>
      <c r="C377" s="52"/>
      <c r="D377" s="52"/>
      <c r="E377" s="29"/>
      <c r="F377" s="29"/>
      <c r="G377" s="53" t="s">
        <v>6</v>
      </c>
      <c r="H377" s="53" t="s">
        <v>25</v>
      </c>
      <c r="I377" s="29"/>
      <c r="J377" s="50"/>
      <c r="K377" s="29"/>
      <c r="L377" s="29"/>
      <c r="M377" s="29">
        <f>IF(AND(DONBIB!I30="non",DONBIB!F30="ligne directe"),G387,0)</f>
        <v>0</v>
      </c>
      <c r="N377" s="79"/>
      <c r="O377" s="79"/>
    </row>
    <row r="378" spans="1:15" x14ac:dyDescent="0.2">
      <c r="A378" s="29">
        <v>0</v>
      </c>
      <c r="B378" s="29"/>
      <c r="C378" s="29"/>
      <c r="D378" s="29"/>
      <c r="E378" s="29">
        <v>50000</v>
      </c>
      <c r="F378" s="29">
        <f>IF(AND(F375&gt;A378, F375&lt;=E378),F375,0)</f>
        <v>0</v>
      </c>
      <c r="G378" s="29">
        <f>0+(3/100)*(-A378+F378)</f>
        <v>0</v>
      </c>
      <c r="H378" s="29">
        <f>0+(2/100)*(-A378+F378)</f>
        <v>0</v>
      </c>
      <c r="I378" s="29"/>
      <c r="J378" s="50"/>
      <c r="K378" s="29"/>
      <c r="L378" s="29"/>
      <c r="M378" s="29">
        <f>IF(AND(DONBIB!I30="non",DONBIB!F30="épou(x)(se)"),G387,0)</f>
        <v>0</v>
      </c>
      <c r="N378" s="79"/>
      <c r="O378" s="79"/>
    </row>
    <row r="379" spans="1:15" x14ac:dyDescent="0.2">
      <c r="A379" s="29">
        <f>E378</f>
        <v>50000</v>
      </c>
      <c r="B379" s="29"/>
      <c r="C379" s="29"/>
      <c r="D379" s="29"/>
      <c r="E379" s="29">
        <v>100000</v>
      </c>
      <c r="F379" s="29">
        <f>IF(AND(F375&gt;A379, F375&lt;=E379),F375,0)</f>
        <v>0</v>
      </c>
      <c r="G379" s="29">
        <f>(50000/100*3)+(8/100)*(-A379+F379)</f>
        <v>-2500</v>
      </c>
      <c r="H379" s="29">
        <f>(50000/100*2)+(5.3/100)*(-A379+F379)</f>
        <v>-1650</v>
      </c>
      <c r="I379" s="29"/>
      <c r="J379" s="50"/>
      <c r="K379" s="29"/>
      <c r="L379" s="29"/>
      <c r="M379" s="29">
        <f>IF(DONBIB!F30="frère/soeur",G398,0)</f>
        <v>0</v>
      </c>
      <c r="N379" s="79"/>
      <c r="O379" s="79"/>
    </row>
    <row r="380" spans="1:15" x14ac:dyDescent="0.2">
      <c r="A380" s="29">
        <f>E379</f>
        <v>100000</v>
      </c>
      <c r="B380" s="29"/>
      <c r="C380" s="29"/>
      <c r="D380" s="29"/>
      <c r="E380" s="29">
        <v>175000</v>
      </c>
      <c r="F380" s="29">
        <f>IF(AND(F375&gt;A380, F375&lt;=E380),F375,0)</f>
        <v>0</v>
      </c>
      <c r="G380" s="29">
        <f>(50000/100*3)+(50000/100*8)+((9/100)*(-A380+F380))</f>
        <v>-3500</v>
      </c>
      <c r="H380" s="29">
        <f>(50000/100*2)+(50000/100*5.3)+((6/100)*(-A380+F380))</f>
        <v>-2350</v>
      </c>
      <c r="I380" s="29"/>
      <c r="J380" s="50"/>
      <c r="K380" s="29"/>
      <c r="L380" s="29"/>
      <c r="M380" s="29">
        <f>IF(DONBIB!F30="oncle-tante/neveu-nièce",G411,0)</f>
        <v>0</v>
      </c>
      <c r="N380" s="79"/>
      <c r="O380" s="79"/>
    </row>
    <row r="381" spans="1:15" x14ac:dyDescent="0.2">
      <c r="A381" s="29">
        <f>E380</f>
        <v>175000</v>
      </c>
      <c r="B381" s="29"/>
      <c r="C381" s="29"/>
      <c r="D381" s="29"/>
      <c r="E381" s="29">
        <v>250000</v>
      </c>
      <c r="F381" s="29">
        <f>IF(AND(F375&gt;A381, F375&lt;=E381),F375,0)</f>
        <v>0</v>
      </c>
      <c r="G381" s="29">
        <f>(50000/100*3)+(50000/100*8)+(75000/100*9)+((18/100)*(-A381+F381))</f>
        <v>-19250</v>
      </c>
      <c r="H381" s="29">
        <f>(50000/100*2)+(50000/100*5.3)+(75000/100*6)+((12/100)*(-A381+F381))</f>
        <v>-12850</v>
      </c>
      <c r="I381" s="29"/>
      <c r="J381" s="50"/>
      <c r="K381" s="29"/>
      <c r="L381" s="29"/>
      <c r="M381" s="29">
        <f>IF(DONBIB!F30="étrangers",M411,0)</f>
        <v>0</v>
      </c>
      <c r="N381" s="79"/>
      <c r="O381" s="79"/>
    </row>
    <row r="382" spans="1:15" x14ac:dyDescent="0.2">
      <c r="A382" s="29">
        <f>E381</f>
        <v>250000</v>
      </c>
      <c r="B382" s="29"/>
      <c r="C382" s="29"/>
      <c r="D382" s="29"/>
      <c r="E382" s="29">
        <v>500000</v>
      </c>
      <c r="F382" s="29">
        <f>IF(AND(F375&gt;A382, F375&lt;=E382),F375,0)</f>
        <v>0</v>
      </c>
      <c r="G382" s="29">
        <f>(50000/100*3)+(50000/100*8)+(75000/100*9)+(75000/100*18)+((24/100)*(-A382+F382))</f>
        <v>-34250</v>
      </c>
      <c r="H382" s="29">
        <f>(50000/100*2)+(50000/100*5.3)+(75000/100*6)+(75000/100*12)+((24/100)*(-A382+F382))</f>
        <v>-42850</v>
      </c>
      <c r="I382" s="29"/>
      <c r="J382" s="29"/>
      <c r="K382" s="29"/>
      <c r="L382" s="29"/>
      <c r="M382" s="29"/>
      <c r="N382" s="79"/>
      <c r="O382" s="79"/>
    </row>
    <row r="383" spans="1:15" x14ac:dyDescent="0.2">
      <c r="A383" s="29">
        <f>E382</f>
        <v>500000</v>
      </c>
      <c r="B383" s="29"/>
      <c r="C383" s="29"/>
      <c r="D383" s="29"/>
      <c r="E383" s="29">
        <v>999999999</v>
      </c>
      <c r="F383" s="29">
        <f>IF(AND(F375&gt;A383, F375&lt;=E383),F375,0)</f>
        <v>0</v>
      </c>
      <c r="G383" s="29">
        <f>(50000/100*3)+(50000/100*8)+(75000/100*9)+(75000/100*18)+(250000/100*24)+((30/100)*(-A383+F383))</f>
        <v>-64250</v>
      </c>
      <c r="H383" s="29">
        <f>(50000/100*2)+(50000/100*5.3)+(75000/100*6)+(75000/100*12)+(250000/100*24)+((30/100)*(-A383+F383))</f>
        <v>-72850</v>
      </c>
      <c r="I383" s="29"/>
      <c r="J383" s="29"/>
      <c r="K383" s="29"/>
      <c r="L383" s="29"/>
      <c r="M383" s="29">
        <f>SUM(M375:M382)</f>
        <v>0</v>
      </c>
      <c r="N383" s="79"/>
      <c r="O383" s="79"/>
    </row>
    <row r="384" spans="1:15" x14ac:dyDescent="0.2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79"/>
      <c r="O384" s="79"/>
    </row>
    <row r="385" spans="1:15" x14ac:dyDescent="0.2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79"/>
      <c r="O385" s="79"/>
    </row>
    <row r="386" spans="1:15" x14ac:dyDescent="0.2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79"/>
      <c r="O386" s="79"/>
    </row>
    <row r="387" spans="1:15" x14ac:dyDescent="0.2">
      <c r="A387" s="54" t="s">
        <v>7</v>
      </c>
      <c r="B387" s="54"/>
      <c r="C387" s="54"/>
      <c r="D387" s="54"/>
      <c r="E387" s="29"/>
      <c r="F387" s="29"/>
      <c r="G387" s="29">
        <f>VLOOKUP(F375,F378:G383,2,FALSE)</f>
        <v>0</v>
      </c>
      <c r="H387" s="29">
        <f>VLOOKUP(F375,F378:H383,3,FALSE)</f>
        <v>0</v>
      </c>
      <c r="I387" s="29"/>
      <c r="J387" s="29"/>
      <c r="K387" s="29"/>
      <c r="L387" s="29"/>
      <c r="M387" s="29"/>
      <c r="N387" s="79"/>
      <c r="O387" s="79"/>
    </row>
    <row r="388" spans="1:15" x14ac:dyDescent="0.2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79"/>
      <c r="O388" s="79"/>
    </row>
    <row r="389" spans="1:15" x14ac:dyDescent="0.2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79"/>
      <c r="O389" s="79"/>
    </row>
    <row r="390" spans="1:15" x14ac:dyDescent="0.2">
      <c r="A390" s="52" t="s">
        <v>8</v>
      </c>
      <c r="B390" s="52"/>
      <c r="C390" s="52"/>
      <c r="D390" s="52"/>
      <c r="E390" s="29"/>
      <c r="F390" s="29"/>
      <c r="G390" s="53" t="s">
        <v>9</v>
      </c>
      <c r="H390" s="53"/>
      <c r="I390" s="42"/>
      <c r="J390" s="42"/>
      <c r="K390" s="42"/>
      <c r="L390" s="42"/>
      <c r="M390" s="42"/>
      <c r="N390" s="79"/>
      <c r="O390" s="79"/>
    </row>
    <row r="391" spans="1:15" x14ac:dyDescent="0.2">
      <c r="A391" s="29">
        <v>0</v>
      </c>
      <c r="B391" s="29"/>
      <c r="C391" s="29"/>
      <c r="D391" s="29"/>
      <c r="E391" s="29">
        <v>12500</v>
      </c>
      <c r="F391" s="29">
        <f>IF(AND(F375&gt;A391, F375&lt;=E391),F375,0)</f>
        <v>0</v>
      </c>
      <c r="G391" s="29">
        <f>0+(20/100)*(-A391+F391)</f>
        <v>0</v>
      </c>
      <c r="H391" s="29"/>
      <c r="I391" s="29"/>
      <c r="J391" s="29"/>
      <c r="K391" s="29"/>
      <c r="L391" s="29"/>
      <c r="M391" s="29"/>
      <c r="N391" s="79"/>
      <c r="O391" s="79"/>
    </row>
    <row r="392" spans="1:15" x14ac:dyDescent="0.2">
      <c r="A392" s="29">
        <f>E391</f>
        <v>12500</v>
      </c>
      <c r="B392" s="29"/>
      <c r="C392" s="29"/>
      <c r="D392" s="29"/>
      <c r="E392" s="29">
        <v>25000</v>
      </c>
      <c r="F392" s="29">
        <f>IF(AND(F375&gt;A392, F375&lt;=E392),F375,0)</f>
        <v>0</v>
      </c>
      <c r="G392" s="29">
        <f>(12500/100*20)+((25/100)*(-A392+F392))</f>
        <v>-625</v>
      </c>
      <c r="H392" s="29"/>
      <c r="I392" s="29"/>
      <c r="J392" s="29"/>
      <c r="K392" s="29"/>
      <c r="L392" s="29"/>
      <c r="M392" s="29"/>
      <c r="N392" s="79"/>
      <c r="O392" s="79"/>
    </row>
    <row r="393" spans="1:15" x14ac:dyDescent="0.2">
      <c r="A393" s="29">
        <f>E392</f>
        <v>25000</v>
      </c>
      <c r="B393" s="29"/>
      <c r="C393" s="29"/>
      <c r="D393" s="29"/>
      <c r="E393" s="29">
        <v>50000</v>
      </c>
      <c r="F393" s="29">
        <f>IF(AND(F375&gt;A393, F375&lt;=E393),F375,0)</f>
        <v>0</v>
      </c>
      <c r="G393" s="29">
        <f>(12500/100*20)+(12500/100*25)+((30/100)*(-A393+F393))</f>
        <v>-1875</v>
      </c>
      <c r="H393" s="29"/>
      <c r="I393" s="29"/>
      <c r="J393" s="29"/>
      <c r="K393" s="29"/>
      <c r="L393" s="29"/>
      <c r="M393" s="29"/>
      <c r="N393" s="79"/>
      <c r="O393" s="79"/>
    </row>
    <row r="394" spans="1:15" x14ac:dyDescent="0.2">
      <c r="A394" s="29">
        <f>E393</f>
        <v>50000</v>
      </c>
      <c r="B394" s="29"/>
      <c r="C394" s="29"/>
      <c r="D394" s="29"/>
      <c r="E394" s="29">
        <v>100000</v>
      </c>
      <c r="F394" s="29">
        <f>IF(AND(F375&gt;A394, F375&lt;=E394),F375,0)</f>
        <v>0</v>
      </c>
      <c r="G394" s="29">
        <f>(12500/100*20)+(12500/100*25)+(25000/100*30)+((40/100)*(-A394+F394))</f>
        <v>-6875</v>
      </c>
      <c r="H394" s="29"/>
      <c r="I394" s="29"/>
      <c r="J394" s="29"/>
      <c r="K394" s="29"/>
      <c r="L394" s="29"/>
      <c r="M394" s="29"/>
      <c r="N394" s="79"/>
      <c r="O394" s="79"/>
    </row>
    <row r="395" spans="1:15" x14ac:dyDescent="0.2">
      <c r="A395" s="29">
        <f>E394</f>
        <v>100000</v>
      </c>
      <c r="B395" s="29"/>
      <c r="C395" s="29"/>
      <c r="D395" s="29"/>
      <c r="E395" s="29">
        <v>175000</v>
      </c>
      <c r="F395" s="29">
        <f>IF(AND(F375&gt;A395, F375&lt;=E395),F375,0)</f>
        <v>0</v>
      </c>
      <c r="G395" s="29">
        <f>(12500/100*20)+(12500/100*25)+(25000/100*30)+(50000/100*40)+((55/100)*(-A395+F395))</f>
        <v>-21875.000000000007</v>
      </c>
      <c r="H395" s="29"/>
      <c r="I395" s="29"/>
      <c r="J395" s="29"/>
      <c r="K395" s="29"/>
      <c r="L395" s="29"/>
      <c r="M395" s="29"/>
      <c r="N395" s="79"/>
      <c r="O395" s="79"/>
    </row>
    <row r="396" spans="1:15" x14ac:dyDescent="0.2">
      <c r="A396" s="29">
        <v>175000</v>
      </c>
      <c r="B396" s="29"/>
      <c r="C396" s="29"/>
      <c r="D396" s="29"/>
      <c r="E396" s="29">
        <v>250000</v>
      </c>
      <c r="F396" s="29">
        <f>IF(AND(F375&gt;A396, F375&lt;=E396),F375,0)</f>
        <v>0</v>
      </c>
      <c r="G396" s="29">
        <f>(12500/100*20)+(12500/100*25)+(25000/100*30)+(50000/100*40)+(75000/100*55)+((60/100)*(-A396+F396))</f>
        <v>-30625</v>
      </c>
      <c r="H396" s="29"/>
      <c r="I396" s="29"/>
      <c r="J396" s="29"/>
      <c r="K396" s="29"/>
      <c r="L396" s="29"/>
      <c r="M396" s="29"/>
      <c r="N396" s="79"/>
      <c r="O396" s="79"/>
    </row>
    <row r="397" spans="1:15" x14ac:dyDescent="0.2">
      <c r="A397" s="29">
        <f>E396</f>
        <v>250000</v>
      </c>
      <c r="B397" s="29"/>
      <c r="C397" s="29"/>
      <c r="D397" s="29"/>
      <c r="E397" s="29">
        <v>999999999</v>
      </c>
      <c r="F397" s="29">
        <f>IF(AND(F375&gt;A397, F375&lt;=E397),F375,0)</f>
        <v>0</v>
      </c>
      <c r="G397" s="29">
        <f>(12500/100*20)+(12500/100*25)+(25000/100*30)+(50000/100*40)+(75000/100*55)+(75000/100*60)+((65/100)*(-A397+F397))</f>
        <v>-43125</v>
      </c>
      <c r="H397" s="29"/>
      <c r="I397" s="29"/>
      <c r="J397" s="29"/>
      <c r="K397" s="29"/>
      <c r="L397" s="29"/>
      <c r="M397" s="29"/>
      <c r="N397" s="79"/>
      <c r="O397" s="79"/>
    </row>
    <row r="398" spans="1:15" x14ac:dyDescent="0.2">
      <c r="A398" s="54" t="s">
        <v>7</v>
      </c>
      <c r="B398" s="54"/>
      <c r="C398" s="54"/>
      <c r="D398" s="54"/>
      <c r="E398" s="29"/>
      <c r="F398" s="29"/>
      <c r="G398" s="29">
        <f>VLOOKUP(F375,F391:G397,2,FALSE)</f>
        <v>0</v>
      </c>
      <c r="H398" s="29"/>
      <c r="I398" s="29"/>
      <c r="J398" s="29"/>
      <c r="K398" s="29"/>
      <c r="L398" s="29"/>
      <c r="M398" s="29"/>
      <c r="N398" s="79"/>
      <c r="O398" s="79"/>
    </row>
    <row r="399" spans="1:15" x14ac:dyDescent="0.2">
      <c r="N399" s="79"/>
      <c r="O399" s="79"/>
    </row>
    <row r="400" spans="1:15" x14ac:dyDescent="0.2">
      <c r="E400" s="29"/>
      <c r="F400" s="29"/>
      <c r="G400" s="29"/>
      <c r="H400" s="32"/>
      <c r="I400" s="29"/>
      <c r="J400" s="33"/>
      <c r="M400" s="33"/>
      <c r="N400" s="79"/>
      <c r="O400" s="159"/>
    </row>
    <row r="401" spans="1:15" x14ac:dyDescent="0.2">
      <c r="E401" s="29"/>
      <c r="F401" s="29"/>
      <c r="G401" s="29"/>
      <c r="H401" s="32"/>
      <c r="I401" s="29"/>
      <c r="J401" s="33"/>
      <c r="M401" s="33"/>
      <c r="N401" s="79"/>
      <c r="O401" s="159"/>
    </row>
    <row r="402" spans="1:15" x14ac:dyDescent="0.2">
      <c r="E402" s="29"/>
      <c r="F402" s="29"/>
      <c r="G402" s="29"/>
      <c r="H402" s="32"/>
      <c r="I402" s="29"/>
      <c r="J402" s="33"/>
      <c r="M402" s="33"/>
      <c r="N402" s="79"/>
      <c r="O402" s="159"/>
    </row>
    <row r="403" spans="1:15" x14ac:dyDescent="0.2">
      <c r="A403" s="52" t="s">
        <v>26</v>
      </c>
      <c r="B403" s="52"/>
      <c r="C403" s="52"/>
      <c r="D403" s="52"/>
      <c r="E403" s="29"/>
      <c r="F403" s="29"/>
      <c r="G403" s="53" t="s">
        <v>10</v>
      </c>
      <c r="H403" s="32"/>
      <c r="I403" s="52" t="s">
        <v>27</v>
      </c>
      <c r="J403" s="29"/>
      <c r="K403" s="29"/>
      <c r="L403" s="29"/>
      <c r="M403" s="53" t="s">
        <v>11</v>
      </c>
      <c r="N403" s="79"/>
      <c r="O403" s="159"/>
    </row>
    <row r="404" spans="1:15" x14ac:dyDescent="0.2">
      <c r="A404" s="29">
        <v>0</v>
      </c>
      <c r="B404" s="29"/>
      <c r="C404" s="29"/>
      <c r="D404" s="29"/>
      <c r="E404" s="29">
        <v>50000</v>
      </c>
      <c r="F404" s="29">
        <f>IF(AND(F375&gt;A404, F375&lt;=E404),F375,0)</f>
        <v>0</v>
      </c>
      <c r="G404" s="29">
        <f>0+(35/100)*(-A404+F404)</f>
        <v>0</v>
      </c>
      <c r="H404" s="32"/>
      <c r="I404" s="29">
        <v>0</v>
      </c>
      <c r="J404" s="29">
        <v>50000</v>
      </c>
      <c r="K404" s="29">
        <f>IF(AND(F375&gt;I404, F375&lt;=J404),F375,0)</f>
        <v>0</v>
      </c>
      <c r="L404" s="29"/>
      <c r="M404" s="29">
        <f>0+(40/100)*(-I404+K404)</f>
        <v>0</v>
      </c>
      <c r="N404" s="79"/>
      <c r="O404" s="159"/>
    </row>
    <row r="405" spans="1:15" x14ac:dyDescent="0.2">
      <c r="A405" s="29">
        <f>E404</f>
        <v>50000</v>
      </c>
      <c r="B405" s="29"/>
      <c r="C405" s="29"/>
      <c r="D405" s="29"/>
      <c r="E405" s="29">
        <v>100000</v>
      </c>
      <c r="F405" s="29">
        <f>IF(AND(F375&gt;A405, F375&lt;=E405),F375,0)</f>
        <v>0</v>
      </c>
      <c r="G405" s="29">
        <f>(50000/100*35)+((50/100)*(-A405+F405))</f>
        <v>-7500</v>
      </c>
      <c r="H405" s="32"/>
      <c r="I405" s="29">
        <f>J404</f>
        <v>50000</v>
      </c>
      <c r="J405" s="29">
        <v>75000</v>
      </c>
      <c r="K405" s="29">
        <f>IF(AND(F375&gt;I405, F375&lt;=J405),F375,0)</f>
        <v>0</v>
      </c>
      <c r="L405" s="29"/>
      <c r="M405" s="29">
        <f>(50000/100*40)+((55/100)*(-I405+K405))</f>
        <v>-7500.0000000000036</v>
      </c>
      <c r="N405" s="79"/>
      <c r="O405" s="159"/>
    </row>
    <row r="406" spans="1:15" x14ac:dyDescent="0.2">
      <c r="A406" s="29">
        <f>E405</f>
        <v>100000</v>
      </c>
      <c r="B406" s="29"/>
      <c r="C406" s="29"/>
      <c r="D406" s="29"/>
      <c r="E406" s="29">
        <v>175000</v>
      </c>
      <c r="F406" s="29">
        <f>IF(AND(F375&gt;A406, F375&lt;=E406),F375,0)</f>
        <v>0</v>
      </c>
      <c r="G406" s="29">
        <f>(50000/100*35)+(50000/100*50)+((60/100)*(-A406+F406))</f>
        <v>-17500</v>
      </c>
      <c r="H406" s="32"/>
      <c r="I406" s="29">
        <f>J405</f>
        <v>75000</v>
      </c>
      <c r="J406" s="29">
        <v>175000</v>
      </c>
      <c r="K406" s="29">
        <f>IF(AND(F375&gt;I406, F375&lt;=J406),F375,0)</f>
        <v>0</v>
      </c>
      <c r="L406" s="29"/>
      <c r="M406" s="29">
        <f>(50000/100*40)+(25000/100*55)+((65/100)*(-I406+K406))</f>
        <v>-15000</v>
      </c>
      <c r="N406" s="79"/>
      <c r="O406" s="159"/>
    </row>
    <row r="407" spans="1:15" x14ac:dyDescent="0.2">
      <c r="A407" s="29">
        <f>E406</f>
        <v>175000</v>
      </c>
      <c r="B407" s="29"/>
      <c r="C407" s="29"/>
      <c r="D407" s="29"/>
      <c r="E407" s="29">
        <v>999999999</v>
      </c>
      <c r="F407" s="29">
        <f>IF(AND(F375&gt;A407, F375&lt;=E407),F375,0)</f>
        <v>0</v>
      </c>
      <c r="G407" s="29">
        <f>(50000/100*35)+(50000/100*50)+(75000/100*60)+((70/100)*(-A407+F407))</f>
        <v>-34999.999999999985</v>
      </c>
      <c r="H407" s="32"/>
      <c r="I407" s="29">
        <f>J406</f>
        <v>175000</v>
      </c>
      <c r="J407" s="29">
        <v>999999999</v>
      </c>
      <c r="K407" s="29">
        <f>IF(AND(F375&gt;I407, F375&lt;=J407),F375,0)</f>
        <v>0</v>
      </c>
      <c r="L407" s="29"/>
      <c r="M407" s="29">
        <f>(50000/100*40)+(25000/100*55)+(100000/100*65)+((80/100)*(-I407+K407))</f>
        <v>-41250</v>
      </c>
      <c r="N407" s="79"/>
      <c r="O407" s="159"/>
    </row>
    <row r="408" spans="1:15" x14ac:dyDescent="0.2">
      <c r="A408" s="29"/>
      <c r="B408" s="29"/>
      <c r="C408" s="29"/>
      <c r="D408" s="29"/>
      <c r="E408" s="29"/>
      <c r="F408" s="29"/>
      <c r="G408" s="29"/>
      <c r="H408" s="32"/>
      <c r="I408" s="29"/>
      <c r="J408" s="29"/>
      <c r="K408" s="29"/>
      <c r="L408" s="29"/>
      <c r="M408" s="29"/>
      <c r="N408" s="79"/>
      <c r="O408" s="159"/>
    </row>
    <row r="409" spans="1:15" x14ac:dyDescent="0.2">
      <c r="A409" s="29"/>
      <c r="B409" s="29"/>
      <c r="C409" s="29"/>
      <c r="D409" s="29"/>
      <c r="E409" s="29"/>
      <c r="F409" s="29"/>
      <c r="G409" s="29"/>
      <c r="H409" s="32"/>
      <c r="I409" s="29"/>
      <c r="J409" s="29"/>
      <c r="K409" s="29"/>
      <c r="L409" s="29"/>
      <c r="M409" s="29"/>
      <c r="N409" s="79"/>
      <c r="O409" s="159"/>
    </row>
    <row r="410" spans="1:15" x14ac:dyDescent="0.2">
      <c r="A410" s="29"/>
      <c r="B410" s="29"/>
      <c r="C410" s="29"/>
      <c r="D410" s="29"/>
      <c r="E410" s="29"/>
      <c r="F410" s="29"/>
      <c r="G410" s="29"/>
      <c r="H410" s="32"/>
      <c r="I410" s="29"/>
      <c r="J410" s="29"/>
      <c r="K410" s="29"/>
      <c r="L410" s="29"/>
      <c r="M410" s="29"/>
      <c r="N410" s="79"/>
      <c r="O410" s="159"/>
    </row>
    <row r="411" spans="1:15" x14ac:dyDescent="0.2">
      <c r="A411" s="54" t="s">
        <v>7</v>
      </c>
      <c r="B411" s="54"/>
      <c r="C411" s="54"/>
      <c r="D411" s="54"/>
      <c r="E411" s="29"/>
      <c r="F411" s="29"/>
      <c r="G411" s="29">
        <f>VLOOKUP(F375,F404:G407,2,FALSE)</f>
        <v>0</v>
      </c>
      <c r="H411" s="32"/>
      <c r="I411" s="54" t="s">
        <v>7</v>
      </c>
      <c r="J411" s="29"/>
      <c r="K411" s="29"/>
      <c r="L411" s="29"/>
      <c r="M411" s="29">
        <f>VLOOKUP(F375,K404:M407,3,FALSE)</f>
        <v>0</v>
      </c>
      <c r="N411" s="79"/>
      <c r="O411" s="159"/>
    </row>
    <row r="412" spans="1:15" x14ac:dyDescent="0.2">
      <c r="H412" s="32"/>
      <c r="N412" s="79"/>
      <c r="O412" s="159"/>
    </row>
    <row r="413" spans="1:15" x14ac:dyDescent="0.2">
      <c r="E413" s="29"/>
      <c r="F413" s="29"/>
      <c r="G413" s="29"/>
      <c r="H413" s="32"/>
      <c r="J413" s="29"/>
      <c r="K413" s="29"/>
      <c r="L413" s="29"/>
      <c r="M413" s="29"/>
      <c r="N413" s="79"/>
      <c r="O413" s="159"/>
    </row>
    <row r="414" spans="1:15" x14ac:dyDescent="0.2">
      <c r="E414" s="29"/>
      <c r="G414" s="29"/>
      <c r="N414" s="79"/>
      <c r="O414" s="79"/>
    </row>
    <row r="415" spans="1:15" x14ac:dyDescent="0.2">
      <c r="N415" s="79"/>
      <c r="O415" s="79"/>
    </row>
    <row r="416" spans="1:15" x14ac:dyDescent="0.2">
      <c r="E416" s="9" t="s">
        <v>84</v>
      </c>
      <c r="F416" s="9" t="s">
        <v>91</v>
      </c>
      <c r="N416" s="79"/>
      <c r="O416" s="79"/>
    </row>
    <row r="417" spans="1:15" x14ac:dyDescent="0.2">
      <c r="N417" s="79"/>
      <c r="O417" s="79"/>
    </row>
    <row r="418" spans="1:15" x14ac:dyDescent="0.2">
      <c r="E418" s="9" t="s">
        <v>84</v>
      </c>
      <c r="F418" s="9">
        <f>IF(DONBIB!J30=3,M383*12%,0)</f>
        <v>0</v>
      </c>
      <c r="G418" s="9">
        <f>IF(F418&gt;372,372,F418)</f>
        <v>0</v>
      </c>
      <c r="I418" s="9" t="s">
        <v>30</v>
      </c>
      <c r="J418" s="9">
        <f>M383*6%</f>
        <v>0</v>
      </c>
      <c r="K418" s="9">
        <f>IF(J418&gt;186,186,J418)</f>
        <v>0</v>
      </c>
      <c r="L418" s="9">
        <f>IF(DONBIB!J30=3,K418,0)</f>
        <v>0</v>
      </c>
      <c r="N418" s="79"/>
      <c r="O418" s="79"/>
    </row>
    <row r="419" spans="1:15" x14ac:dyDescent="0.2">
      <c r="F419" s="9">
        <f>IF(DONBIB!J30=4,M383*16%,0)</f>
        <v>0</v>
      </c>
      <c r="G419" s="9">
        <f>IF(F419&gt;496,496,F419)</f>
        <v>0</v>
      </c>
      <c r="I419" s="9" t="s">
        <v>31</v>
      </c>
      <c r="J419" s="9">
        <f>M383*8%</f>
        <v>0</v>
      </c>
      <c r="K419" s="9">
        <f>IF(J419&gt;248,248,J419)</f>
        <v>0</v>
      </c>
      <c r="L419" s="9">
        <f>IF(DONBIB!J30=4,K419,0)</f>
        <v>0</v>
      </c>
      <c r="N419" s="79"/>
      <c r="O419" s="79"/>
    </row>
    <row r="420" spans="1:15" x14ac:dyDescent="0.2">
      <c r="F420" s="9">
        <f>IF(DONBIB!J30=5,M383*20%,0)</f>
        <v>0</v>
      </c>
      <c r="G420" s="9">
        <f>IF(F420&gt;620,620,F420)</f>
        <v>0</v>
      </c>
      <c r="J420" s="9">
        <f>M383*10%</f>
        <v>0</v>
      </c>
      <c r="K420" s="9">
        <f>IF(J420&gt;310,310,J420)</f>
        <v>0</v>
      </c>
      <c r="L420" s="9">
        <f>IF(DONBIB!J30=5,K420,0)</f>
        <v>0</v>
      </c>
      <c r="N420" s="79"/>
      <c r="O420" s="79"/>
    </row>
    <row r="421" spans="1:15" x14ac:dyDescent="0.2">
      <c r="F421" s="9">
        <f>IF(DONBIB!J30=6,M383*24%,0)</f>
        <v>0</v>
      </c>
      <c r="G421" s="9">
        <f>IF(F421&gt;744,744,F421)</f>
        <v>0</v>
      </c>
      <c r="J421" s="9">
        <f>M383*12%</f>
        <v>0</v>
      </c>
      <c r="K421" s="9">
        <f>IF(J421&gt;372,372,J421)</f>
        <v>0</v>
      </c>
      <c r="L421" s="9">
        <f>IF(DONBIB!J30=6,K421,0)</f>
        <v>0</v>
      </c>
      <c r="N421" s="79"/>
      <c r="O421" s="79"/>
    </row>
    <row r="422" spans="1:15" x14ac:dyDescent="0.2">
      <c r="F422" s="9">
        <f>IF(DONBIB!J30=7,M383*28%,0)</f>
        <v>0</v>
      </c>
      <c r="G422" s="9">
        <f>IF(F422&gt;868,868,F422)</f>
        <v>0</v>
      </c>
      <c r="J422" s="9">
        <f>M383*14%</f>
        <v>0</v>
      </c>
      <c r="K422" s="9">
        <f>IF(J422&gt;434,434,J422)</f>
        <v>0</v>
      </c>
      <c r="L422" s="9">
        <f>IF(DONBIB!J30=7,K422,0)</f>
        <v>0</v>
      </c>
      <c r="N422" s="79"/>
      <c r="O422" s="79"/>
    </row>
    <row r="423" spans="1:15" x14ac:dyDescent="0.2">
      <c r="F423" s="9">
        <f>IF(DONBIB!J30=8,M383*32%,0)</f>
        <v>0</v>
      </c>
      <c r="G423" s="9">
        <f>IF(F423&gt;992,992,F423)</f>
        <v>0</v>
      </c>
      <c r="J423" s="9">
        <f>M383*16%</f>
        <v>0</v>
      </c>
      <c r="K423" s="9">
        <f>IF(J423&gt;496,496,J423)</f>
        <v>0</v>
      </c>
      <c r="L423" s="9">
        <f>IF(DONBIB!J30=8,K423,0)</f>
        <v>0</v>
      </c>
      <c r="N423" s="79"/>
      <c r="O423" s="79"/>
    </row>
    <row r="424" spans="1:15" x14ac:dyDescent="0.2">
      <c r="F424" s="9">
        <f>IF(DONBIB!J30=9,M383*36%,0)</f>
        <v>0</v>
      </c>
      <c r="G424" s="9">
        <f>IF(F424&gt;1116,1116,F424)</f>
        <v>0</v>
      </c>
      <c r="J424" s="9">
        <f>M383*18%</f>
        <v>0</v>
      </c>
      <c r="K424" s="9">
        <f>IF(J424&gt;558,558,J424)</f>
        <v>0</v>
      </c>
      <c r="L424" s="9">
        <f>IF(DONBIB!J30=9,K424,0)</f>
        <v>0</v>
      </c>
      <c r="N424" s="79"/>
      <c r="O424" s="79"/>
    </row>
    <row r="425" spans="1:15" x14ac:dyDescent="0.2">
      <c r="F425" s="9">
        <f>IF(DONBIB!J30=10,M383*40%,0)</f>
        <v>0</v>
      </c>
      <c r="G425" s="9">
        <f>IF(F425&gt;1240,1240,F425)</f>
        <v>0</v>
      </c>
      <c r="J425" s="9">
        <f>M383*20%</f>
        <v>0</v>
      </c>
      <c r="K425" s="9">
        <f>IF(J425&gt;620,620,J425)</f>
        <v>0</v>
      </c>
      <c r="L425" s="9">
        <f>IF(J30=10,K425,0)</f>
        <v>0</v>
      </c>
      <c r="N425" s="79"/>
      <c r="O425" s="79"/>
    </row>
    <row r="426" spans="1:15" x14ac:dyDescent="0.2">
      <c r="N426" s="79"/>
      <c r="O426" s="79"/>
    </row>
    <row r="427" spans="1:15" x14ac:dyDescent="0.2">
      <c r="G427" s="9">
        <f>SUM(G418:G426)</f>
        <v>0</v>
      </c>
      <c r="L427" s="9">
        <f>SUM(L418:L426)</f>
        <v>0</v>
      </c>
      <c r="N427" s="79"/>
      <c r="O427" s="79"/>
    </row>
    <row r="428" spans="1:15" x14ac:dyDescent="0.2">
      <c r="G428" s="22"/>
      <c r="N428" s="79"/>
      <c r="O428" s="79"/>
    </row>
    <row r="429" spans="1:15" x14ac:dyDescent="0.2">
      <c r="G429" s="22"/>
      <c r="N429" s="79"/>
      <c r="O429" s="79"/>
    </row>
    <row r="430" spans="1:15" x14ac:dyDescent="0.2">
      <c r="G430" s="22"/>
      <c r="N430" s="79"/>
      <c r="O430" s="79"/>
    </row>
    <row r="431" spans="1:15" x14ac:dyDescent="0.2">
      <c r="E431" s="9" t="s">
        <v>32</v>
      </c>
      <c r="F431" s="23">
        <f>M383-G427</f>
        <v>0</v>
      </c>
      <c r="G431" s="22"/>
      <c r="H431" s="9" t="s">
        <v>33</v>
      </c>
      <c r="I431" s="56">
        <f>M383-L427</f>
        <v>0</v>
      </c>
      <c r="N431" s="79"/>
      <c r="O431" s="79"/>
    </row>
    <row r="432" spans="1:15" x14ac:dyDescent="0.2">
      <c r="A432" s="79"/>
      <c r="B432" s="79"/>
      <c r="C432" s="79"/>
      <c r="D432" s="79"/>
      <c r="E432" s="95"/>
      <c r="F432" s="79"/>
      <c r="G432" s="95"/>
      <c r="H432" s="79"/>
      <c r="I432" s="79"/>
      <c r="J432" s="79"/>
      <c r="K432" s="79"/>
      <c r="L432" s="79"/>
      <c r="M432" s="79"/>
      <c r="N432" s="79"/>
      <c r="O432" s="79"/>
    </row>
    <row r="433" spans="1:15" x14ac:dyDescent="0.2">
      <c r="A433" s="79"/>
      <c r="B433" s="79"/>
      <c r="C433" s="79"/>
      <c r="D433" s="79"/>
      <c r="E433" s="95"/>
      <c r="F433" s="79"/>
      <c r="G433" s="95"/>
      <c r="H433" s="79"/>
      <c r="I433" s="79"/>
      <c r="J433" s="79"/>
      <c r="K433" s="79"/>
      <c r="L433" s="79"/>
      <c r="M433" s="79"/>
      <c r="N433" s="79"/>
      <c r="O433" s="79"/>
    </row>
    <row r="434" spans="1:15" x14ac:dyDescent="0.2">
      <c r="A434" s="79"/>
      <c r="B434" s="79"/>
      <c r="C434" s="79"/>
      <c r="D434" s="79"/>
      <c r="E434" s="95"/>
      <c r="F434" s="79"/>
      <c r="G434" s="95"/>
      <c r="H434" s="79"/>
      <c r="I434" s="79"/>
      <c r="J434" s="79"/>
      <c r="K434" s="79"/>
      <c r="L434" s="79"/>
      <c r="M434" s="79"/>
      <c r="N434" s="79"/>
      <c r="O434" s="79"/>
    </row>
    <row r="435" spans="1:15" x14ac:dyDescent="0.2">
      <c r="A435" s="79"/>
      <c r="B435" s="79"/>
      <c r="C435" s="79"/>
      <c r="D435" s="79"/>
      <c r="E435" s="95"/>
      <c r="F435" s="79"/>
      <c r="G435" s="95"/>
      <c r="H435" s="79"/>
      <c r="I435" s="79"/>
      <c r="J435" s="79"/>
      <c r="K435" s="79"/>
      <c r="L435" s="79"/>
      <c r="M435" s="79"/>
      <c r="N435" s="79"/>
      <c r="O435" s="79"/>
    </row>
    <row r="436" spans="1:15" x14ac:dyDescent="0.2">
      <c r="A436" s="79"/>
      <c r="B436" s="79"/>
      <c r="C436" s="79"/>
      <c r="D436" s="79"/>
      <c r="E436" s="95"/>
      <c r="F436" s="79"/>
      <c r="G436" s="95"/>
      <c r="H436" s="79"/>
      <c r="I436" s="79"/>
      <c r="J436" s="79"/>
      <c r="K436" s="79"/>
      <c r="L436" s="79"/>
      <c r="M436" s="79"/>
      <c r="N436" s="79"/>
      <c r="O436" s="79"/>
    </row>
    <row r="437" spans="1:15" x14ac:dyDescent="0.2">
      <c r="A437" s="79"/>
      <c r="B437" s="79"/>
      <c r="C437" s="79"/>
      <c r="D437" s="79"/>
      <c r="E437" s="95"/>
      <c r="F437" s="79"/>
      <c r="G437" s="95"/>
      <c r="H437" s="79"/>
      <c r="I437" s="79"/>
      <c r="J437" s="79"/>
      <c r="K437" s="79"/>
      <c r="L437" s="79"/>
      <c r="M437" s="79"/>
      <c r="N437" s="79"/>
      <c r="O437" s="79"/>
    </row>
    <row r="438" spans="1:15" x14ac:dyDescent="0.2">
      <c r="A438" s="79"/>
      <c r="B438" s="79"/>
      <c r="C438" s="79"/>
      <c r="D438" s="79"/>
      <c r="E438" s="95"/>
      <c r="F438" s="79"/>
      <c r="G438" s="95"/>
      <c r="H438" s="79"/>
      <c r="I438" s="79"/>
      <c r="J438" s="79"/>
      <c r="K438" s="79"/>
      <c r="L438" s="79"/>
      <c r="M438" s="79"/>
      <c r="N438" s="79"/>
      <c r="O438" s="79"/>
    </row>
    <row r="439" spans="1:15" x14ac:dyDescent="0.2">
      <c r="A439" s="79"/>
      <c r="B439" s="79"/>
      <c r="C439" s="79"/>
      <c r="D439" s="79"/>
      <c r="E439" s="95"/>
      <c r="F439" s="79"/>
      <c r="G439" s="95"/>
      <c r="H439" s="79"/>
      <c r="I439" s="79"/>
      <c r="J439" s="79"/>
      <c r="K439" s="79"/>
      <c r="L439" s="79"/>
      <c r="M439" s="79"/>
      <c r="N439" s="79"/>
      <c r="O439" s="79"/>
    </row>
    <row r="440" spans="1:15" x14ac:dyDescent="0.2">
      <c r="A440" s="79"/>
      <c r="B440" s="79"/>
      <c r="C440" s="79"/>
      <c r="D440" s="79"/>
      <c r="E440" s="95"/>
      <c r="F440" s="79"/>
      <c r="G440" s="95"/>
      <c r="H440" s="79"/>
      <c r="I440" s="79"/>
      <c r="J440" s="79"/>
      <c r="K440" s="79"/>
      <c r="L440" s="79"/>
      <c r="M440" s="79"/>
      <c r="N440" s="79"/>
      <c r="O440" s="79"/>
    </row>
    <row r="441" spans="1:15" x14ac:dyDescent="0.2">
      <c r="A441" s="79"/>
      <c r="B441" s="79"/>
      <c r="C441" s="79"/>
      <c r="D441" s="79"/>
      <c r="E441" s="95"/>
      <c r="F441" s="79"/>
      <c r="G441" s="95"/>
      <c r="H441" s="79"/>
      <c r="I441" s="79"/>
      <c r="J441" s="79"/>
      <c r="K441" s="79"/>
      <c r="L441" s="79"/>
      <c r="M441" s="79"/>
      <c r="N441" s="79"/>
      <c r="O441" s="79"/>
    </row>
    <row r="442" spans="1:15" x14ac:dyDescent="0.2">
      <c r="A442" s="79"/>
      <c r="B442" s="79"/>
      <c r="C442" s="79"/>
      <c r="D442" s="79"/>
      <c r="E442" s="95"/>
      <c r="F442" s="79"/>
      <c r="G442" s="95"/>
      <c r="H442" s="79"/>
      <c r="I442" s="79"/>
      <c r="J442" s="79"/>
      <c r="K442" s="79"/>
      <c r="L442" s="79"/>
      <c r="M442" s="79"/>
      <c r="N442" s="79"/>
      <c r="O442" s="79"/>
    </row>
    <row r="443" spans="1:15" x14ac:dyDescent="0.2">
      <c r="A443" s="79"/>
      <c r="B443" s="79"/>
      <c r="C443" s="79"/>
      <c r="D443" s="79"/>
      <c r="E443" s="95"/>
      <c r="F443" s="79"/>
      <c r="G443" s="95"/>
      <c r="H443" s="79"/>
      <c r="I443" s="79"/>
      <c r="J443" s="79"/>
      <c r="K443" s="79"/>
      <c r="L443" s="79"/>
      <c r="M443" s="79"/>
      <c r="N443" s="79"/>
      <c r="O443" s="79"/>
    </row>
    <row r="444" spans="1:15" x14ac:dyDescent="0.2">
      <c r="A444" s="79"/>
      <c r="B444" s="79"/>
      <c r="C444" s="79"/>
      <c r="D444" s="79"/>
      <c r="E444" s="95"/>
      <c r="F444" s="79"/>
      <c r="G444" s="95"/>
      <c r="H444" s="79"/>
      <c r="I444" s="79"/>
      <c r="J444" s="79"/>
      <c r="K444" s="79"/>
      <c r="L444" s="79"/>
      <c r="M444" s="79"/>
      <c r="N444" s="79"/>
      <c r="O444" s="79"/>
    </row>
    <row r="445" spans="1:15" x14ac:dyDescent="0.2">
      <c r="A445" s="79"/>
      <c r="B445" s="79"/>
      <c r="C445" s="79"/>
      <c r="D445" s="79"/>
      <c r="E445" s="95"/>
      <c r="F445" s="79"/>
      <c r="G445" s="95"/>
      <c r="H445" s="79"/>
      <c r="I445" s="79"/>
      <c r="J445" s="79"/>
      <c r="K445" s="79"/>
      <c r="L445" s="79"/>
      <c r="M445" s="79"/>
      <c r="N445" s="79"/>
      <c r="O445" s="79"/>
    </row>
    <row r="446" spans="1:15" x14ac:dyDescent="0.2">
      <c r="A446" s="79"/>
      <c r="B446" s="79"/>
      <c r="C446" s="79"/>
      <c r="D446" s="79"/>
      <c r="E446" s="95"/>
      <c r="F446" s="79"/>
      <c r="G446" s="95"/>
      <c r="H446" s="79"/>
      <c r="I446" s="79"/>
      <c r="J446" s="79"/>
      <c r="K446" s="79"/>
      <c r="L446" s="79"/>
      <c r="M446" s="79"/>
      <c r="N446" s="79"/>
      <c r="O446" s="79"/>
    </row>
    <row r="447" spans="1:15" x14ac:dyDescent="0.2">
      <c r="A447" s="79"/>
      <c r="B447" s="79"/>
      <c r="C447" s="79"/>
      <c r="D447" s="79"/>
      <c r="E447" s="95"/>
      <c r="F447" s="79"/>
      <c r="G447" s="95"/>
      <c r="H447" s="79"/>
      <c r="I447" s="79"/>
      <c r="J447" s="79"/>
      <c r="K447" s="79"/>
      <c r="L447" s="79"/>
      <c r="M447" s="79"/>
      <c r="N447" s="79"/>
      <c r="O447" s="79"/>
    </row>
    <row r="448" spans="1:15" x14ac:dyDescent="0.2">
      <c r="A448" s="79"/>
      <c r="B448" s="79"/>
      <c r="C448" s="79"/>
      <c r="D448" s="79"/>
      <c r="E448" s="95"/>
      <c r="F448" s="79"/>
      <c r="G448" s="95"/>
      <c r="H448" s="79"/>
      <c r="I448" s="79"/>
      <c r="J448" s="79"/>
      <c r="K448" s="79"/>
      <c r="L448" s="79"/>
      <c r="M448" s="79"/>
      <c r="N448" s="79"/>
      <c r="O448" s="79"/>
    </row>
    <row r="449" spans="1:15" x14ac:dyDescent="0.2">
      <c r="A449" s="79"/>
      <c r="B449" s="79"/>
      <c r="C449" s="79"/>
      <c r="D449" s="79"/>
      <c r="E449" s="95"/>
      <c r="F449" s="79"/>
      <c r="G449" s="95"/>
      <c r="H449" s="79"/>
      <c r="I449" s="79"/>
      <c r="J449" s="79"/>
      <c r="K449" s="79"/>
      <c r="L449" s="79"/>
      <c r="M449" s="79"/>
      <c r="N449" s="79"/>
      <c r="O449" s="79"/>
    </row>
    <row r="450" spans="1:15" x14ac:dyDescent="0.2">
      <c r="A450" s="79"/>
      <c r="B450" s="79"/>
      <c r="C450" s="79"/>
      <c r="D450" s="79"/>
      <c r="E450" s="95"/>
      <c r="F450" s="79"/>
      <c r="G450" s="95"/>
      <c r="H450" s="79"/>
      <c r="I450" s="79"/>
      <c r="J450" s="79"/>
      <c r="K450" s="79"/>
      <c r="L450" s="79"/>
      <c r="M450" s="79"/>
      <c r="N450" s="79"/>
      <c r="O450" s="79"/>
    </row>
    <row r="451" spans="1:15" x14ac:dyDescent="0.2">
      <c r="A451" s="79"/>
      <c r="B451" s="79"/>
      <c r="C451" s="79"/>
      <c r="D451" s="79"/>
      <c r="E451" s="95"/>
      <c r="F451" s="79"/>
      <c r="G451" s="95"/>
      <c r="H451" s="79"/>
      <c r="I451" s="79"/>
      <c r="J451" s="79"/>
      <c r="K451" s="79"/>
      <c r="L451" s="79"/>
      <c r="M451" s="79"/>
      <c r="N451" s="79"/>
      <c r="O451" s="79"/>
    </row>
    <row r="452" spans="1:15" x14ac:dyDescent="0.2">
      <c r="A452" s="79"/>
      <c r="B452" s="79"/>
      <c r="C452" s="79"/>
      <c r="D452" s="79"/>
      <c r="E452" s="95"/>
      <c r="F452" s="79"/>
      <c r="G452" s="95"/>
      <c r="H452" s="79"/>
      <c r="I452" s="79"/>
      <c r="J452" s="79"/>
      <c r="K452" s="79"/>
      <c r="L452" s="79"/>
      <c r="M452" s="79"/>
      <c r="N452" s="79"/>
      <c r="O452" s="79"/>
    </row>
    <row r="453" spans="1:15" x14ac:dyDescent="0.2">
      <c r="A453" s="79"/>
      <c r="B453" s="79"/>
      <c r="C453" s="79"/>
      <c r="D453" s="79"/>
      <c r="E453" s="95"/>
      <c r="F453" s="79"/>
      <c r="G453" s="95"/>
      <c r="H453" s="79"/>
      <c r="I453" s="79"/>
      <c r="J453" s="79"/>
      <c r="K453" s="79"/>
      <c r="L453" s="79"/>
      <c r="M453" s="79"/>
      <c r="N453" s="79"/>
      <c r="O453" s="79"/>
    </row>
    <row r="454" spans="1:15" x14ac:dyDescent="0.2">
      <c r="A454" s="79"/>
      <c r="B454" s="79"/>
      <c r="C454" s="79"/>
      <c r="D454" s="79"/>
      <c r="E454" s="95"/>
      <c r="F454" s="79"/>
      <c r="G454" s="95"/>
      <c r="H454" s="79"/>
      <c r="I454" s="79"/>
      <c r="J454" s="79"/>
      <c r="K454" s="79"/>
      <c r="L454" s="79"/>
      <c r="M454" s="79"/>
      <c r="N454" s="79"/>
      <c r="O454" s="79"/>
    </row>
    <row r="455" spans="1:15" x14ac:dyDescent="0.2">
      <c r="A455" s="79"/>
      <c r="B455" s="79"/>
      <c r="C455" s="79"/>
      <c r="D455" s="79"/>
      <c r="E455" s="95"/>
      <c r="F455" s="79"/>
      <c r="G455" s="95"/>
      <c r="H455" s="79"/>
      <c r="I455" s="79"/>
      <c r="J455" s="79"/>
      <c r="K455" s="79"/>
      <c r="L455" s="79"/>
      <c r="M455" s="79"/>
      <c r="N455" s="79"/>
      <c r="O455" s="79"/>
    </row>
    <row r="456" spans="1:15" x14ac:dyDescent="0.2">
      <c r="A456" s="79"/>
      <c r="B456" s="79"/>
      <c r="C456" s="79"/>
      <c r="D456" s="79"/>
      <c r="E456" s="95"/>
      <c r="F456" s="79"/>
      <c r="G456" s="95"/>
      <c r="H456" s="79"/>
      <c r="I456" s="79"/>
      <c r="J456" s="79"/>
      <c r="K456" s="79"/>
      <c r="L456" s="79"/>
      <c r="M456" s="79"/>
      <c r="N456" s="79"/>
      <c r="O456" s="79"/>
    </row>
    <row r="457" spans="1:15" x14ac:dyDescent="0.2">
      <c r="E457" s="29"/>
      <c r="G457" s="29"/>
    </row>
    <row r="458" spans="1:15" x14ac:dyDescent="0.2">
      <c r="E458" s="29"/>
      <c r="G458" s="29"/>
    </row>
    <row r="459" spans="1:15" x14ac:dyDescent="0.2">
      <c r="E459" s="29"/>
      <c r="G459" s="29"/>
    </row>
    <row r="460" spans="1:15" x14ac:dyDescent="0.2">
      <c r="E460" s="29"/>
      <c r="G460" s="29"/>
    </row>
    <row r="461" spans="1:15" x14ac:dyDescent="0.2">
      <c r="E461" s="29"/>
      <c r="G461" s="29"/>
    </row>
    <row r="462" spans="1:15" x14ac:dyDescent="0.2">
      <c r="E462" s="29"/>
      <c r="G462" s="29"/>
    </row>
    <row r="463" spans="1:15" x14ac:dyDescent="0.2">
      <c r="E463" s="29"/>
      <c r="G463" s="29"/>
    </row>
    <row r="464" spans="1:15" x14ac:dyDescent="0.2">
      <c r="E464" s="29"/>
      <c r="G464" s="29"/>
    </row>
    <row r="465" spans="1:15" x14ac:dyDescent="0.2">
      <c r="E465" s="29"/>
      <c r="G465" s="29"/>
    </row>
    <row r="466" spans="1:15" x14ac:dyDescent="0.2">
      <c r="E466" s="29"/>
      <c r="G466" s="29"/>
    </row>
    <row r="467" spans="1:15" x14ac:dyDescent="0.2">
      <c r="E467" s="29"/>
      <c r="G467" s="29"/>
    </row>
    <row r="468" spans="1:15" x14ac:dyDescent="0.2">
      <c r="E468" s="29"/>
      <c r="G468" s="29"/>
    </row>
    <row r="469" spans="1:15" x14ac:dyDescent="0.2">
      <c r="E469" s="29"/>
      <c r="G469" s="29"/>
    </row>
    <row r="470" spans="1:15" x14ac:dyDescent="0.2">
      <c r="E470" s="29"/>
      <c r="G470" s="29"/>
    </row>
    <row r="471" spans="1:15" x14ac:dyDescent="0.2">
      <c r="E471" s="29"/>
      <c r="G471" s="29"/>
    </row>
    <row r="472" spans="1:15" x14ac:dyDescent="0.2">
      <c r="E472" s="29"/>
      <c r="G472" s="29"/>
    </row>
    <row r="473" spans="1:15" x14ac:dyDescent="0.2">
      <c r="E473" s="29"/>
      <c r="G473" s="29"/>
    </row>
    <row r="474" spans="1:15" x14ac:dyDescent="0.2">
      <c r="E474" s="29"/>
      <c r="G474" s="29"/>
    </row>
    <row r="475" spans="1:15" x14ac:dyDescent="0.2">
      <c r="E475" s="29"/>
      <c r="G475" s="29"/>
    </row>
    <row r="476" spans="1:15" ht="13.5" thickBot="1" x14ac:dyDescent="0.25">
      <c r="E476" s="29"/>
      <c r="G476" s="29"/>
    </row>
    <row r="477" spans="1:15" ht="13.5" thickTop="1" x14ac:dyDescent="0.2">
      <c r="A477" s="42"/>
      <c r="B477" s="42"/>
      <c r="C477" s="42"/>
      <c r="D477" s="42"/>
      <c r="E477" s="43"/>
      <c r="F477" s="44"/>
      <c r="G477" s="43"/>
      <c r="H477" s="43"/>
      <c r="I477" s="45"/>
      <c r="J477" s="46"/>
      <c r="K477" s="45"/>
      <c r="L477" s="45"/>
      <c r="M477" s="45"/>
      <c r="N477" s="47"/>
      <c r="O477" s="48"/>
    </row>
    <row r="478" spans="1:15" x14ac:dyDescent="0.2">
      <c r="A478" s="29" t="s">
        <v>4</v>
      </c>
      <c r="B478" s="29"/>
      <c r="C478" s="29"/>
      <c r="D478" s="29"/>
      <c r="E478" s="29"/>
      <c r="F478" s="29">
        <f>DONBIB!G37</f>
        <v>0</v>
      </c>
      <c r="G478" s="49"/>
      <c r="H478" s="29"/>
      <c r="I478" s="29"/>
      <c r="J478" s="50"/>
      <c r="K478" s="29"/>
      <c r="L478" s="29"/>
      <c r="M478" s="29">
        <f>IF(AND(DONBIB!I35="oui",DONBIB!F35="ligne directe"),H490,0)</f>
        <v>0</v>
      </c>
      <c r="O478" s="51"/>
    </row>
    <row r="479" spans="1:15" x14ac:dyDescent="0.2">
      <c r="A479" s="29"/>
      <c r="B479" s="29"/>
      <c r="C479" s="29"/>
      <c r="D479" s="29"/>
      <c r="E479" s="29"/>
      <c r="F479" s="29"/>
      <c r="G479" s="29"/>
      <c r="H479" s="29"/>
      <c r="I479" s="29"/>
      <c r="J479" s="50"/>
      <c r="K479" s="29"/>
      <c r="L479" s="29"/>
      <c r="M479" s="29">
        <f>IF(AND(DONBIB!I35="oui",DONBIB!F35="épou(x)(se)"),H490,0)</f>
        <v>0</v>
      </c>
      <c r="O479" s="51"/>
    </row>
    <row r="480" spans="1:15" x14ac:dyDescent="0.2">
      <c r="A480" s="52" t="s">
        <v>5</v>
      </c>
      <c r="B480" s="52"/>
      <c r="C480" s="52"/>
      <c r="D480" s="52"/>
      <c r="E480" s="29"/>
      <c r="F480" s="29"/>
      <c r="G480" s="53" t="s">
        <v>6</v>
      </c>
      <c r="H480" s="53" t="s">
        <v>25</v>
      </c>
      <c r="I480" s="29"/>
      <c r="J480" s="50"/>
      <c r="K480" s="29"/>
      <c r="L480" s="29"/>
      <c r="M480" s="29">
        <f>IF(AND(DONBIB!I35="non",DONBIB!F35="ligne directe"),G490,0)</f>
        <v>0</v>
      </c>
      <c r="O480" s="51"/>
    </row>
    <row r="481" spans="1:15" x14ac:dyDescent="0.2">
      <c r="A481" s="29">
        <v>0</v>
      </c>
      <c r="B481" s="29"/>
      <c r="C481" s="29"/>
      <c r="D481" s="29"/>
      <c r="E481" s="29">
        <v>50000</v>
      </c>
      <c r="F481" s="29">
        <f>IF(AND(F478&gt;A481, F478&lt;=E481),F478,0)</f>
        <v>0</v>
      </c>
      <c r="G481" s="29">
        <f>0+(3/100)*(-A481+F481)</f>
        <v>0</v>
      </c>
      <c r="H481" s="29">
        <f>0+(2/100)*(-A481+F481)</f>
        <v>0</v>
      </c>
      <c r="I481" s="29"/>
      <c r="J481" s="50"/>
      <c r="K481" s="29"/>
      <c r="L481" s="29"/>
      <c r="M481" s="29">
        <f>IF(AND(DONBIB!I35="non",DONBIB!F35="épou(x)(se)"),G490,0)</f>
        <v>0</v>
      </c>
      <c r="O481" s="51"/>
    </row>
    <row r="482" spans="1:15" x14ac:dyDescent="0.2">
      <c r="A482" s="29">
        <f>E481</f>
        <v>50000</v>
      </c>
      <c r="B482" s="29"/>
      <c r="C482" s="29"/>
      <c r="D482" s="29"/>
      <c r="E482" s="29">
        <v>100000</v>
      </c>
      <c r="F482" s="29">
        <f>IF(AND(F478&gt;A482, F478&lt;=E482),F478,0)</f>
        <v>0</v>
      </c>
      <c r="G482" s="29">
        <f>(50000/100*3)+(8/100)*(-A482+F482)</f>
        <v>-2500</v>
      </c>
      <c r="H482" s="29">
        <f>(50000/100*2)+(5.3/100)*(-A482+F482)</f>
        <v>-1650</v>
      </c>
      <c r="I482" s="29"/>
      <c r="J482" s="50"/>
      <c r="K482" s="29"/>
      <c r="L482" s="29"/>
      <c r="M482" s="29">
        <f>IF(DONBIB!F35="frère/soeur",G501,0)</f>
        <v>0</v>
      </c>
      <c r="O482" s="51"/>
    </row>
    <row r="483" spans="1:15" x14ac:dyDescent="0.2">
      <c r="A483" s="29">
        <f>E482</f>
        <v>100000</v>
      </c>
      <c r="B483" s="29"/>
      <c r="C483" s="29"/>
      <c r="D483" s="29"/>
      <c r="E483" s="29">
        <v>175000</v>
      </c>
      <c r="F483" s="29">
        <f>IF(AND(F478&gt;A483, F478&lt;=E483),F478,0)</f>
        <v>0</v>
      </c>
      <c r="G483" s="29">
        <f>(50000/100*3)+(50000/100*8)+((9/100)*(-A483+F483))</f>
        <v>-3500</v>
      </c>
      <c r="H483" s="29">
        <f>(50000/100*2)+(50000/100*5.3)+((6/100)*(-A483+F483))</f>
        <v>-2350</v>
      </c>
      <c r="I483" s="29"/>
      <c r="J483" s="50"/>
      <c r="K483" s="29"/>
      <c r="L483" s="29"/>
      <c r="M483" s="29">
        <f>IF(DONBIB!F35="oncle-tante/neveu-nièce",G514,0)</f>
        <v>0</v>
      </c>
      <c r="O483" s="51"/>
    </row>
    <row r="484" spans="1:15" x14ac:dyDescent="0.2">
      <c r="A484" s="29">
        <f>E483</f>
        <v>175000</v>
      </c>
      <c r="B484" s="29"/>
      <c r="C484" s="29"/>
      <c r="D484" s="29"/>
      <c r="E484" s="29">
        <v>250000</v>
      </c>
      <c r="F484" s="29">
        <f>IF(AND(F478&gt;A484, F478&lt;=E484),F478,0)</f>
        <v>0</v>
      </c>
      <c r="G484" s="29">
        <f>(50000/100*3)+(50000/100*8)+(75000/100*9)+((18/100)*(-A484+F484))</f>
        <v>-19250</v>
      </c>
      <c r="H484" s="29">
        <f>(50000/100*2)+(50000/100*5.3)+(75000/100*6)+((12/100)*(-A484+F484))</f>
        <v>-12850</v>
      </c>
      <c r="I484" s="29"/>
      <c r="J484" s="50"/>
      <c r="K484" s="29"/>
      <c r="L484" s="29"/>
      <c r="M484" s="29">
        <f>IF(DONBIB!F35="étrangers",M514,0)</f>
        <v>0</v>
      </c>
      <c r="O484" s="51"/>
    </row>
    <row r="485" spans="1:15" x14ac:dyDescent="0.2">
      <c r="A485" s="29">
        <f>E484</f>
        <v>250000</v>
      </c>
      <c r="B485" s="29"/>
      <c r="C485" s="29"/>
      <c r="D485" s="29"/>
      <c r="E485" s="29">
        <v>500000</v>
      </c>
      <c r="F485" s="29">
        <f>IF(AND(F478&gt;A485, F478&lt;=E485),F478,0)</f>
        <v>0</v>
      </c>
      <c r="G485" s="29">
        <f>(50000/100*3)+(50000/100*8)+(75000/100*9)+(75000/100*18)+((24/100)*(-A485+F485))</f>
        <v>-34250</v>
      </c>
      <c r="H485" s="29">
        <f>(50000/100*2)+(50000/100*5.3)+(75000/100*6)+(75000/100*12)+((24/100)*(-A485+F485))</f>
        <v>-42850</v>
      </c>
      <c r="I485" s="29"/>
      <c r="J485" s="29"/>
      <c r="K485" s="29"/>
      <c r="L485" s="29"/>
      <c r="M485" s="29"/>
      <c r="O485" s="51"/>
    </row>
    <row r="486" spans="1:15" x14ac:dyDescent="0.2">
      <c r="A486" s="29">
        <f>E485</f>
        <v>500000</v>
      </c>
      <c r="B486" s="29"/>
      <c r="C486" s="29"/>
      <c r="D486" s="29"/>
      <c r="E486" s="29">
        <v>999999999</v>
      </c>
      <c r="F486" s="29">
        <f>IF(AND(F478&gt;A486, F478&lt;=E486),F478,0)</f>
        <v>0</v>
      </c>
      <c r="G486" s="29">
        <f>(50000/100*3)+(50000/100*8)+(75000/100*9)+(75000/100*18)+(250000/100*24)+((30/100)*(-A486+F486))</f>
        <v>-64250</v>
      </c>
      <c r="H486" s="29">
        <f>(50000/100*2)+(50000/100*5.3)+(75000/100*6)+(75000/100*12)+(250000/100*24)+((30/100)*(-A486+F486))</f>
        <v>-72850</v>
      </c>
      <c r="I486" s="29"/>
      <c r="J486" s="29"/>
      <c r="K486" s="29"/>
      <c r="L486" s="29"/>
      <c r="M486" s="29">
        <f>SUM(M478:M485)</f>
        <v>0</v>
      </c>
      <c r="O486" s="51"/>
    </row>
    <row r="487" spans="1:15" x14ac:dyDescent="0.2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O487" s="51"/>
    </row>
    <row r="488" spans="1:15" x14ac:dyDescent="0.2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O488" s="51"/>
    </row>
    <row r="489" spans="1:15" x14ac:dyDescent="0.2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O489" s="51"/>
    </row>
    <row r="490" spans="1:15" x14ac:dyDescent="0.2">
      <c r="A490" s="54" t="s">
        <v>7</v>
      </c>
      <c r="B490" s="54"/>
      <c r="C490" s="54"/>
      <c r="D490" s="54"/>
      <c r="E490" s="29"/>
      <c r="F490" s="29"/>
      <c r="G490" s="29">
        <f>VLOOKUP(F478,F481:G486,2,FALSE)</f>
        <v>0</v>
      </c>
      <c r="H490" s="29">
        <f>VLOOKUP(F478,F481:H486,3,FALSE)</f>
        <v>0</v>
      </c>
      <c r="I490" s="29"/>
      <c r="J490" s="29"/>
      <c r="K490" s="29"/>
      <c r="L490" s="29"/>
      <c r="M490" s="29"/>
      <c r="O490" s="51"/>
    </row>
    <row r="491" spans="1:15" x14ac:dyDescent="0.2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O491" s="51"/>
    </row>
    <row r="492" spans="1:15" x14ac:dyDescent="0.2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O492" s="51"/>
    </row>
    <row r="493" spans="1:15" x14ac:dyDescent="0.2">
      <c r="A493" s="52" t="s">
        <v>8</v>
      </c>
      <c r="B493" s="52"/>
      <c r="C493" s="52"/>
      <c r="D493" s="52"/>
      <c r="E493" s="29"/>
      <c r="F493" s="29"/>
      <c r="G493" s="53" t="s">
        <v>9</v>
      </c>
      <c r="H493" s="53"/>
      <c r="I493" s="42"/>
      <c r="J493" s="42"/>
      <c r="K493" s="42"/>
      <c r="L493" s="42"/>
      <c r="M493" s="42"/>
    </row>
    <row r="494" spans="1:15" x14ac:dyDescent="0.2">
      <c r="A494" s="29">
        <v>0</v>
      </c>
      <c r="B494" s="29"/>
      <c r="C494" s="29"/>
      <c r="D494" s="29"/>
      <c r="E494" s="29">
        <v>12500</v>
      </c>
      <c r="F494" s="29">
        <f>IF(AND(F478&gt;A494, F478&lt;=E494),F478,0)</f>
        <v>0</v>
      </c>
      <c r="G494" s="29">
        <f>0+(20/100)*(-A494+F494)</f>
        <v>0</v>
      </c>
      <c r="H494" s="29"/>
      <c r="I494" s="29"/>
      <c r="J494" s="29"/>
      <c r="K494" s="29"/>
      <c r="L494" s="29"/>
      <c r="M494" s="29"/>
    </row>
    <row r="495" spans="1:15" x14ac:dyDescent="0.2">
      <c r="A495" s="29">
        <f>E494</f>
        <v>12500</v>
      </c>
      <c r="B495" s="29"/>
      <c r="C495" s="29"/>
      <c r="D495" s="29"/>
      <c r="E495" s="29">
        <v>25000</v>
      </c>
      <c r="F495" s="29">
        <f>IF(AND(F478&gt;A495, F478&lt;=E495),F478,0)</f>
        <v>0</v>
      </c>
      <c r="G495" s="29">
        <f>(12500/100*20)+((25/100)*(-A495+F495))</f>
        <v>-625</v>
      </c>
      <c r="H495" s="29"/>
      <c r="I495" s="29"/>
      <c r="J495" s="29"/>
      <c r="K495" s="29"/>
      <c r="L495" s="29"/>
      <c r="M495" s="29"/>
    </row>
    <row r="496" spans="1:15" x14ac:dyDescent="0.2">
      <c r="A496" s="29">
        <f>E495</f>
        <v>25000</v>
      </c>
      <c r="B496" s="29"/>
      <c r="C496" s="29"/>
      <c r="D496" s="29"/>
      <c r="E496" s="29">
        <v>50000</v>
      </c>
      <c r="F496" s="29">
        <f>IF(AND(F478&gt;A496, F478&lt;=E496),F478,0)</f>
        <v>0</v>
      </c>
      <c r="G496" s="29">
        <f>(12500/100*20)+(12500/100*25)+((30/100)*(-A496+F496))</f>
        <v>-1875</v>
      </c>
      <c r="H496" s="29"/>
      <c r="I496" s="29"/>
      <c r="J496" s="29"/>
      <c r="K496" s="29"/>
      <c r="L496" s="29"/>
      <c r="M496" s="29"/>
    </row>
    <row r="497" spans="1:15" x14ac:dyDescent="0.2">
      <c r="A497" s="29">
        <f>E496</f>
        <v>50000</v>
      </c>
      <c r="B497" s="29"/>
      <c r="C497" s="29"/>
      <c r="D497" s="29"/>
      <c r="E497" s="29">
        <v>100000</v>
      </c>
      <c r="F497" s="29">
        <f>IF(AND(F478&gt;A497, F478&lt;=E497),F478,0)</f>
        <v>0</v>
      </c>
      <c r="G497" s="29">
        <f>(12500/100*20)+(12500/100*25)+(25000/100*30)+((40/100)*(-A497+F497))</f>
        <v>-6875</v>
      </c>
      <c r="H497" s="29"/>
      <c r="I497" s="29"/>
      <c r="J497" s="29"/>
      <c r="K497" s="29"/>
      <c r="L497" s="29"/>
      <c r="M497" s="29"/>
    </row>
    <row r="498" spans="1:15" x14ac:dyDescent="0.2">
      <c r="A498" s="29">
        <f>E497</f>
        <v>100000</v>
      </c>
      <c r="B498" s="29"/>
      <c r="C498" s="29"/>
      <c r="D498" s="29"/>
      <c r="E498" s="29">
        <v>175000</v>
      </c>
      <c r="F498" s="29">
        <f>IF(AND(F478&gt;A498, F478&lt;=E498),F478,0)</f>
        <v>0</v>
      </c>
      <c r="G498" s="29">
        <f>(12500/100*20)+(12500/100*25)+(25000/100*30)+(50000/100*40)+((55/100)*(-A498+F498))</f>
        <v>-21875.000000000007</v>
      </c>
      <c r="H498" s="29"/>
      <c r="I498" s="29"/>
      <c r="J498" s="29"/>
      <c r="K498" s="29"/>
      <c r="L498" s="29"/>
      <c r="M498" s="29"/>
    </row>
    <row r="499" spans="1:15" x14ac:dyDescent="0.2">
      <c r="A499" s="29">
        <v>175000</v>
      </c>
      <c r="B499" s="29"/>
      <c r="C499" s="29"/>
      <c r="D499" s="29"/>
      <c r="E499" s="29">
        <v>250000</v>
      </c>
      <c r="F499" s="29">
        <f>IF(AND(F478&gt;A499, F478&lt;=E499),F478,0)</f>
        <v>0</v>
      </c>
      <c r="G499" s="29">
        <f>(12500/100*20)+(12500/100*25)+(25000/100*30)+(50000/100*40)+(75000/100*55)+((60/100)*(-A499+F499))</f>
        <v>-30625</v>
      </c>
      <c r="H499" s="29"/>
      <c r="I499" s="29"/>
      <c r="J499" s="29"/>
      <c r="K499" s="29"/>
      <c r="L499" s="29"/>
      <c r="M499" s="29"/>
    </row>
    <row r="500" spans="1:15" x14ac:dyDescent="0.2">
      <c r="A500" s="29">
        <f>E499</f>
        <v>250000</v>
      </c>
      <c r="B500" s="29"/>
      <c r="C500" s="29"/>
      <c r="D500" s="29"/>
      <c r="E500" s="29">
        <v>999999999</v>
      </c>
      <c r="F500" s="29">
        <f>IF(AND(F478&gt;A500, F478&lt;=E500),F478,0)</f>
        <v>0</v>
      </c>
      <c r="G500" s="29">
        <f>(12500/100*20)+(12500/100*25)+(25000/100*30)+(50000/100*40)+(75000/100*55)+(75000/100*60)+((65/100)*(-A500+F500))</f>
        <v>-43125</v>
      </c>
      <c r="H500" s="29"/>
      <c r="I500" s="29"/>
      <c r="J500" s="29"/>
      <c r="K500" s="29"/>
      <c r="L500" s="29"/>
      <c r="M500" s="29"/>
    </row>
    <row r="501" spans="1:15" x14ac:dyDescent="0.2">
      <c r="A501" s="54" t="s">
        <v>7</v>
      </c>
      <c r="B501" s="54"/>
      <c r="C501" s="54"/>
      <c r="D501" s="54"/>
      <c r="E501" s="29"/>
      <c r="F501" s="29"/>
      <c r="G501" s="29">
        <f>VLOOKUP(F478,F494:G500,2,FALSE)</f>
        <v>0</v>
      </c>
      <c r="H501" s="29"/>
      <c r="I501" s="29"/>
      <c r="J501" s="29"/>
      <c r="K501" s="29"/>
      <c r="L501" s="29"/>
      <c r="M501" s="29"/>
    </row>
    <row r="503" spans="1:15" x14ac:dyDescent="0.2">
      <c r="E503" s="29"/>
      <c r="F503" s="29"/>
      <c r="G503" s="29"/>
      <c r="H503" s="32"/>
      <c r="I503" s="29"/>
      <c r="J503" s="33"/>
      <c r="M503" s="33"/>
      <c r="O503" s="33"/>
    </row>
    <row r="504" spans="1:15" x14ac:dyDescent="0.2">
      <c r="E504" s="29"/>
      <c r="F504" s="29"/>
      <c r="G504" s="29"/>
      <c r="H504" s="32"/>
      <c r="I504" s="29"/>
      <c r="J504" s="33"/>
      <c r="M504" s="33"/>
      <c r="O504" s="33"/>
    </row>
    <row r="505" spans="1:15" x14ac:dyDescent="0.2">
      <c r="E505" s="29"/>
      <c r="F505" s="29"/>
      <c r="G505" s="29"/>
      <c r="H505" s="32"/>
      <c r="I505" s="29"/>
      <c r="J505" s="33"/>
      <c r="M505" s="33"/>
      <c r="O505" s="33"/>
    </row>
    <row r="506" spans="1:15" x14ac:dyDescent="0.2">
      <c r="A506" s="52" t="s">
        <v>26</v>
      </c>
      <c r="B506" s="52"/>
      <c r="C506" s="52"/>
      <c r="D506" s="52"/>
      <c r="E506" s="29"/>
      <c r="F506" s="29"/>
      <c r="G506" s="53" t="s">
        <v>10</v>
      </c>
      <c r="H506" s="32"/>
      <c r="I506" s="52" t="s">
        <v>27</v>
      </c>
      <c r="J506" s="29"/>
      <c r="K506" s="29"/>
      <c r="L506" s="29"/>
      <c r="M506" s="53" t="s">
        <v>11</v>
      </c>
      <c r="O506" s="33"/>
    </row>
    <row r="507" spans="1:15" x14ac:dyDescent="0.2">
      <c r="A507" s="29">
        <v>0</v>
      </c>
      <c r="B507" s="29"/>
      <c r="C507" s="29"/>
      <c r="D507" s="29"/>
      <c r="E507" s="29">
        <v>50000</v>
      </c>
      <c r="F507" s="29">
        <f>IF(AND(F478&gt;A507, F478&lt;=E507),F478,0)</f>
        <v>0</v>
      </c>
      <c r="G507" s="29">
        <f>0+(35/100)*(-A507+F507)</f>
        <v>0</v>
      </c>
      <c r="H507" s="32"/>
      <c r="I507" s="29">
        <v>0</v>
      </c>
      <c r="J507" s="29">
        <v>50000</v>
      </c>
      <c r="K507" s="29">
        <f>IF(AND(F478&gt;I507, F478&lt;=J507),F478,0)</f>
        <v>0</v>
      </c>
      <c r="L507" s="29"/>
      <c r="M507" s="29">
        <f>0+(40/100)*(-I507+K507)</f>
        <v>0</v>
      </c>
      <c r="O507" s="33"/>
    </row>
    <row r="508" spans="1:15" x14ac:dyDescent="0.2">
      <c r="A508" s="29">
        <f>E507</f>
        <v>50000</v>
      </c>
      <c r="B508" s="29"/>
      <c r="C508" s="29"/>
      <c r="D508" s="29"/>
      <c r="E508" s="29">
        <v>100000</v>
      </c>
      <c r="F508" s="29">
        <f>IF(AND(F478&gt;A508, F478&lt;=E508),F478,0)</f>
        <v>0</v>
      </c>
      <c r="G508" s="29">
        <f>(50000/100*35)+((50/100)*(-A508+F508))</f>
        <v>-7500</v>
      </c>
      <c r="H508" s="32"/>
      <c r="I508" s="29">
        <f>J507</f>
        <v>50000</v>
      </c>
      <c r="J508" s="29">
        <v>75000</v>
      </c>
      <c r="K508" s="29">
        <f>IF(AND(F478&gt;I508, F478&lt;=J508),F478,0)</f>
        <v>0</v>
      </c>
      <c r="L508" s="29"/>
      <c r="M508" s="29">
        <f>(50000/100*40)+((55/100)*(-I508+K508))</f>
        <v>-7500.0000000000036</v>
      </c>
      <c r="O508" s="33"/>
    </row>
    <row r="509" spans="1:15" x14ac:dyDescent="0.2">
      <c r="A509" s="29">
        <f>E508</f>
        <v>100000</v>
      </c>
      <c r="B509" s="29"/>
      <c r="C509" s="29"/>
      <c r="D509" s="29"/>
      <c r="E509" s="29">
        <v>175000</v>
      </c>
      <c r="F509" s="29">
        <f>IF(AND(F478&gt;A509, F478&lt;=E509),F478,0)</f>
        <v>0</v>
      </c>
      <c r="G509" s="29">
        <f>(50000/100*35)+(50000/100*50)+((60/100)*(-A509+F509))</f>
        <v>-17500</v>
      </c>
      <c r="H509" s="32"/>
      <c r="I509" s="29">
        <f>J508</f>
        <v>75000</v>
      </c>
      <c r="J509" s="29">
        <v>175000</v>
      </c>
      <c r="K509" s="29">
        <f>IF(AND(F478&gt;I509, F478&lt;=J509),F478,0)</f>
        <v>0</v>
      </c>
      <c r="L509" s="29"/>
      <c r="M509" s="29">
        <f>(50000/100*40)+(25000/100*55)+((65/100)*(-I509+K509))</f>
        <v>-15000</v>
      </c>
      <c r="O509" s="33"/>
    </row>
    <row r="510" spans="1:15" x14ac:dyDescent="0.2">
      <c r="A510" s="29">
        <f>E509</f>
        <v>175000</v>
      </c>
      <c r="B510" s="29"/>
      <c r="C510" s="29"/>
      <c r="D510" s="29"/>
      <c r="E510" s="29">
        <v>999999999</v>
      </c>
      <c r="F510" s="29">
        <f>IF(AND(F478&gt;A510, F478&lt;=E510),F478,0)</f>
        <v>0</v>
      </c>
      <c r="G510" s="29">
        <f>(50000/100*35)+(50000/100*50)+(75000/100*60)+((70/100)*(-A510+F510))</f>
        <v>-34999.999999999985</v>
      </c>
      <c r="H510" s="32"/>
      <c r="I510" s="29">
        <f>J509</f>
        <v>175000</v>
      </c>
      <c r="J510" s="29">
        <v>999999999</v>
      </c>
      <c r="K510" s="29">
        <f>IF(AND(F478&gt;I510, F478&lt;=J510),F478,0)</f>
        <v>0</v>
      </c>
      <c r="L510" s="29"/>
      <c r="M510" s="29">
        <f>(50000/100*40)+(25000/100*55)+(100000/100*65)+((80/100)*(-I510+K510))</f>
        <v>-41250</v>
      </c>
      <c r="O510" s="33"/>
    </row>
    <row r="511" spans="1:15" x14ac:dyDescent="0.2">
      <c r="A511" s="29"/>
      <c r="B511" s="29"/>
      <c r="C511" s="29"/>
      <c r="D511" s="29"/>
      <c r="E511" s="29"/>
      <c r="F511" s="29"/>
      <c r="G511" s="29"/>
      <c r="H511" s="32"/>
      <c r="I511" s="29"/>
      <c r="J511" s="29"/>
      <c r="K511" s="29"/>
      <c r="L511" s="29"/>
      <c r="M511" s="29"/>
      <c r="O511" s="33"/>
    </row>
    <row r="512" spans="1:15" x14ac:dyDescent="0.2">
      <c r="A512" s="29"/>
      <c r="B512" s="29"/>
      <c r="C512" s="29"/>
      <c r="D512" s="29"/>
      <c r="E512" s="29"/>
      <c r="F512" s="29"/>
      <c r="G512" s="29"/>
      <c r="H512" s="32"/>
      <c r="I512" s="29"/>
      <c r="J512" s="29"/>
      <c r="K512" s="29"/>
      <c r="L512" s="29"/>
      <c r="M512" s="29"/>
      <c r="O512" s="33"/>
    </row>
    <row r="513" spans="1:15" x14ac:dyDescent="0.2">
      <c r="A513" s="29"/>
      <c r="B513" s="29"/>
      <c r="C513" s="29"/>
      <c r="D513" s="29"/>
      <c r="E513" s="29"/>
      <c r="F513" s="29"/>
      <c r="G513" s="29"/>
      <c r="H513" s="32"/>
      <c r="I513" s="29"/>
      <c r="J513" s="29"/>
      <c r="K513" s="29"/>
      <c r="L513" s="29"/>
      <c r="M513" s="29"/>
      <c r="O513" s="33"/>
    </row>
    <row r="514" spans="1:15" x14ac:dyDescent="0.2">
      <c r="A514" s="54" t="s">
        <v>7</v>
      </c>
      <c r="B514" s="54"/>
      <c r="C514" s="54"/>
      <c r="D514" s="54"/>
      <c r="E514" s="29"/>
      <c r="F514" s="29"/>
      <c r="G514" s="29">
        <f>VLOOKUP(F478,F507:G510,2,FALSE)</f>
        <v>0</v>
      </c>
      <c r="H514" s="32"/>
      <c r="I514" s="54" t="s">
        <v>7</v>
      </c>
      <c r="J514" s="29"/>
      <c r="K514" s="29"/>
      <c r="L514" s="29"/>
      <c r="M514" s="29">
        <f>VLOOKUP(F478,K507:M510,3,FALSE)</f>
        <v>0</v>
      </c>
      <c r="O514" s="33"/>
    </row>
    <row r="515" spans="1:15" x14ac:dyDescent="0.2">
      <c r="H515" s="32"/>
      <c r="O515" s="33"/>
    </row>
    <row r="516" spans="1:15" x14ac:dyDescent="0.2">
      <c r="E516" s="29"/>
      <c r="F516" s="29"/>
      <c r="G516" s="29"/>
      <c r="H516" s="32"/>
      <c r="J516" s="29"/>
      <c r="K516" s="29"/>
      <c r="L516" s="29"/>
      <c r="M516" s="29"/>
      <c r="O516" s="33"/>
    </row>
    <row r="517" spans="1:15" x14ac:dyDescent="0.2">
      <c r="E517" s="29"/>
      <c r="G517" s="29"/>
    </row>
    <row r="519" spans="1:15" x14ac:dyDescent="0.2">
      <c r="E519" s="9" t="s">
        <v>84</v>
      </c>
      <c r="F519" s="9" t="s">
        <v>91</v>
      </c>
    </row>
    <row r="521" spans="1:15" x14ac:dyDescent="0.2">
      <c r="E521" s="9" t="s">
        <v>84</v>
      </c>
      <c r="F521" s="9">
        <f>IF(DONBIB!J35=3,M486*12%,0)</f>
        <v>0</v>
      </c>
      <c r="G521" s="9">
        <f>IF(F521&gt;372,372,F521)</f>
        <v>0</v>
      </c>
      <c r="I521" s="9" t="s">
        <v>30</v>
      </c>
      <c r="J521" s="9">
        <f>M486*6%</f>
        <v>0</v>
      </c>
      <c r="K521" s="9">
        <f>IF(J521&gt;186,186,J521)</f>
        <v>0</v>
      </c>
      <c r="L521" s="9">
        <f>IF(DONBIB!J35=3,K521,0)</f>
        <v>0</v>
      </c>
    </row>
    <row r="522" spans="1:15" x14ac:dyDescent="0.2">
      <c r="F522" s="9">
        <f>IF(DONBIB!J35=4,M486*16%,0)</f>
        <v>0</v>
      </c>
      <c r="G522" s="9">
        <f>IF(F522&gt;496,496,F522)</f>
        <v>0</v>
      </c>
      <c r="I522" s="9" t="s">
        <v>31</v>
      </c>
      <c r="J522" s="9">
        <f>M486*8%</f>
        <v>0</v>
      </c>
      <c r="K522" s="9">
        <f>IF(J522&gt;248,248,J522)</f>
        <v>0</v>
      </c>
      <c r="L522" s="9">
        <f>IF(DONBIB!J35=4,K522,0)</f>
        <v>0</v>
      </c>
    </row>
    <row r="523" spans="1:15" x14ac:dyDescent="0.2">
      <c r="F523" s="9">
        <f>IF(DONBIB!J35=5,M486*20%,0)</f>
        <v>0</v>
      </c>
      <c r="G523" s="9">
        <f>IF(F523&gt;620,620,F523)</f>
        <v>0</v>
      </c>
      <c r="J523" s="9">
        <f>M486*10%</f>
        <v>0</v>
      </c>
      <c r="K523" s="9">
        <f>IF(J523&gt;310,310,J523)</f>
        <v>0</v>
      </c>
      <c r="L523" s="9">
        <f>IF(DONBIB!J35=5,K523,0)</f>
        <v>0</v>
      </c>
    </row>
    <row r="524" spans="1:15" x14ac:dyDescent="0.2">
      <c r="F524" s="9">
        <f>IF(DONBIB!J35=6,M486*24%,0)</f>
        <v>0</v>
      </c>
      <c r="G524" s="9">
        <f>IF(F524&gt;744,744,F524)</f>
        <v>0</v>
      </c>
      <c r="J524" s="9">
        <f>M486*12%</f>
        <v>0</v>
      </c>
      <c r="K524" s="9">
        <f>IF(J524&gt;372,372,J524)</f>
        <v>0</v>
      </c>
      <c r="L524" s="9">
        <f>IF(DONBIB!J35=6,K524,0)</f>
        <v>0</v>
      </c>
    </row>
    <row r="525" spans="1:15" x14ac:dyDescent="0.2">
      <c r="F525" s="9">
        <f>IF(DONBIB!J35=7,M486*28%,0)</f>
        <v>0</v>
      </c>
      <c r="G525" s="9">
        <f>IF(F525&gt;868,868,F525)</f>
        <v>0</v>
      </c>
      <c r="J525" s="9">
        <f>M486*14%</f>
        <v>0</v>
      </c>
      <c r="K525" s="9">
        <f>IF(J525&gt;434,434,J525)</f>
        <v>0</v>
      </c>
      <c r="L525" s="9">
        <f>IF(DONBIB!J35=7,K525,0)</f>
        <v>0</v>
      </c>
    </row>
    <row r="526" spans="1:15" x14ac:dyDescent="0.2">
      <c r="F526" s="9">
        <f>IF(DONBIB!J35=8,M486*32%,0)</f>
        <v>0</v>
      </c>
      <c r="G526" s="9">
        <f>IF(F526&gt;992,992,F526)</f>
        <v>0</v>
      </c>
      <c r="J526" s="9">
        <f>M486*16%</f>
        <v>0</v>
      </c>
      <c r="K526" s="9">
        <f>IF(J526&gt;496,496,J526)</f>
        <v>0</v>
      </c>
      <c r="L526" s="9">
        <f>IF(DONBIB!J35=8,K526,0)</f>
        <v>0</v>
      </c>
    </row>
    <row r="527" spans="1:15" x14ac:dyDescent="0.2">
      <c r="F527" s="9">
        <f>IF(DONBIB!J35=9,M486*36%,0)</f>
        <v>0</v>
      </c>
      <c r="G527" s="9">
        <f>IF(F527&gt;1116,1116,F527)</f>
        <v>0</v>
      </c>
      <c r="J527" s="9">
        <f>M486*18%</f>
        <v>0</v>
      </c>
      <c r="K527" s="9">
        <f>IF(J527&gt;558,558,J527)</f>
        <v>0</v>
      </c>
      <c r="L527" s="9">
        <f>IF(DONBIB!J35=9,K527,0)</f>
        <v>0</v>
      </c>
    </row>
    <row r="528" spans="1:15" x14ac:dyDescent="0.2">
      <c r="F528" s="9">
        <f>IF(DONBIB!J35=10,M486*40%,0)</f>
        <v>0</v>
      </c>
      <c r="G528" s="9">
        <f>IF(F528&gt;1240,1240,F528)</f>
        <v>0</v>
      </c>
      <c r="J528" s="9">
        <f>M486*20%</f>
        <v>0</v>
      </c>
      <c r="K528" s="9">
        <f>IF(J528&gt;620,620,J528)</f>
        <v>0</v>
      </c>
      <c r="L528" s="9">
        <f>IF(DONBIB!J35=10,K528,0)</f>
        <v>0</v>
      </c>
    </row>
    <row r="530" spans="5:12" x14ac:dyDescent="0.2">
      <c r="G530" s="9">
        <f>SUM(G521:G529)</f>
        <v>0</v>
      </c>
      <c r="L530" s="9">
        <f>SUM(L521:L529)</f>
        <v>0</v>
      </c>
    </row>
    <row r="531" spans="5:12" x14ac:dyDescent="0.2">
      <c r="G531" s="22"/>
    </row>
    <row r="532" spans="5:12" x14ac:dyDescent="0.2">
      <c r="G532" s="22"/>
    </row>
    <row r="533" spans="5:12" x14ac:dyDescent="0.2">
      <c r="G533" s="22"/>
    </row>
    <row r="534" spans="5:12" x14ac:dyDescent="0.2">
      <c r="E534" s="9" t="s">
        <v>32</v>
      </c>
      <c r="F534" s="23">
        <f>M486-G530</f>
        <v>0</v>
      </c>
      <c r="G534" s="22"/>
      <c r="H534" s="9" t="s">
        <v>33</v>
      </c>
      <c r="I534" s="56">
        <f>M486-L530</f>
        <v>0</v>
      </c>
    </row>
    <row r="535" spans="5:12" x14ac:dyDescent="0.2">
      <c r="E535" s="29"/>
      <c r="G535" s="29"/>
    </row>
    <row r="536" spans="5:12" x14ac:dyDescent="0.2">
      <c r="E536" s="29"/>
      <c r="G536" s="29"/>
    </row>
    <row r="537" spans="5:12" x14ac:dyDescent="0.2">
      <c r="E537" s="29"/>
      <c r="G537" s="29"/>
    </row>
    <row r="538" spans="5:12" x14ac:dyDescent="0.2">
      <c r="E538" s="29"/>
      <c r="G538" s="29"/>
    </row>
    <row r="539" spans="5:12" x14ac:dyDescent="0.2">
      <c r="E539" s="29"/>
      <c r="G539" s="29"/>
    </row>
    <row r="540" spans="5:12" x14ac:dyDescent="0.2">
      <c r="E540" s="29"/>
      <c r="G540" s="29"/>
    </row>
    <row r="541" spans="5:12" x14ac:dyDescent="0.2">
      <c r="E541" s="29"/>
      <c r="G541" s="29"/>
    </row>
    <row r="542" spans="5:12" x14ac:dyDescent="0.2">
      <c r="E542" s="29"/>
      <c r="G542" s="29"/>
    </row>
    <row r="543" spans="5:12" x14ac:dyDescent="0.2">
      <c r="E543" s="29"/>
      <c r="G543" s="29"/>
    </row>
    <row r="544" spans="5:12" x14ac:dyDescent="0.2">
      <c r="E544" s="29"/>
      <c r="G544" s="29"/>
    </row>
    <row r="545" spans="5:7" x14ac:dyDescent="0.2">
      <c r="E545" s="29"/>
      <c r="G545" s="29"/>
    </row>
    <row r="546" spans="5:7" x14ac:dyDescent="0.2">
      <c r="E546" s="29"/>
      <c r="G546" s="29"/>
    </row>
    <row r="547" spans="5:7" x14ac:dyDescent="0.2">
      <c r="E547" s="29"/>
      <c r="G547" s="29"/>
    </row>
    <row r="548" spans="5:7" x14ac:dyDescent="0.2">
      <c r="E548" s="29"/>
      <c r="G548" s="29"/>
    </row>
    <row r="549" spans="5:7" x14ac:dyDescent="0.2">
      <c r="E549" s="29"/>
      <c r="G549" s="29"/>
    </row>
    <row r="550" spans="5:7" x14ac:dyDescent="0.2">
      <c r="E550" s="29"/>
      <c r="G550" s="29"/>
    </row>
    <row r="551" spans="5:7" x14ac:dyDescent="0.2">
      <c r="E551" s="29"/>
      <c r="G551" s="29"/>
    </row>
    <row r="552" spans="5:7" x14ac:dyDescent="0.2">
      <c r="E552" s="29"/>
      <c r="G552" s="29"/>
    </row>
    <row r="553" spans="5:7" x14ac:dyDescent="0.2">
      <c r="E553" s="29"/>
      <c r="G553" s="29"/>
    </row>
    <row r="554" spans="5:7" x14ac:dyDescent="0.2">
      <c r="E554" s="29"/>
      <c r="G554" s="29"/>
    </row>
    <row r="555" spans="5:7" x14ac:dyDescent="0.2">
      <c r="E555" s="29"/>
      <c r="G555" s="29"/>
    </row>
    <row r="556" spans="5:7" x14ac:dyDescent="0.2">
      <c r="E556" s="29"/>
      <c r="G556" s="29"/>
    </row>
    <row r="557" spans="5:7" x14ac:dyDescent="0.2">
      <c r="E557" s="29"/>
      <c r="G557" s="29"/>
    </row>
    <row r="558" spans="5:7" x14ac:dyDescent="0.2">
      <c r="E558" s="29"/>
      <c r="G558" s="29"/>
    </row>
    <row r="559" spans="5:7" x14ac:dyDescent="0.2">
      <c r="E559" s="29"/>
      <c r="G559" s="29"/>
    </row>
    <row r="560" spans="5:7" x14ac:dyDescent="0.2">
      <c r="E560" s="29"/>
      <c r="G560" s="29"/>
    </row>
    <row r="561" spans="5:7" x14ac:dyDescent="0.2">
      <c r="E561" s="29"/>
      <c r="G561" s="29"/>
    </row>
    <row r="562" spans="5:7" x14ac:dyDescent="0.2">
      <c r="E562" s="29"/>
      <c r="G562" s="29"/>
    </row>
    <row r="563" spans="5:7" x14ac:dyDescent="0.2">
      <c r="E563" s="29"/>
      <c r="G563" s="29"/>
    </row>
    <row r="564" spans="5:7" x14ac:dyDescent="0.2">
      <c r="E564" s="29"/>
      <c r="G564" s="29"/>
    </row>
    <row r="565" spans="5:7" x14ac:dyDescent="0.2">
      <c r="E565" s="29"/>
      <c r="G565" s="29"/>
    </row>
    <row r="566" spans="5:7" x14ac:dyDescent="0.2">
      <c r="E566" s="29"/>
      <c r="G566" s="29"/>
    </row>
    <row r="567" spans="5:7" x14ac:dyDescent="0.2">
      <c r="E567" s="29"/>
      <c r="G567" s="29"/>
    </row>
    <row r="568" spans="5:7" x14ac:dyDescent="0.2">
      <c r="E568" s="29"/>
      <c r="G568" s="29"/>
    </row>
    <row r="569" spans="5:7" x14ac:dyDescent="0.2">
      <c r="E569" s="29"/>
      <c r="G569" s="29"/>
    </row>
    <row r="570" spans="5:7" x14ac:dyDescent="0.2">
      <c r="E570" s="29"/>
      <c r="G570" s="29"/>
    </row>
    <row r="571" spans="5:7" x14ac:dyDescent="0.2">
      <c r="E571" s="29"/>
      <c r="G571" s="29"/>
    </row>
    <row r="572" spans="5:7" x14ac:dyDescent="0.2">
      <c r="E572" s="29"/>
      <c r="G572" s="29"/>
    </row>
    <row r="573" spans="5:7" x14ac:dyDescent="0.2">
      <c r="E573" s="29"/>
      <c r="G573" s="29"/>
    </row>
    <row r="574" spans="5:7" x14ac:dyDescent="0.2">
      <c r="E574" s="29"/>
      <c r="G574" s="29"/>
    </row>
    <row r="575" spans="5:7" x14ac:dyDescent="0.2">
      <c r="E575" s="29"/>
      <c r="G575" s="29"/>
    </row>
    <row r="576" spans="5:7" x14ac:dyDescent="0.2">
      <c r="E576" s="29"/>
      <c r="G576" s="29"/>
    </row>
    <row r="577" spans="1:15" x14ac:dyDescent="0.2">
      <c r="E577" s="29"/>
      <c r="G577" s="29"/>
    </row>
    <row r="578" spans="1:15" x14ac:dyDescent="0.2">
      <c r="E578" s="29"/>
      <c r="G578" s="29"/>
    </row>
    <row r="579" spans="1:15" ht="13.5" thickBot="1" x14ac:dyDescent="0.25">
      <c r="E579" s="29"/>
      <c r="G579" s="29"/>
    </row>
    <row r="580" spans="1:15" ht="13.5" thickTop="1" x14ac:dyDescent="0.2">
      <c r="A580" s="42"/>
      <c r="B580" s="42"/>
      <c r="C580" s="42"/>
      <c r="D580" s="42"/>
      <c r="E580" s="43"/>
      <c r="F580" s="44"/>
      <c r="G580" s="43"/>
      <c r="H580" s="43"/>
      <c r="I580" s="45"/>
      <c r="J580" s="46"/>
      <c r="K580" s="45"/>
      <c r="L580" s="45"/>
      <c r="M580" s="45"/>
      <c r="N580" s="47"/>
      <c r="O580" s="48"/>
    </row>
    <row r="581" spans="1:15" x14ac:dyDescent="0.2">
      <c r="A581" s="29" t="s">
        <v>4</v>
      </c>
      <c r="B581" s="29"/>
      <c r="C581" s="29"/>
      <c r="D581" s="29"/>
      <c r="E581" s="29"/>
      <c r="F581" s="29">
        <f>DONBIB!G42</f>
        <v>0</v>
      </c>
      <c r="G581" s="49"/>
      <c r="H581" s="29"/>
      <c r="I581" s="29"/>
      <c r="J581" s="50"/>
      <c r="K581" s="29"/>
      <c r="L581" s="29"/>
      <c r="M581" s="29">
        <f>IF(AND(DONBIB!I40="oui",DONBIB!F40="ligne directe"),H593,0)</f>
        <v>0</v>
      </c>
      <c r="O581" s="51"/>
    </row>
    <row r="582" spans="1:15" x14ac:dyDescent="0.2">
      <c r="A582" s="29"/>
      <c r="B582" s="29"/>
      <c r="C582" s="29"/>
      <c r="D582" s="29"/>
      <c r="E582" s="29"/>
      <c r="F582" s="29"/>
      <c r="G582" s="29"/>
      <c r="H582" s="29"/>
      <c r="I582" s="29"/>
      <c r="J582" s="50"/>
      <c r="K582" s="29"/>
      <c r="L582" s="29"/>
      <c r="M582" s="29">
        <f>IF(AND(DONBIB!I40="oui",DONBIB!F40="épou(x)(se)"),H593,0)</f>
        <v>0</v>
      </c>
      <c r="O582" s="51"/>
    </row>
    <row r="583" spans="1:15" x14ac:dyDescent="0.2">
      <c r="A583" s="52" t="s">
        <v>5</v>
      </c>
      <c r="B583" s="52"/>
      <c r="C583" s="52"/>
      <c r="D583" s="52"/>
      <c r="E583" s="29"/>
      <c r="F583" s="29"/>
      <c r="G583" s="53" t="s">
        <v>6</v>
      </c>
      <c r="H583" s="53" t="s">
        <v>25</v>
      </c>
      <c r="I583" s="29"/>
      <c r="J583" s="50"/>
      <c r="K583" s="29"/>
      <c r="L583" s="29"/>
      <c r="M583" s="29">
        <f>IF(AND(DONBIB!I40="non",DONBIB!F40="ligne directe"),G593,0)</f>
        <v>0</v>
      </c>
      <c r="O583" s="51"/>
    </row>
    <row r="584" spans="1:15" x14ac:dyDescent="0.2">
      <c r="A584" s="29">
        <v>0</v>
      </c>
      <c r="B584" s="29"/>
      <c r="C584" s="29"/>
      <c r="D584" s="29"/>
      <c r="E584" s="29">
        <v>50000</v>
      </c>
      <c r="F584" s="29">
        <f>IF(AND(F581&gt;A584, F581&lt;=E584),F581,0)</f>
        <v>0</v>
      </c>
      <c r="G584" s="29">
        <f>0+(3/100)*(-A584+F584)</f>
        <v>0</v>
      </c>
      <c r="H584" s="29">
        <f>0+(2/100)*(-A584+F584)</f>
        <v>0</v>
      </c>
      <c r="I584" s="29"/>
      <c r="J584" s="50"/>
      <c r="K584" s="29"/>
      <c r="L584" s="29"/>
      <c r="M584" s="29">
        <f>IF(AND(DONBIB!I40="non",DONBIB!F40="épou(x)(se)"),G593,0)</f>
        <v>0</v>
      </c>
      <c r="O584" s="51"/>
    </row>
    <row r="585" spans="1:15" x14ac:dyDescent="0.2">
      <c r="A585" s="29">
        <f>E584</f>
        <v>50000</v>
      </c>
      <c r="B585" s="29"/>
      <c r="C585" s="29"/>
      <c r="D585" s="29"/>
      <c r="E585" s="29">
        <v>100000</v>
      </c>
      <c r="F585" s="29">
        <f>IF(AND(F581&gt;A585, F581&lt;=E585),F581,0)</f>
        <v>0</v>
      </c>
      <c r="G585" s="29">
        <f>(50000/100*3)+(8/100)*(-A585+F585)</f>
        <v>-2500</v>
      </c>
      <c r="H585" s="29">
        <f>(50000/100*2)+(5.3/100)*(-A585+F585)</f>
        <v>-1650</v>
      </c>
      <c r="I585" s="29"/>
      <c r="J585" s="50"/>
      <c r="K585" s="29"/>
      <c r="L585" s="29"/>
      <c r="M585" s="29">
        <f>IF(DONBIB!F40="frère/soeur",G604,0)</f>
        <v>0</v>
      </c>
      <c r="O585" s="51"/>
    </row>
    <row r="586" spans="1:15" x14ac:dyDescent="0.2">
      <c r="A586" s="29">
        <f>E585</f>
        <v>100000</v>
      </c>
      <c r="B586" s="29"/>
      <c r="C586" s="29"/>
      <c r="D586" s="29"/>
      <c r="E586" s="29">
        <v>175000</v>
      </c>
      <c r="F586" s="29">
        <f>IF(AND(F581&gt;A586, F581&lt;=E586),F581,0)</f>
        <v>0</v>
      </c>
      <c r="G586" s="29">
        <f>(50000/100*3)+(50000/100*8)+((9/100)*(-A586+F586))</f>
        <v>-3500</v>
      </c>
      <c r="H586" s="29">
        <f>(50000/100*2)+(50000/100*5.3)+((6/100)*(-A586+F586))</f>
        <v>-2350</v>
      </c>
      <c r="I586" s="29"/>
      <c r="J586" s="50"/>
      <c r="K586" s="29"/>
      <c r="L586" s="29"/>
      <c r="M586" s="29">
        <f>IF(DONBIB!F40="oncle-tante/neveu-nièce",G617,0)</f>
        <v>0</v>
      </c>
      <c r="O586" s="51"/>
    </row>
    <row r="587" spans="1:15" x14ac:dyDescent="0.2">
      <c r="A587" s="29">
        <f>E586</f>
        <v>175000</v>
      </c>
      <c r="B587" s="29"/>
      <c r="C587" s="29"/>
      <c r="D587" s="29"/>
      <c r="E587" s="29">
        <v>250000</v>
      </c>
      <c r="F587" s="29">
        <f>IF(AND(F581&gt;A587, F581&lt;=E587),F581,0)</f>
        <v>0</v>
      </c>
      <c r="G587" s="29">
        <f>(50000/100*3)+(50000/100*8)+(75000/100*9)+((18/100)*(-A587+F587))</f>
        <v>-19250</v>
      </c>
      <c r="H587" s="29">
        <f>(50000/100*2)+(50000/100*5.3)+(75000/100*6)+((12/100)*(-A587+F587))</f>
        <v>-12850</v>
      </c>
      <c r="I587" s="29"/>
      <c r="J587" s="50"/>
      <c r="K587" s="29"/>
      <c r="L587" s="29"/>
      <c r="M587" s="29">
        <f>IF(DONBIB!F40="étrangers",M617,0)</f>
        <v>0</v>
      </c>
      <c r="O587" s="51"/>
    </row>
    <row r="588" spans="1:15" x14ac:dyDescent="0.2">
      <c r="A588" s="29">
        <f>E587</f>
        <v>250000</v>
      </c>
      <c r="B588" s="29"/>
      <c r="C588" s="29"/>
      <c r="D588" s="29"/>
      <c r="E588" s="29">
        <v>500000</v>
      </c>
      <c r="F588" s="29">
        <f>IF(AND(F581&gt;A588, F581&lt;=E588),F581,0)</f>
        <v>0</v>
      </c>
      <c r="G588" s="29">
        <f>(50000/100*3)+(50000/100*8)+(75000/100*9)+(75000/100*18)+((24/100)*(-A588+F588))</f>
        <v>-34250</v>
      </c>
      <c r="H588" s="29">
        <f>(50000/100*2)+(50000/100*5.3)+(75000/100*6)+(75000/100*12)+((24/100)*(-A588+F588))</f>
        <v>-42850</v>
      </c>
      <c r="I588" s="29"/>
      <c r="J588" s="29"/>
      <c r="K588" s="29"/>
      <c r="L588" s="29"/>
      <c r="M588" s="29"/>
      <c r="O588" s="51"/>
    </row>
    <row r="589" spans="1:15" x14ac:dyDescent="0.2">
      <c r="A589" s="29">
        <f>E588</f>
        <v>500000</v>
      </c>
      <c r="B589" s="29"/>
      <c r="C589" s="29"/>
      <c r="D589" s="29"/>
      <c r="E589" s="29">
        <v>999999999</v>
      </c>
      <c r="F589" s="29">
        <f>IF(AND(F581&gt;A589, F581&lt;=E589),F581,0)</f>
        <v>0</v>
      </c>
      <c r="G589" s="29">
        <f>(50000/100*3)+(50000/100*8)+(75000/100*9)+(75000/100*18)+(250000/100*24)+((30/100)*(-A589+F589))</f>
        <v>-64250</v>
      </c>
      <c r="H589" s="29">
        <f>(50000/100*2)+(50000/100*5.3)+(75000/100*6)+(75000/100*12)+(250000/100*24)+((30/100)*(-A589+F589))</f>
        <v>-72850</v>
      </c>
      <c r="I589" s="29"/>
      <c r="J589" s="29"/>
      <c r="K589" s="29"/>
      <c r="L589" s="29"/>
      <c r="M589" s="29">
        <f>SUM(M581:M588)</f>
        <v>0</v>
      </c>
      <c r="O589" s="51"/>
    </row>
    <row r="590" spans="1:15" x14ac:dyDescent="0.2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O590" s="51"/>
    </row>
    <row r="591" spans="1:15" x14ac:dyDescent="0.2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O591" s="51"/>
    </row>
    <row r="592" spans="1:15" x14ac:dyDescent="0.2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O592" s="51"/>
    </row>
    <row r="593" spans="1:15" x14ac:dyDescent="0.2">
      <c r="A593" s="54" t="s">
        <v>7</v>
      </c>
      <c r="B593" s="54"/>
      <c r="C593" s="54"/>
      <c r="D593" s="54"/>
      <c r="E593" s="29"/>
      <c r="F593" s="29"/>
      <c r="G593" s="29">
        <f>VLOOKUP(F581,F584:G589,2,FALSE)</f>
        <v>0</v>
      </c>
      <c r="H593" s="29">
        <f>VLOOKUP(F581,F584:H589,3,FALSE)</f>
        <v>0</v>
      </c>
      <c r="I593" s="29"/>
      <c r="J593" s="29"/>
      <c r="K593" s="29"/>
      <c r="L593" s="29"/>
      <c r="M593" s="29"/>
      <c r="O593" s="51"/>
    </row>
    <row r="594" spans="1:15" x14ac:dyDescent="0.2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O594" s="51"/>
    </row>
    <row r="595" spans="1:15" x14ac:dyDescent="0.2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O595" s="51"/>
    </row>
    <row r="596" spans="1:15" x14ac:dyDescent="0.2">
      <c r="A596" s="52" t="s">
        <v>8</v>
      </c>
      <c r="B596" s="52"/>
      <c r="C596" s="52"/>
      <c r="D596" s="52"/>
      <c r="E596" s="29"/>
      <c r="F596" s="29"/>
      <c r="G596" s="53" t="s">
        <v>9</v>
      </c>
      <c r="H596" s="53"/>
      <c r="I596" s="42"/>
      <c r="J596" s="42"/>
      <c r="K596" s="42"/>
      <c r="L596" s="42"/>
      <c r="M596" s="42"/>
    </row>
    <row r="597" spans="1:15" x14ac:dyDescent="0.2">
      <c r="A597" s="29">
        <v>0</v>
      </c>
      <c r="B597" s="29"/>
      <c r="C597" s="29"/>
      <c r="D597" s="29"/>
      <c r="E597" s="29">
        <v>12500</v>
      </c>
      <c r="F597" s="29">
        <f>IF(AND(F581&gt;A597, F581&lt;=E597),F581,0)</f>
        <v>0</v>
      </c>
      <c r="G597" s="29">
        <f>0+(20/100)*(-A597+F597)</f>
        <v>0</v>
      </c>
      <c r="H597" s="29"/>
      <c r="I597" s="29"/>
      <c r="J597" s="29"/>
      <c r="K597" s="29"/>
      <c r="L597" s="29"/>
      <c r="M597" s="29"/>
    </row>
    <row r="598" spans="1:15" x14ac:dyDescent="0.2">
      <c r="A598" s="29">
        <f>E597</f>
        <v>12500</v>
      </c>
      <c r="B598" s="29"/>
      <c r="C598" s="29"/>
      <c r="D598" s="29"/>
      <c r="E598" s="29">
        <v>25000</v>
      </c>
      <c r="F598" s="29">
        <f>IF(AND(F581&gt;A598, F581&lt;=E598),F581,0)</f>
        <v>0</v>
      </c>
      <c r="G598" s="29">
        <f>(12500/100*20)+((25/100)*(-A598+F598))</f>
        <v>-625</v>
      </c>
      <c r="H598" s="29"/>
      <c r="I598" s="29"/>
      <c r="J598" s="29"/>
      <c r="K598" s="29"/>
      <c r="L598" s="29"/>
      <c r="M598" s="29"/>
    </row>
    <row r="599" spans="1:15" x14ac:dyDescent="0.2">
      <c r="A599" s="29">
        <f>E598</f>
        <v>25000</v>
      </c>
      <c r="B599" s="29"/>
      <c r="C599" s="29"/>
      <c r="D599" s="29"/>
      <c r="E599" s="29">
        <v>50000</v>
      </c>
      <c r="F599" s="29">
        <f>IF(AND(F581&gt;A599, F581&lt;=E599),F581,0)</f>
        <v>0</v>
      </c>
      <c r="G599" s="29">
        <f>(12500/100*20)+(12500/100*25)+((30/100)*(-A599+F599))</f>
        <v>-1875</v>
      </c>
      <c r="H599" s="29"/>
      <c r="I599" s="29"/>
      <c r="J599" s="29"/>
      <c r="K599" s="29"/>
      <c r="L599" s="29"/>
      <c r="M599" s="29"/>
    </row>
    <row r="600" spans="1:15" x14ac:dyDescent="0.2">
      <c r="A600" s="29">
        <f>E599</f>
        <v>50000</v>
      </c>
      <c r="B600" s="29"/>
      <c r="C600" s="29"/>
      <c r="D600" s="29"/>
      <c r="E600" s="29">
        <v>100000</v>
      </c>
      <c r="F600" s="29">
        <f>IF(AND(F581&gt;A600, F581&lt;=E600),F581,0)</f>
        <v>0</v>
      </c>
      <c r="G600" s="29">
        <f>(12500/100*20)+(12500/100*25)+(25000/100*30)+((40/100)*(-A600+F600))</f>
        <v>-6875</v>
      </c>
      <c r="H600" s="29"/>
      <c r="I600" s="29"/>
      <c r="J600" s="29"/>
      <c r="K600" s="29"/>
      <c r="L600" s="29"/>
      <c r="M600" s="29"/>
    </row>
    <row r="601" spans="1:15" x14ac:dyDescent="0.2">
      <c r="A601" s="29">
        <f>E600</f>
        <v>100000</v>
      </c>
      <c r="B601" s="29"/>
      <c r="C601" s="29"/>
      <c r="D601" s="29"/>
      <c r="E601" s="29">
        <v>175000</v>
      </c>
      <c r="F601" s="29">
        <f>IF(AND(F581&gt;A601, F581&lt;=E601),F581,0)</f>
        <v>0</v>
      </c>
      <c r="G601" s="29">
        <f>(12500/100*20)+(12500/100*25)+(25000/100*30)+(50000/100*40)+((55/100)*(-A601+F601))</f>
        <v>-21875.000000000007</v>
      </c>
      <c r="H601" s="29"/>
      <c r="I601" s="29"/>
      <c r="J601" s="29"/>
      <c r="K601" s="29"/>
      <c r="L601" s="29"/>
      <c r="M601" s="29"/>
    </row>
    <row r="602" spans="1:15" x14ac:dyDescent="0.2">
      <c r="A602" s="29">
        <v>175000</v>
      </c>
      <c r="B602" s="29"/>
      <c r="C602" s="29"/>
      <c r="D602" s="29"/>
      <c r="E602" s="29">
        <v>250000</v>
      </c>
      <c r="F602" s="29">
        <f>IF(AND(F581&gt;A602, F581&lt;=E602),F581,0)</f>
        <v>0</v>
      </c>
      <c r="G602" s="29">
        <f>(12500/100*20)+(12500/100*25)+(25000/100*30)+(50000/100*40)+(75000/100*55)+((60/100)*(-A602+F602))</f>
        <v>-30625</v>
      </c>
      <c r="H602" s="29"/>
      <c r="I602" s="29"/>
      <c r="J602" s="29"/>
      <c r="K602" s="29"/>
      <c r="L602" s="29"/>
      <c r="M602" s="29"/>
    </row>
    <row r="603" spans="1:15" x14ac:dyDescent="0.2">
      <c r="A603" s="29">
        <f>E602</f>
        <v>250000</v>
      </c>
      <c r="B603" s="29"/>
      <c r="C603" s="29"/>
      <c r="D603" s="29"/>
      <c r="E603" s="29">
        <v>999999999</v>
      </c>
      <c r="F603" s="29">
        <f>IF(AND(F581&gt;A603, F581&lt;=E603),F581,0)</f>
        <v>0</v>
      </c>
      <c r="G603" s="29">
        <f>(12500/100*20)+(12500/100*25)+(25000/100*30)+(50000/100*40)+(75000/100*55)+(75000/100*60)+((65/100)*(-A603+F603))</f>
        <v>-43125</v>
      </c>
      <c r="H603" s="29"/>
      <c r="I603" s="29"/>
      <c r="J603" s="29"/>
      <c r="K603" s="29"/>
      <c r="L603" s="29"/>
      <c r="M603" s="29"/>
    </row>
    <row r="604" spans="1:15" x14ac:dyDescent="0.2">
      <c r="A604" s="54" t="s">
        <v>7</v>
      </c>
      <c r="B604" s="54"/>
      <c r="C604" s="54"/>
      <c r="D604" s="54"/>
      <c r="E604" s="29"/>
      <c r="F604" s="29"/>
      <c r="G604" s="29">
        <f>VLOOKUP(F581,F597:G603,2,FALSE)</f>
        <v>0</v>
      </c>
      <c r="H604" s="29"/>
      <c r="I604" s="29"/>
      <c r="J604" s="29"/>
      <c r="K604" s="29"/>
      <c r="L604" s="29"/>
      <c r="M604" s="29"/>
    </row>
    <row r="606" spans="1:15" x14ac:dyDescent="0.2">
      <c r="E606" s="29"/>
      <c r="F606" s="29"/>
      <c r="G606" s="29"/>
      <c r="H606" s="32"/>
      <c r="I606" s="29"/>
      <c r="J606" s="33"/>
      <c r="M606" s="33"/>
      <c r="O606" s="33"/>
    </row>
    <row r="607" spans="1:15" x14ac:dyDescent="0.2">
      <c r="E607" s="29"/>
      <c r="F607" s="29"/>
      <c r="G607" s="29"/>
      <c r="H607" s="32"/>
      <c r="I607" s="29"/>
      <c r="J607" s="33"/>
      <c r="M607" s="33"/>
      <c r="O607" s="33"/>
    </row>
    <row r="608" spans="1:15" x14ac:dyDescent="0.2">
      <c r="E608" s="29"/>
      <c r="F608" s="29"/>
      <c r="G608" s="29"/>
      <c r="H608" s="32"/>
      <c r="I608" s="29"/>
      <c r="J608" s="33"/>
      <c r="M608" s="33"/>
      <c r="O608" s="33"/>
    </row>
    <row r="609" spans="1:15" x14ac:dyDescent="0.2">
      <c r="A609" s="52" t="s">
        <v>26</v>
      </c>
      <c r="B609" s="52"/>
      <c r="C609" s="52"/>
      <c r="D609" s="52"/>
      <c r="E609" s="29"/>
      <c r="F609" s="29"/>
      <c r="G609" s="53" t="s">
        <v>10</v>
      </c>
      <c r="H609" s="32"/>
      <c r="I609" s="52" t="s">
        <v>27</v>
      </c>
      <c r="J609" s="29"/>
      <c r="K609" s="29"/>
      <c r="L609" s="29"/>
      <c r="M609" s="53" t="s">
        <v>11</v>
      </c>
      <c r="O609" s="33"/>
    </row>
    <row r="610" spans="1:15" x14ac:dyDescent="0.2">
      <c r="A610" s="29">
        <v>0</v>
      </c>
      <c r="B610" s="29"/>
      <c r="C610" s="29"/>
      <c r="D610" s="29"/>
      <c r="E610" s="29">
        <v>50000</v>
      </c>
      <c r="F610" s="29">
        <f>IF(AND(F581&gt;A610, F581&lt;=E610),F581,0)</f>
        <v>0</v>
      </c>
      <c r="G610" s="29">
        <f>0+(35/100)*(-A610+F610)</f>
        <v>0</v>
      </c>
      <c r="H610" s="32"/>
      <c r="I610" s="29">
        <v>0</v>
      </c>
      <c r="J610" s="29">
        <v>50000</v>
      </c>
      <c r="K610" s="29">
        <f>IF(AND(F581&gt;I610, F581&lt;=J610),F581,0)</f>
        <v>0</v>
      </c>
      <c r="L610" s="29"/>
      <c r="M610" s="29">
        <f>0+(40/100)*(-I610+K610)</f>
        <v>0</v>
      </c>
      <c r="O610" s="33"/>
    </row>
    <row r="611" spans="1:15" x14ac:dyDescent="0.2">
      <c r="A611" s="29">
        <f>E610</f>
        <v>50000</v>
      </c>
      <c r="B611" s="29"/>
      <c r="C611" s="29"/>
      <c r="D611" s="29"/>
      <c r="E611" s="29">
        <v>100000</v>
      </c>
      <c r="F611" s="29">
        <f>IF(AND(F581&gt;A611, F581&lt;=E611),F581,0)</f>
        <v>0</v>
      </c>
      <c r="G611" s="29">
        <f>(50000/100*35)+((50/100)*(-A611+F611))</f>
        <v>-7500</v>
      </c>
      <c r="H611" s="32"/>
      <c r="I611" s="29">
        <f>J610</f>
        <v>50000</v>
      </c>
      <c r="J611" s="29">
        <v>75000</v>
      </c>
      <c r="K611" s="29">
        <f>IF(AND(F581&gt;I611, F581&lt;=J611),F581,0)</f>
        <v>0</v>
      </c>
      <c r="L611" s="29"/>
      <c r="M611" s="29">
        <f>(50000/100*40)+((55/100)*(-I611+K611))</f>
        <v>-7500.0000000000036</v>
      </c>
      <c r="O611" s="33"/>
    </row>
    <row r="612" spans="1:15" x14ac:dyDescent="0.2">
      <c r="A612" s="29">
        <f>E611</f>
        <v>100000</v>
      </c>
      <c r="B612" s="29"/>
      <c r="C612" s="29"/>
      <c r="D612" s="29"/>
      <c r="E612" s="29">
        <v>175000</v>
      </c>
      <c r="F612" s="29">
        <f>IF(AND(F581&gt;A612, F581&lt;=E612),F581,0)</f>
        <v>0</v>
      </c>
      <c r="G612" s="29">
        <f>(50000/100*35)+(50000/100*50)+((60/100)*(-A612+F612))</f>
        <v>-17500</v>
      </c>
      <c r="H612" s="32"/>
      <c r="I612" s="29">
        <f>J611</f>
        <v>75000</v>
      </c>
      <c r="J612" s="29">
        <v>175000</v>
      </c>
      <c r="K612" s="29">
        <f>IF(AND(F581&gt;I612, F581&lt;=J612),F581,0)</f>
        <v>0</v>
      </c>
      <c r="L612" s="29"/>
      <c r="M612" s="29">
        <f>(50000/100*40)+(25000/100*55)+((65/100)*(-I612+K612))</f>
        <v>-15000</v>
      </c>
      <c r="O612" s="33"/>
    </row>
    <row r="613" spans="1:15" x14ac:dyDescent="0.2">
      <c r="A613" s="29">
        <f>E612</f>
        <v>175000</v>
      </c>
      <c r="B613" s="29"/>
      <c r="C613" s="29"/>
      <c r="D613" s="29"/>
      <c r="E613" s="29">
        <v>999999999</v>
      </c>
      <c r="F613" s="29">
        <f>IF(AND(F581&gt;A613, F581&lt;=E613),F581,0)</f>
        <v>0</v>
      </c>
      <c r="G613" s="29">
        <f>(50000/100*35)+(50000/100*50)+(75000/100*60)+((70/100)*(-A613+F613))</f>
        <v>-34999.999999999985</v>
      </c>
      <c r="H613" s="32"/>
      <c r="I613" s="29">
        <f>J612</f>
        <v>175000</v>
      </c>
      <c r="J613" s="29">
        <v>999999999</v>
      </c>
      <c r="K613" s="29">
        <f>IF(AND(F581&gt;I613, F581&lt;=J613),F581,0)</f>
        <v>0</v>
      </c>
      <c r="L613" s="29"/>
      <c r="M613" s="29">
        <f>(50000/100*40)+(25000/100*55)+(100000/100*65)+((80/100)*(-I613+K613))</f>
        <v>-41250</v>
      </c>
      <c r="O613" s="33"/>
    </row>
    <row r="614" spans="1:15" x14ac:dyDescent="0.2">
      <c r="A614" s="29"/>
      <c r="B614" s="29"/>
      <c r="C614" s="29"/>
      <c r="D614" s="29"/>
      <c r="E614" s="29"/>
      <c r="F614" s="29"/>
      <c r="G614" s="29"/>
      <c r="H614" s="32"/>
      <c r="I614" s="29"/>
      <c r="J614" s="29"/>
      <c r="K614" s="29"/>
      <c r="L614" s="29"/>
      <c r="M614" s="29"/>
      <c r="O614" s="33"/>
    </row>
    <row r="615" spans="1:15" x14ac:dyDescent="0.2">
      <c r="A615" s="29"/>
      <c r="B615" s="29"/>
      <c r="C615" s="29"/>
      <c r="D615" s="29"/>
      <c r="E615" s="29"/>
      <c r="F615" s="29"/>
      <c r="G615" s="29"/>
      <c r="H615" s="32"/>
      <c r="I615" s="29"/>
      <c r="J615" s="29"/>
      <c r="K615" s="29"/>
      <c r="L615" s="29"/>
      <c r="M615" s="29"/>
      <c r="O615" s="33"/>
    </row>
    <row r="616" spans="1:15" x14ac:dyDescent="0.2">
      <c r="A616" s="29"/>
      <c r="B616" s="29"/>
      <c r="C616" s="29"/>
      <c r="D616" s="29"/>
      <c r="E616" s="29"/>
      <c r="F616" s="29"/>
      <c r="G616" s="29"/>
      <c r="H616" s="32"/>
      <c r="I616" s="29"/>
      <c r="J616" s="29"/>
      <c r="K616" s="29"/>
      <c r="L616" s="29"/>
      <c r="M616" s="29"/>
      <c r="O616" s="33"/>
    </row>
    <row r="617" spans="1:15" x14ac:dyDescent="0.2">
      <c r="A617" s="54" t="s">
        <v>7</v>
      </c>
      <c r="B617" s="54"/>
      <c r="C617" s="54"/>
      <c r="D617" s="54"/>
      <c r="E617" s="29"/>
      <c r="F617" s="29"/>
      <c r="G617" s="29">
        <f>VLOOKUP(F581,F610:G613,2,FALSE)</f>
        <v>0</v>
      </c>
      <c r="H617" s="32"/>
      <c r="I617" s="54" t="s">
        <v>7</v>
      </c>
      <c r="J617" s="29"/>
      <c r="K617" s="29"/>
      <c r="L617" s="29"/>
      <c r="M617" s="29">
        <f>VLOOKUP(F581,K610:M613,3,FALSE)</f>
        <v>0</v>
      </c>
      <c r="O617" s="33"/>
    </row>
    <row r="618" spans="1:15" x14ac:dyDescent="0.2">
      <c r="H618" s="32"/>
      <c r="O618" s="33"/>
    </row>
    <row r="619" spans="1:15" x14ac:dyDescent="0.2">
      <c r="E619" s="29"/>
      <c r="F619" s="29"/>
      <c r="G619" s="29"/>
      <c r="H619" s="32"/>
      <c r="J619" s="29"/>
      <c r="K619" s="29"/>
      <c r="L619" s="29"/>
      <c r="M619" s="29"/>
      <c r="O619" s="33"/>
    </row>
    <row r="620" spans="1:15" x14ac:dyDescent="0.2">
      <c r="E620" s="29"/>
      <c r="G620" s="29"/>
    </row>
    <row r="622" spans="1:15" x14ac:dyDescent="0.2">
      <c r="E622" s="9" t="s">
        <v>84</v>
      </c>
      <c r="F622" s="9" t="s">
        <v>91</v>
      </c>
    </row>
    <row r="624" spans="1:15" x14ac:dyDescent="0.2">
      <c r="E624" s="9" t="s">
        <v>84</v>
      </c>
      <c r="F624" s="9">
        <f>IF(DONBIB!J40=3,M589*12%,0)</f>
        <v>0</v>
      </c>
      <c r="G624" s="9">
        <f>IF(F624&gt;372,372,F624)</f>
        <v>0</v>
      </c>
      <c r="I624" s="9" t="s">
        <v>30</v>
      </c>
      <c r="J624" s="9">
        <f>M589*6%</f>
        <v>0</v>
      </c>
      <c r="K624" s="9">
        <f>IF(J624&gt;186,186,J624)</f>
        <v>0</v>
      </c>
      <c r="L624" s="9">
        <f>IF(DONBIB!J40=3,K624,0)</f>
        <v>0</v>
      </c>
    </row>
    <row r="625" spans="5:12" x14ac:dyDescent="0.2">
      <c r="F625" s="9">
        <f>IF(DONBIB!J40=4,M589*16%,0)</f>
        <v>0</v>
      </c>
      <c r="G625" s="9">
        <f>IF(F625&gt;496,496,F625)</f>
        <v>0</v>
      </c>
      <c r="I625" s="9" t="s">
        <v>31</v>
      </c>
      <c r="J625" s="9">
        <f>M589*8%</f>
        <v>0</v>
      </c>
      <c r="K625" s="9">
        <f>IF(J625&gt;248,248,J625)</f>
        <v>0</v>
      </c>
      <c r="L625" s="9">
        <f>IF(DONBIB!J40=4,K625,0)</f>
        <v>0</v>
      </c>
    </row>
    <row r="626" spans="5:12" x14ac:dyDescent="0.2">
      <c r="F626" s="9">
        <f>IF(DONBIB!J40=5,M589*20%,0)</f>
        <v>0</v>
      </c>
      <c r="G626" s="9">
        <f>IF(F626&gt;620,620,F626)</f>
        <v>0</v>
      </c>
      <c r="J626" s="9">
        <f>M589*10%</f>
        <v>0</v>
      </c>
      <c r="K626" s="9">
        <f>IF(J626&gt;310,310,J626)</f>
        <v>0</v>
      </c>
      <c r="L626" s="9">
        <f>IF(DONBIB!J40=5,K626,0)</f>
        <v>0</v>
      </c>
    </row>
    <row r="627" spans="5:12" x14ac:dyDescent="0.2">
      <c r="F627" s="9">
        <f>IF(DONBIB!J40=6,M589*24%,0)</f>
        <v>0</v>
      </c>
      <c r="G627" s="9">
        <f>IF(F627&gt;744,744,F627)</f>
        <v>0</v>
      </c>
      <c r="J627" s="9">
        <f>M589*12%</f>
        <v>0</v>
      </c>
      <c r="K627" s="9">
        <f>IF(J627&gt;372,372,J627)</f>
        <v>0</v>
      </c>
      <c r="L627" s="9">
        <f>IF(DONBIB!J40=6,K627,0)</f>
        <v>0</v>
      </c>
    </row>
    <row r="628" spans="5:12" x14ac:dyDescent="0.2">
      <c r="F628" s="9">
        <f>IF(DONBIB!J40=7,M589*28%,0)</f>
        <v>0</v>
      </c>
      <c r="G628" s="9">
        <f>IF(F628&gt;868,868,F628)</f>
        <v>0</v>
      </c>
      <c r="J628" s="9">
        <f>M589*14%</f>
        <v>0</v>
      </c>
      <c r="K628" s="9">
        <f>IF(J628&gt;434,434,J628)</f>
        <v>0</v>
      </c>
      <c r="L628" s="9">
        <f>IF(DONBIB!J40=7,K628,0)</f>
        <v>0</v>
      </c>
    </row>
    <row r="629" spans="5:12" x14ac:dyDescent="0.2">
      <c r="F629" s="9">
        <f>IF(DONBIB!J40=8,M589*32%,0)</f>
        <v>0</v>
      </c>
      <c r="G629" s="9">
        <f>IF(F629&gt;992,992,F629)</f>
        <v>0</v>
      </c>
      <c r="J629" s="9">
        <f>M589*16%</f>
        <v>0</v>
      </c>
      <c r="K629" s="9">
        <f>IF(J629&gt;496,496,J629)</f>
        <v>0</v>
      </c>
      <c r="L629" s="9">
        <f>IF(DONBIB!J40=8,K629,0)</f>
        <v>0</v>
      </c>
    </row>
    <row r="630" spans="5:12" x14ac:dyDescent="0.2">
      <c r="F630" s="9">
        <f>IF(DONBIB!J40=9,M589*36%,0)</f>
        <v>0</v>
      </c>
      <c r="G630" s="9">
        <f>IF(F630&gt;1116,1116,F630)</f>
        <v>0</v>
      </c>
      <c r="J630" s="9">
        <f>M589*18%</f>
        <v>0</v>
      </c>
      <c r="K630" s="9">
        <f>IF(J630&gt;558,558,J630)</f>
        <v>0</v>
      </c>
      <c r="L630" s="9">
        <f>IF(DONBIB!J40=9,K630,0)</f>
        <v>0</v>
      </c>
    </row>
    <row r="631" spans="5:12" x14ac:dyDescent="0.2">
      <c r="F631" s="9">
        <f>IF(DONBIB!J40=10,M589*40%,0)</f>
        <v>0</v>
      </c>
      <c r="G631" s="9">
        <f>IF(F631&gt;1240,1240,F631)</f>
        <v>0</v>
      </c>
      <c r="J631" s="9">
        <f>M589*20%</f>
        <v>0</v>
      </c>
      <c r="K631" s="9">
        <f>IF(J631&gt;620,620,J631)</f>
        <v>0</v>
      </c>
      <c r="L631" s="9">
        <f>IF(DONBIB!J40=10,K631,0)</f>
        <v>0</v>
      </c>
    </row>
    <row r="633" spans="5:12" x14ac:dyDescent="0.2">
      <c r="G633" s="9">
        <f>SUM(G624:G632)</f>
        <v>0</v>
      </c>
      <c r="L633" s="9">
        <f>SUM(L624:L632)</f>
        <v>0</v>
      </c>
    </row>
    <row r="634" spans="5:12" x14ac:dyDescent="0.2">
      <c r="G634" s="22"/>
    </row>
    <row r="635" spans="5:12" x14ac:dyDescent="0.2">
      <c r="G635" s="22"/>
    </row>
    <row r="636" spans="5:12" x14ac:dyDescent="0.2">
      <c r="G636" s="22"/>
    </row>
    <row r="637" spans="5:12" x14ac:dyDescent="0.2">
      <c r="E637" s="9" t="s">
        <v>32</v>
      </c>
      <c r="F637" s="23">
        <f>M589-G633</f>
        <v>0</v>
      </c>
      <c r="G637" s="22"/>
      <c r="H637" s="9" t="s">
        <v>33</v>
      </c>
      <c r="I637" s="56">
        <f>M589-L633</f>
        <v>0</v>
      </c>
    </row>
    <row r="638" spans="5:12" x14ac:dyDescent="0.2">
      <c r="E638" s="29"/>
      <c r="G638" s="29"/>
    </row>
    <row r="639" spans="5:12" x14ac:dyDescent="0.2">
      <c r="E639" s="29"/>
      <c r="G639" s="29"/>
    </row>
    <row r="640" spans="5:12" x14ac:dyDescent="0.2">
      <c r="E640" s="29"/>
      <c r="G640" s="29"/>
    </row>
    <row r="641" spans="5:7" x14ac:dyDescent="0.2">
      <c r="E641" s="29"/>
      <c r="G641" s="29"/>
    </row>
    <row r="642" spans="5:7" x14ac:dyDescent="0.2">
      <c r="E642" s="29"/>
      <c r="G642" s="29"/>
    </row>
    <row r="643" spans="5:7" x14ac:dyDescent="0.2">
      <c r="E643" s="29"/>
      <c r="G643" s="29"/>
    </row>
    <row r="644" spans="5:7" x14ac:dyDescent="0.2">
      <c r="E644" s="29"/>
      <c r="G644" s="29"/>
    </row>
    <row r="645" spans="5:7" x14ac:dyDescent="0.2">
      <c r="E645" s="29"/>
      <c r="G645" s="29"/>
    </row>
    <row r="646" spans="5:7" x14ac:dyDescent="0.2">
      <c r="E646" s="29"/>
      <c r="G646" s="29"/>
    </row>
    <row r="647" spans="5:7" x14ac:dyDescent="0.2">
      <c r="E647" s="29"/>
      <c r="G647" s="29"/>
    </row>
    <row r="648" spans="5:7" x14ac:dyDescent="0.2">
      <c r="E648" s="29"/>
      <c r="G648" s="29"/>
    </row>
    <row r="649" spans="5:7" x14ac:dyDescent="0.2">
      <c r="E649" s="29"/>
      <c r="G649" s="29"/>
    </row>
    <row r="650" spans="5:7" x14ac:dyDescent="0.2">
      <c r="E650" s="29"/>
      <c r="G650" s="29"/>
    </row>
    <row r="651" spans="5:7" x14ac:dyDescent="0.2">
      <c r="E651" s="29"/>
      <c r="G651" s="29"/>
    </row>
    <row r="652" spans="5:7" x14ac:dyDescent="0.2">
      <c r="E652" s="29"/>
      <c r="G652" s="29"/>
    </row>
    <row r="653" spans="5:7" x14ac:dyDescent="0.2">
      <c r="E653" s="29"/>
      <c r="G653" s="29"/>
    </row>
    <row r="654" spans="5:7" x14ac:dyDescent="0.2">
      <c r="E654" s="29"/>
      <c r="G654" s="29"/>
    </row>
    <row r="655" spans="5:7" x14ac:dyDescent="0.2">
      <c r="E655" s="29"/>
      <c r="G655" s="29"/>
    </row>
    <row r="656" spans="5:7" x14ac:dyDescent="0.2">
      <c r="E656" s="29"/>
      <c r="G656" s="29"/>
    </row>
    <row r="657" spans="5:7" x14ac:dyDescent="0.2">
      <c r="E657" s="29"/>
      <c r="G657" s="29"/>
    </row>
    <row r="658" spans="5:7" x14ac:dyDescent="0.2">
      <c r="E658" s="29"/>
      <c r="G658" s="29"/>
    </row>
    <row r="659" spans="5:7" x14ac:dyDescent="0.2">
      <c r="E659" s="29"/>
      <c r="G659" s="29"/>
    </row>
    <row r="660" spans="5:7" x14ac:dyDescent="0.2">
      <c r="E660" s="29"/>
      <c r="G660" s="29"/>
    </row>
    <row r="661" spans="5:7" x14ac:dyDescent="0.2">
      <c r="E661" s="29"/>
      <c r="G661" s="29"/>
    </row>
    <row r="662" spans="5:7" x14ac:dyDescent="0.2">
      <c r="E662" s="29"/>
      <c r="G662" s="29"/>
    </row>
    <row r="663" spans="5:7" x14ac:dyDescent="0.2">
      <c r="E663" s="29"/>
      <c r="G663" s="29"/>
    </row>
    <row r="664" spans="5:7" x14ac:dyDescent="0.2">
      <c r="E664" s="29"/>
      <c r="G664" s="29"/>
    </row>
    <row r="665" spans="5:7" x14ac:dyDescent="0.2">
      <c r="E665" s="29"/>
      <c r="G665" s="29"/>
    </row>
    <row r="666" spans="5:7" x14ac:dyDescent="0.2">
      <c r="E666" s="29"/>
      <c r="G666" s="29"/>
    </row>
    <row r="667" spans="5:7" x14ac:dyDescent="0.2">
      <c r="E667" s="29"/>
      <c r="G667" s="29"/>
    </row>
    <row r="668" spans="5:7" x14ac:dyDescent="0.2">
      <c r="E668" s="29"/>
      <c r="G668" s="29"/>
    </row>
    <row r="669" spans="5:7" x14ac:dyDescent="0.2">
      <c r="E669" s="29"/>
      <c r="G669" s="29"/>
    </row>
    <row r="670" spans="5:7" x14ac:dyDescent="0.2">
      <c r="E670" s="29"/>
      <c r="G670" s="29"/>
    </row>
    <row r="671" spans="5:7" x14ac:dyDescent="0.2">
      <c r="E671" s="29"/>
      <c r="G671" s="29"/>
    </row>
    <row r="672" spans="5:7" x14ac:dyDescent="0.2">
      <c r="E672" s="29"/>
      <c r="G672" s="29"/>
    </row>
    <row r="673" spans="1:15" x14ac:dyDescent="0.2">
      <c r="E673" s="29"/>
      <c r="G673" s="29"/>
    </row>
    <row r="674" spans="1:15" x14ac:dyDescent="0.2">
      <c r="E674" s="29"/>
      <c r="G674" s="29"/>
    </row>
    <row r="675" spans="1:15" x14ac:dyDescent="0.2">
      <c r="E675" s="29"/>
      <c r="G675" s="29"/>
    </row>
    <row r="676" spans="1:15" x14ac:dyDescent="0.2">
      <c r="E676" s="29"/>
      <c r="G676" s="29"/>
    </row>
    <row r="677" spans="1:15" x14ac:dyDescent="0.2">
      <c r="E677" s="29"/>
      <c r="G677" s="29"/>
    </row>
    <row r="678" spans="1:15" x14ac:dyDescent="0.2">
      <c r="E678" s="29"/>
      <c r="G678" s="29"/>
    </row>
    <row r="679" spans="1:15" x14ac:dyDescent="0.2">
      <c r="E679" s="29"/>
      <c r="G679" s="29"/>
    </row>
    <row r="680" spans="1:15" x14ac:dyDescent="0.2">
      <c r="E680" s="29"/>
      <c r="G680" s="29"/>
    </row>
    <row r="681" spans="1:15" x14ac:dyDescent="0.2">
      <c r="E681" s="29"/>
      <c r="G681" s="29"/>
    </row>
    <row r="682" spans="1:15" ht="13.5" thickBot="1" x14ac:dyDescent="0.25">
      <c r="E682" s="29"/>
      <c r="G682" s="29"/>
    </row>
    <row r="683" spans="1:15" ht="13.5" thickTop="1" x14ac:dyDescent="0.2">
      <c r="A683" s="42"/>
      <c r="B683" s="42"/>
      <c r="C683" s="42"/>
      <c r="D683" s="42"/>
      <c r="E683" s="43"/>
      <c r="F683" s="44"/>
      <c r="G683" s="43"/>
      <c r="H683" s="43"/>
      <c r="I683" s="45"/>
      <c r="J683" s="46"/>
      <c r="K683" s="45"/>
      <c r="L683" s="45"/>
      <c r="M683" s="45"/>
      <c r="N683" s="47"/>
      <c r="O683" s="48"/>
    </row>
    <row r="684" spans="1:15" x14ac:dyDescent="0.2">
      <c r="A684" s="29" t="s">
        <v>4</v>
      </c>
      <c r="B684" s="29"/>
      <c r="C684" s="29"/>
      <c r="D684" s="29"/>
      <c r="E684" s="29"/>
      <c r="F684" s="29">
        <f>DONBIB!G47</f>
        <v>0</v>
      </c>
      <c r="G684" s="49"/>
      <c r="H684" s="29"/>
      <c r="I684" s="29"/>
      <c r="J684" s="50"/>
      <c r="K684" s="29"/>
      <c r="L684" s="29"/>
      <c r="M684" s="29">
        <f>IF(AND(DONBIB!I45="oui",DONBIB!F45="ligne directe"),H696,0)</f>
        <v>0</v>
      </c>
      <c r="O684" s="51"/>
    </row>
    <row r="685" spans="1:15" x14ac:dyDescent="0.2">
      <c r="A685" s="29"/>
      <c r="B685" s="29"/>
      <c r="C685" s="29"/>
      <c r="D685" s="29"/>
      <c r="E685" s="29"/>
      <c r="F685" s="29"/>
      <c r="G685" s="29"/>
      <c r="H685" s="29"/>
      <c r="I685" s="29"/>
      <c r="J685" s="50"/>
      <c r="K685" s="29"/>
      <c r="L685" s="29"/>
      <c r="M685" s="29">
        <f>IF(AND(DONBIB!I45="oui",DONBIB!F45="épou(x)(se)"),H696,0)</f>
        <v>0</v>
      </c>
      <c r="O685" s="51"/>
    </row>
    <row r="686" spans="1:15" x14ac:dyDescent="0.2">
      <c r="A686" s="52" t="s">
        <v>5</v>
      </c>
      <c r="B686" s="52"/>
      <c r="C686" s="52"/>
      <c r="D686" s="52"/>
      <c r="E686" s="29"/>
      <c r="F686" s="29"/>
      <c r="G686" s="53" t="s">
        <v>6</v>
      </c>
      <c r="H686" s="53" t="s">
        <v>25</v>
      </c>
      <c r="I686" s="29"/>
      <c r="J686" s="50"/>
      <c r="K686" s="29"/>
      <c r="L686" s="29"/>
      <c r="M686" s="29">
        <f>IF(AND(DONBIB!I45="non",DONBIB!F45="ligne directe"),G696,0)</f>
        <v>0</v>
      </c>
      <c r="O686" s="51"/>
    </row>
    <row r="687" spans="1:15" x14ac:dyDescent="0.2">
      <c r="A687" s="29">
        <v>0</v>
      </c>
      <c r="B687" s="29"/>
      <c r="C687" s="29"/>
      <c r="D687" s="29"/>
      <c r="E687" s="29">
        <v>50000</v>
      </c>
      <c r="F687" s="29">
        <f>IF(AND(F684&gt;A687, F684&lt;=E687),F684,0)</f>
        <v>0</v>
      </c>
      <c r="G687" s="29">
        <f>0+(3/100)*(-A687+F687)</f>
        <v>0</v>
      </c>
      <c r="H687" s="29">
        <f>0+(2/100)*(-A687+F687)</f>
        <v>0</v>
      </c>
      <c r="I687" s="29"/>
      <c r="J687" s="50"/>
      <c r="K687" s="29"/>
      <c r="L687" s="29"/>
      <c r="M687" s="29">
        <f>IF(AND(DONBIB!I45="non",DONBIB!F45="épou(x)(se)"),G696,0)</f>
        <v>0</v>
      </c>
      <c r="O687" s="51"/>
    </row>
    <row r="688" spans="1:15" x14ac:dyDescent="0.2">
      <c r="A688" s="29">
        <f>E687</f>
        <v>50000</v>
      </c>
      <c r="B688" s="29"/>
      <c r="C688" s="29"/>
      <c r="D688" s="29"/>
      <c r="E688" s="29">
        <v>100000</v>
      </c>
      <c r="F688" s="29">
        <f>IF(AND(F684&gt;A688, F684&lt;=E688),F684,0)</f>
        <v>0</v>
      </c>
      <c r="G688" s="29">
        <f>(50000/100*3)+(8/100)*(-A688+F688)</f>
        <v>-2500</v>
      </c>
      <c r="H688" s="29">
        <f>(50000/100*2)+(5.3/100)*(-A688+F688)</f>
        <v>-1650</v>
      </c>
      <c r="I688" s="29"/>
      <c r="J688" s="50"/>
      <c r="K688" s="29"/>
      <c r="L688" s="29"/>
      <c r="M688" s="29">
        <f>IF(DONBIB!F45="frère/soeur",G707,0)</f>
        <v>0</v>
      </c>
      <c r="O688" s="51"/>
    </row>
    <row r="689" spans="1:15" x14ac:dyDescent="0.2">
      <c r="A689" s="29">
        <f>E688</f>
        <v>100000</v>
      </c>
      <c r="B689" s="29"/>
      <c r="C689" s="29"/>
      <c r="D689" s="29"/>
      <c r="E689" s="29">
        <v>175000</v>
      </c>
      <c r="F689" s="29">
        <f>IF(AND(F684&gt;A689, F684&lt;=E689),F684,0)</f>
        <v>0</v>
      </c>
      <c r="G689" s="29">
        <f>(50000/100*3)+(50000/100*8)+((9/100)*(-A689+F689))</f>
        <v>-3500</v>
      </c>
      <c r="H689" s="29">
        <f>(50000/100*2)+(50000/100*5.3)+((6/100)*(-A689+F689))</f>
        <v>-2350</v>
      </c>
      <c r="I689" s="29"/>
      <c r="J689" s="50"/>
      <c r="K689" s="29"/>
      <c r="L689" s="29"/>
      <c r="M689" s="29">
        <f>IF(DONBIB!F45="oncle-tante/neveu-nièce",G720,0)</f>
        <v>0</v>
      </c>
      <c r="O689" s="51"/>
    </row>
    <row r="690" spans="1:15" x14ac:dyDescent="0.2">
      <c r="A690" s="29">
        <f>E689</f>
        <v>175000</v>
      </c>
      <c r="B690" s="29"/>
      <c r="C690" s="29"/>
      <c r="D690" s="29"/>
      <c r="E690" s="29">
        <v>250000</v>
      </c>
      <c r="F690" s="29">
        <f>IF(AND(F684&gt;A690, F684&lt;=E690),F684,0)</f>
        <v>0</v>
      </c>
      <c r="G690" s="29">
        <f>(50000/100*3)+(50000/100*8)+(75000/100*9)+((18/100)*(-A690+F690))</f>
        <v>-19250</v>
      </c>
      <c r="H690" s="29">
        <f>(50000/100*2)+(50000/100*5.3)+(75000/100*6)+((12/100)*(-A690+F690))</f>
        <v>-12850</v>
      </c>
      <c r="I690" s="29"/>
      <c r="J690" s="50"/>
      <c r="K690" s="29"/>
      <c r="L690" s="29"/>
      <c r="M690" s="29">
        <f>IF(DONBIB!F45="étrangers",M720,0)</f>
        <v>0</v>
      </c>
      <c r="O690" s="51"/>
    </row>
    <row r="691" spans="1:15" x14ac:dyDescent="0.2">
      <c r="A691" s="29">
        <f>E690</f>
        <v>250000</v>
      </c>
      <c r="B691" s="29"/>
      <c r="C691" s="29"/>
      <c r="D691" s="29"/>
      <c r="E691" s="29">
        <v>500000</v>
      </c>
      <c r="F691" s="29">
        <f>IF(AND(F684&gt;A691, F684&lt;=E691),F684,0)</f>
        <v>0</v>
      </c>
      <c r="G691" s="29">
        <f>(50000/100*3)+(50000/100*8)+(75000/100*9)+(75000/100*18)+((24/100)*(-A691+F691))</f>
        <v>-34250</v>
      </c>
      <c r="H691" s="29">
        <f>(50000/100*2)+(50000/100*5.3)+(75000/100*6)+(75000/100*12)+((24/100)*(-A691+F691))</f>
        <v>-42850</v>
      </c>
      <c r="I691" s="29"/>
      <c r="J691" s="29"/>
      <c r="K691" s="29"/>
      <c r="L691" s="29"/>
      <c r="M691" s="29"/>
      <c r="O691" s="51"/>
    </row>
    <row r="692" spans="1:15" x14ac:dyDescent="0.2">
      <c r="A692" s="29">
        <f>E691</f>
        <v>500000</v>
      </c>
      <c r="B692" s="29"/>
      <c r="C692" s="29"/>
      <c r="D692" s="29"/>
      <c r="E692" s="29">
        <v>999999999</v>
      </c>
      <c r="F692" s="29">
        <f>IF(AND(F684&gt;A692, F684&lt;=E692),F684,0)</f>
        <v>0</v>
      </c>
      <c r="G692" s="29">
        <f>(50000/100*3)+(50000/100*8)+(75000/100*9)+(75000/100*18)+(250000/100*24)+((30/100)*(-A692+F692))</f>
        <v>-64250</v>
      </c>
      <c r="H692" s="29">
        <f>(50000/100*2)+(50000/100*5.3)+(75000/100*6)+(75000/100*12)+(250000/100*24)+((30/100)*(-A692+F692))</f>
        <v>-72850</v>
      </c>
      <c r="I692" s="29"/>
      <c r="J692" s="29"/>
      <c r="K692" s="29"/>
      <c r="L692" s="29"/>
      <c r="M692" s="29">
        <f>SUM(M684:M691)</f>
        <v>0</v>
      </c>
      <c r="O692" s="51"/>
    </row>
    <row r="693" spans="1:15" x14ac:dyDescent="0.2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O693" s="51"/>
    </row>
    <row r="694" spans="1:15" x14ac:dyDescent="0.2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O694" s="51"/>
    </row>
    <row r="695" spans="1:15" x14ac:dyDescent="0.2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O695" s="51"/>
    </row>
    <row r="696" spans="1:15" x14ac:dyDescent="0.2">
      <c r="A696" s="54" t="s">
        <v>7</v>
      </c>
      <c r="B696" s="54"/>
      <c r="C696" s="54"/>
      <c r="D696" s="54"/>
      <c r="E696" s="29"/>
      <c r="F696" s="29"/>
      <c r="G696" s="29">
        <f>VLOOKUP(F684,F687:G692,2,FALSE)</f>
        <v>0</v>
      </c>
      <c r="H696" s="29">
        <f>VLOOKUP(F684,F687:H692,3,FALSE)</f>
        <v>0</v>
      </c>
      <c r="I696" s="29"/>
      <c r="J696" s="29"/>
      <c r="K696" s="29"/>
      <c r="L696" s="29"/>
      <c r="M696" s="29"/>
      <c r="O696" s="51"/>
    </row>
    <row r="697" spans="1:15" x14ac:dyDescent="0.2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O697" s="51"/>
    </row>
    <row r="698" spans="1:15" x14ac:dyDescent="0.2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O698" s="51"/>
    </row>
    <row r="699" spans="1:15" x14ac:dyDescent="0.2">
      <c r="A699" s="52" t="s">
        <v>8</v>
      </c>
      <c r="B699" s="52"/>
      <c r="C699" s="52"/>
      <c r="D699" s="52"/>
      <c r="E699" s="29"/>
      <c r="F699" s="29"/>
      <c r="G699" s="53" t="s">
        <v>9</v>
      </c>
      <c r="H699" s="53"/>
      <c r="I699" s="42"/>
      <c r="J699" s="42"/>
      <c r="K699" s="42"/>
      <c r="L699" s="42"/>
      <c r="M699" s="42"/>
    </row>
    <row r="700" spans="1:15" x14ac:dyDescent="0.2">
      <c r="A700" s="29">
        <v>0</v>
      </c>
      <c r="B700" s="29"/>
      <c r="C700" s="29"/>
      <c r="D700" s="29"/>
      <c r="E700" s="29">
        <v>12500</v>
      </c>
      <c r="F700" s="29">
        <f>IF(AND(F684&gt;A700, F684&lt;=E700),F684,0)</f>
        <v>0</v>
      </c>
      <c r="G700" s="29">
        <f>0+(20/100)*(-A700+F700)</f>
        <v>0</v>
      </c>
      <c r="H700" s="29"/>
      <c r="I700" s="29"/>
      <c r="J700" s="29"/>
      <c r="K700" s="29"/>
      <c r="L700" s="29"/>
      <c r="M700" s="29"/>
    </row>
    <row r="701" spans="1:15" x14ac:dyDescent="0.2">
      <c r="A701" s="29">
        <f>E700</f>
        <v>12500</v>
      </c>
      <c r="B701" s="29"/>
      <c r="C701" s="29"/>
      <c r="D701" s="29"/>
      <c r="E701" s="29">
        <v>25000</v>
      </c>
      <c r="F701" s="29">
        <f>IF(AND(F684&gt;A701, F684&lt;=E701),F684,0)</f>
        <v>0</v>
      </c>
      <c r="G701" s="29">
        <f>(12500/100*20)+((25/100)*(-A701+F701))</f>
        <v>-625</v>
      </c>
      <c r="H701" s="29"/>
      <c r="I701" s="29"/>
      <c r="J701" s="29"/>
      <c r="K701" s="29"/>
      <c r="L701" s="29"/>
      <c r="M701" s="29"/>
    </row>
    <row r="702" spans="1:15" x14ac:dyDescent="0.2">
      <c r="A702" s="29">
        <f>E701</f>
        <v>25000</v>
      </c>
      <c r="B702" s="29"/>
      <c r="C702" s="29"/>
      <c r="D702" s="29"/>
      <c r="E702" s="29">
        <v>50000</v>
      </c>
      <c r="F702" s="29">
        <f>IF(AND(F684&gt;A702, F684&lt;=E702),F684,0)</f>
        <v>0</v>
      </c>
      <c r="G702" s="29">
        <f>(12500/100*20)+(12500/100*25)+((30/100)*(-A702+F702))</f>
        <v>-1875</v>
      </c>
      <c r="H702" s="29"/>
      <c r="I702" s="29"/>
      <c r="J702" s="29"/>
      <c r="K702" s="29"/>
      <c r="L702" s="29"/>
      <c r="M702" s="29"/>
    </row>
    <row r="703" spans="1:15" x14ac:dyDescent="0.2">
      <c r="A703" s="29">
        <f>E702</f>
        <v>50000</v>
      </c>
      <c r="B703" s="29"/>
      <c r="C703" s="29"/>
      <c r="D703" s="29"/>
      <c r="E703" s="29">
        <v>100000</v>
      </c>
      <c r="F703" s="29">
        <f>IF(AND(F684&gt;A703, F684&lt;=E703),F684,0)</f>
        <v>0</v>
      </c>
      <c r="G703" s="29">
        <f>(12500/100*20)+(12500/100*25)+(25000/100*30)+((40/100)*(-A703+F703))</f>
        <v>-6875</v>
      </c>
      <c r="H703" s="29"/>
      <c r="I703" s="29"/>
      <c r="J703" s="29"/>
      <c r="K703" s="29"/>
      <c r="L703" s="29"/>
      <c r="M703" s="29"/>
    </row>
    <row r="704" spans="1:15" x14ac:dyDescent="0.2">
      <c r="A704" s="29">
        <f>E703</f>
        <v>100000</v>
      </c>
      <c r="B704" s="29"/>
      <c r="C704" s="29"/>
      <c r="D704" s="29"/>
      <c r="E704" s="29">
        <v>175000</v>
      </c>
      <c r="F704" s="29">
        <f>IF(AND(F684&gt;A704, F684&lt;=E704),F684,0)</f>
        <v>0</v>
      </c>
      <c r="G704" s="29">
        <f>(12500/100*20)+(12500/100*25)+(25000/100*30)+(50000/100*40)+((55/100)*(-A704+F704))</f>
        <v>-21875.000000000007</v>
      </c>
      <c r="H704" s="29"/>
      <c r="I704" s="29"/>
      <c r="J704" s="29"/>
      <c r="K704" s="29"/>
      <c r="L704" s="29"/>
      <c r="M704" s="29"/>
    </row>
    <row r="705" spans="1:15" x14ac:dyDescent="0.2">
      <c r="A705" s="29">
        <v>175000</v>
      </c>
      <c r="B705" s="29"/>
      <c r="C705" s="29"/>
      <c r="D705" s="29"/>
      <c r="E705" s="29">
        <v>250000</v>
      </c>
      <c r="F705" s="29">
        <f>IF(AND(F684&gt;A705, F684&lt;=E705),F684,0)</f>
        <v>0</v>
      </c>
      <c r="G705" s="29">
        <f>(12500/100*20)+(12500/100*25)+(25000/100*30)+(50000/100*40)+(75000/100*55)+((60/100)*(-A705+F705))</f>
        <v>-30625</v>
      </c>
      <c r="H705" s="29"/>
      <c r="I705" s="29"/>
      <c r="J705" s="29"/>
      <c r="K705" s="29"/>
      <c r="L705" s="29"/>
      <c r="M705" s="29"/>
    </row>
    <row r="706" spans="1:15" x14ac:dyDescent="0.2">
      <c r="A706" s="29">
        <f>E705</f>
        <v>250000</v>
      </c>
      <c r="B706" s="29"/>
      <c r="C706" s="29"/>
      <c r="D706" s="29"/>
      <c r="E706" s="29">
        <v>999999999</v>
      </c>
      <c r="F706" s="29">
        <f>IF(AND(F684&gt;A706, F684&lt;=E706),F684,0)</f>
        <v>0</v>
      </c>
      <c r="G706" s="29">
        <f>(12500/100*20)+(12500/100*25)+(25000/100*30)+(50000/100*40)+(75000/100*55)+(75000/100*60)+((65/100)*(-A706+F706))</f>
        <v>-43125</v>
      </c>
      <c r="H706" s="29"/>
      <c r="I706" s="29"/>
      <c r="J706" s="29"/>
      <c r="K706" s="29"/>
      <c r="L706" s="29"/>
      <c r="M706" s="29"/>
    </row>
    <row r="707" spans="1:15" x14ac:dyDescent="0.2">
      <c r="A707" s="54" t="s">
        <v>7</v>
      </c>
      <c r="B707" s="54"/>
      <c r="C707" s="54"/>
      <c r="D707" s="54"/>
      <c r="E707" s="29"/>
      <c r="F707" s="29"/>
      <c r="G707" s="29">
        <f>VLOOKUP(F684,F700:G706,2,FALSE)</f>
        <v>0</v>
      </c>
      <c r="H707" s="29"/>
      <c r="I707" s="29"/>
      <c r="J707" s="29"/>
      <c r="K707" s="29"/>
      <c r="L707" s="29"/>
      <c r="M707" s="29"/>
    </row>
    <row r="709" spans="1:15" x14ac:dyDescent="0.2">
      <c r="E709" s="29"/>
      <c r="F709" s="29"/>
      <c r="G709" s="29"/>
      <c r="H709" s="32"/>
      <c r="I709" s="29"/>
      <c r="J709" s="33"/>
      <c r="M709" s="33"/>
      <c r="O709" s="33"/>
    </row>
    <row r="710" spans="1:15" x14ac:dyDescent="0.2">
      <c r="E710" s="29"/>
      <c r="F710" s="29"/>
      <c r="G710" s="29"/>
      <c r="H710" s="32"/>
      <c r="I710" s="29"/>
      <c r="J710" s="33"/>
      <c r="M710" s="33"/>
      <c r="O710" s="33"/>
    </row>
    <row r="711" spans="1:15" x14ac:dyDescent="0.2">
      <c r="E711" s="29"/>
      <c r="F711" s="29"/>
      <c r="G711" s="29"/>
      <c r="H711" s="32"/>
      <c r="I711" s="29"/>
      <c r="J711" s="33"/>
      <c r="M711" s="33"/>
      <c r="O711" s="33"/>
    </row>
    <row r="712" spans="1:15" x14ac:dyDescent="0.2">
      <c r="A712" s="52" t="s">
        <v>26</v>
      </c>
      <c r="B712" s="52"/>
      <c r="C712" s="52"/>
      <c r="D712" s="52"/>
      <c r="E712" s="29"/>
      <c r="F712" s="29"/>
      <c r="G712" s="53" t="s">
        <v>10</v>
      </c>
      <c r="H712" s="32"/>
      <c r="I712" s="52" t="s">
        <v>27</v>
      </c>
      <c r="J712" s="29"/>
      <c r="K712" s="29"/>
      <c r="L712" s="29"/>
      <c r="M712" s="53" t="s">
        <v>11</v>
      </c>
      <c r="O712" s="33"/>
    </row>
    <row r="713" spans="1:15" x14ac:dyDescent="0.2">
      <c r="A713" s="29">
        <v>0</v>
      </c>
      <c r="B713" s="29"/>
      <c r="C713" s="29"/>
      <c r="D713" s="29"/>
      <c r="E713" s="29">
        <v>50000</v>
      </c>
      <c r="F713" s="29">
        <f>IF(AND(F684&gt;A713, F684&lt;=E713),F684,0)</f>
        <v>0</v>
      </c>
      <c r="G713" s="29">
        <f>0+(35/100)*(-A713+F713)</f>
        <v>0</v>
      </c>
      <c r="H713" s="32"/>
      <c r="I713" s="29">
        <v>0</v>
      </c>
      <c r="J713" s="29">
        <v>50000</v>
      </c>
      <c r="K713" s="29">
        <f>IF(AND(F684&gt;I713, F684&lt;=J713),F684,0)</f>
        <v>0</v>
      </c>
      <c r="L713" s="29"/>
      <c r="M713" s="29">
        <f>0+(40/100)*(-I713+K713)</f>
        <v>0</v>
      </c>
      <c r="O713" s="33"/>
    </row>
    <row r="714" spans="1:15" x14ac:dyDescent="0.2">
      <c r="A714" s="29">
        <f>E713</f>
        <v>50000</v>
      </c>
      <c r="B714" s="29"/>
      <c r="C714" s="29"/>
      <c r="D714" s="29"/>
      <c r="E714" s="29">
        <v>100000</v>
      </c>
      <c r="F714" s="29">
        <f>IF(AND(F684&gt;A714, F684&lt;=E714),F684,0)</f>
        <v>0</v>
      </c>
      <c r="G714" s="29">
        <f>(50000/100*35)+((50/100)*(-A714+F714))</f>
        <v>-7500</v>
      </c>
      <c r="H714" s="32"/>
      <c r="I714" s="29">
        <f>J713</f>
        <v>50000</v>
      </c>
      <c r="J714" s="29">
        <v>75000</v>
      </c>
      <c r="K714" s="29">
        <f>IF(AND(F684&gt;I714, F684&lt;=J714),F684,0)</f>
        <v>0</v>
      </c>
      <c r="L714" s="29"/>
      <c r="M714" s="29">
        <f>(50000/100*40)+((55/100)*(-I714+K714))</f>
        <v>-7500.0000000000036</v>
      </c>
      <c r="O714" s="33"/>
    </row>
    <row r="715" spans="1:15" x14ac:dyDescent="0.2">
      <c r="A715" s="29">
        <f>E714</f>
        <v>100000</v>
      </c>
      <c r="B715" s="29"/>
      <c r="C715" s="29"/>
      <c r="D715" s="29"/>
      <c r="E715" s="29">
        <v>175000</v>
      </c>
      <c r="F715" s="29">
        <f>IF(AND(F684&gt;A715, F684&lt;=E715),F684,0)</f>
        <v>0</v>
      </c>
      <c r="G715" s="29">
        <f>(50000/100*35)+(50000/100*50)+((60/100)*(-A715+F715))</f>
        <v>-17500</v>
      </c>
      <c r="H715" s="32"/>
      <c r="I715" s="29">
        <f>J714</f>
        <v>75000</v>
      </c>
      <c r="J715" s="29">
        <v>175000</v>
      </c>
      <c r="K715" s="29">
        <f>IF(AND(F684&gt;I715, F684&lt;=J715),F684,0)</f>
        <v>0</v>
      </c>
      <c r="L715" s="29"/>
      <c r="M715" s="29">
        <f>(50000/100*40)+(25000/100*55)+((65/100)*(-I715+K715))</f>
        <v>-15000</v>
      </c>
      <c r="O715" s="33"/>
    </row>
    <row r="716" spans="1:15" x14ac:dyDescent="0.2">
      <c r="A716" s="29">
        <f>E715</f>
        <v>175000</v>
      </c>
      <c r="B716" s="29"/>
      <c r="C716" s="29"/>
      <c r="D716" s="29"/>
      <c r="E716" s="29">
        <v>999999999</v>
      </c>
      <c r="F716" s="29">
        <f>IF(AND(F684&gt;A716, F684&lt;=E716),F684,0)</f>
        <v>0</v>
      </c>
      <c r="G716" s="29">
        <f>(50000/100*35)+(50000/100*50)+(75000/100*60)+((70/100)*(-A716+F716))</f>
        <v>-34999.999999999985</v>
      </c>
      <c r="H716" s="32"/>
      <c r="I716" s="29">
        <f>J715</f>
        <v>175000</v>
      </c>
      <c r="J716" s="29">
        <v>999999999</v>
      </c>
      <c r="K716" s="29">
        <f>IF(AND(F684&gt;I716, F684&lt;=J716),F684,0)</f>
        <v>0</v>
      </c>
      <c r="L716" s="29"/>
      <c r="M716" s="29">
        <f>(50000/100*40)+(25000/100*55)+(100000/100*65)+((80/100)*(-I716+K716))</f>
        <v>-41250</v>
      </c>
      <c r="O716" s="33"/>
    </row>
    <row r="717" spans="1:15" x14ac:dyDescent="0.2">
      <c r="A717" s="29"/>
      <c r="B717" s="29"/>
      <c r="C717" s="29"/>
      <c r="D717" s="29"/>
      <c r="E717" s="29"/>
      <c r="F717" s="29"/>
      <c r="G717" s="29"/>
      <c r="H717" s="32"/>
      <c r="I717" s="29"/>
      <c r="J717" s="29"/>
      <c r="K717" s="29"/>
      <c r="L717" s="29"/>
      <c r="M717" s="29"/>
      <c r="O717" s="33"/>
    </row>
    <row r="718" spans="1:15" x14ac:dyDescent="0.2">
      <c r="A718" s="29"/>
      <c r="B718" s="29"/>
      <c r="C718" s="29"/>
      <c r="D718" s="29"/>
      <c r="E718" s="29"/>
      <c r="F718" s="29"/>
      <c r="G718" s="29"/>
      <c r="H718" s="32"/>
      <c r="I718" s="29"/>
      <c r="J718" s="29"/>
      <c r="K718" s="29"/>
      <c r="L718" s="29"/>
      <c r="M718" s="29"/>
      <c r="O718" s="33"/>
    </row>
    <row r="719" spans="1:15" x14ac:dyDescent="0.2">
      <c r="A719" s="29"/>
      <c r="B719" s="29"/>
      <c r="C719" s="29"/>
      <c r="D719" s="29"/>
      <c r="E719" s="29"/>
      <c r="F719" s="29"/>
      <c r="G719" s="29"/>
      <c r="H719" s="32"/>
      <c r="I719" s="29"/>
      <c r="J719" s="29"/>
      <c r="K719" s="29"/>
      <c r="L719" s="29"/>
      <c r="M719" s="29"/>
      <c r="O719" s="33"/>
    </row>
    <row r="720" spans="1:15" x14ac:dyDescent="0.2">
      <c r="A720" s="54" t="s">
        <v>7</v>
      </c>
      <c r="B720" s="54"/>
      <c r="C720" s="54"/>
      <c r="D720" s="54"/>
      <c r="E720" s="29"/>
      <c r="F720" s="29"/>
      <c r="G720" s="29">
        <f>VLOOKUP(F684,F713:G716,2,FALSE)</f>
        <v>0</v>
      </c>
      <c r="H720" s="32"/>
      <c r="I720" s="54" t="s">
        <v>7</v>
      </c>
      <c r="J720" s="29"/>
      <c r="K720" s="29"/>
      <c r="L720" s="29"/>
      <c r="M720" s="29">
        <f>VLOOKUP(F684,K713:M716,3,FALSE)</f>
        <v>0</v>
      </c>
      <c r="O720" s="33"/>
    </row>
    <row r="721" spans="5:15" x14ac:dyDescent="0.2">
      <c r="H721" s="32"/>
      <c r="O721" s="33"/>
    </row>
    <row r="722" spans="5:15" x14ac:dyDescent="0.2">
      <c r="E722" s="29"/>
      <c r="F722" s="29"/>
      <c r="G722" s="29"/>
      <c r="H722" s="32"/>
      <c r="J722" s="29"/>
      <c r="K722" s="29"/>
      <c r="L722" s="29"/>
      <c r="M722" s="29"/>
      <c r="O722" s="33"/>
    </row>
    <row r="723" spans="5:15" x14ac:dyDescent="0.2">
      <c r="E723" s="29"/>
      <c r="G723" s="29"/>
    </row>
    <row r="725" spans="5:15" x14ac:dyDescent="0.2">
      <c r="E725" s="9" t="s">
        <v>84</v>
      </c>
      <c r="F725" s="9" t="s">
        <v>91</v>
      </c>
    </row>
    <row r="727" spans="5:15" x14ac:dyDescent="0.2">
      <c r="E727" s="9" t="s">
        <v>84</v>
      </c>
      <c r="F727" s="9">
        <f>IF(DONBIB!J45=3,M692*12%,0)</f>
        <v>0</v>
      </c>
      <c r="G727" s="9">
        <f>IF(F727&gt;372,372,F727)</f>
        <v>0</v>
      </c>
      <c r="I727" s="9" t="s">
        <v>30</v>
      </c>
      <c r="J727" s="9">
        <f>M692*6%</f>
        <v>0</v>
      </c>
      <c r="K727" s="9">
        <f>IF(J727&gt;186,186,J727)</f>
        <v>0</v>
      </c>
      <c r="L727" s="9">
        <f>IF(DONBIB!J45=3,K727,0)</f>
        <v>0</v>
      </c>
    </row>
    <row r="728" spans="5:15" x14ac:dyDescent="0.2">
      <c r="F728" s="9">
        <f>IF(DONBIB!J45=4,M692*16%,0)</f>
        <v>0</v>
      </c>
      <c r="G728" s="9">
        <f>IF(F728&gt;496,496,F728)</f>
        <v>0</v>
      </c>
      <c r="I728" s="9" t="s">
        <v>31</v>
      </c>
      <c r="J728" s="9">
        <f>M692*8%</f>
        <v>0</v>
      </c>
      <c r="K728" s="9">
        <f>IF(J728&gt;248,248,J728)</f>
        <v>0</v>
      </c>
      <c r="L728" s="9">
        <f>IF(DONBIB!J45=4,K728,0)</f>
        <v>0</v>
      </c>
    </row>
    <row r="729" spans="5:15" x14ac:dyDescent="0.2">
      <c r="F729" s="9">
        <f>IF(DONBIB!J45=5,M692*20%,0)</f>
        <v>0</v>
      </c>
      <c r="G729" s="9">
        <f>IF(F729&gt;620,620,F729)</f>
        <v>0</v>
      </c>
      <c r="J729" s="9">
        <f>M692*10%</f>
        <v>0</v>
      </c>
      <c r="K729" s="9">
        <f>IF(J729&gt;310,310,J729)</f>
        <v>0</v>
      </c>
      <c r="L729" s="9">
        <f>IF(DONBIB!J45=5,K729,0)</f>
        <v>0</v>
      </c>
    </row>
    <row r="730" spans="5:15" x14ac:dyDescent="0.2">
      <c r="F730" s="9">
        <f>IF(DONBIB!J45=6,M692*24%,0)</f>
        <v>0</v>
      </c>
      <c r="G730" s="9">
        <f>IF(F730&gt;744,744,F730)</f>
        <v>0</v>
      </c>
      <c r="J730" s="9">
        <f>M692*12%</f>
        <v>0</v>
      </c>
      <c r="K730" s="9">
        <f>IF(J730&gt;372,372,J730)</f>
        <v>0</v>
      </c>
      <c r="L730" s="9">
        <f>IF(DONBIB!J45=6,K730,0)</f>
        <v>0</v>
      </c>
    </row>
    <row r="731" spans="5:15" x14ac:dyDescent="0.2">
      <c r="F731" s="9">
        <f>IF(DONBIB!J45=7,M692*28%,0)</f>
        <v>0</v>
      </c>
      <c r="G731" s="9">
        <f>IF(F731&gt;868,868,F731)</f>
        <v>0</v>
      </c>
      <c r="J731" s="9">
        <f>M692*14%</f>
        <v>0</v>
      </c>
      <c r="K731" s="9">
        <f>IF(J731&gt;434,434,J731)</f>
        <v>0</v>
      </c>
      <c r="L731" s="9">
        <f>IF(DONBIB!J45=7,K731,0)</f>
        <v>0</v>
      </c>
    </row>
    <row r="732" spans="5:15" x14ac:dyDescent="0.2">
      <c r="F732" s="9">
        <f>IF(DONBIB!J45=8,M692*32%,0)</f>
        <v>0</v>
      </c>
      <c r="G732" s="9">
        <f>IF(F732&gt;992,992,F732)</f>
        <v>0</v>
      </c>
      <c r="J732" s="9">
        <f>M692*16%</f>
        <v>0</v>
      </c>
      <c r="K732" s="9">
        <f>IF(J732&gt;496,496,J732)</f>
        <v>0</v>
      </c>
      <c r="L732" s="9">
        <f>IF(DONBIB!J45=8,K732,0)</f>
        <v>0</v>
      </c>
    </row>
    <row r="733" spans="5:15" x14ac:dyDescent="0.2">
      <c r="F733" s="9">
        <f>IF(DONBIB!J45=9,M692*36%,0)</f>
        <v>0</v>
      </c>
      <c r="G733" s="9">
        <f>IF(F733&gt;1116,1116,F733)</f>
        <v>0</v>
      </c>
      <c r="J733" s="9">
        <f>M692*18%</f>
        <v>0</v>
      </c>
      <c r="K733" s="9">
        <f>IF(J733&gt;558,558,J733)</f>
        <v>0</v>
      </c>
      <c r="L733" s="9">
        <f>IF(DONBIB!J45=9,K733,0)</f>
        <v>0</v>
      </c>
    </row>
    <row r="734" spans="5:15" x14ac:dyDescent="0.2">
      <c r="F734" s="9">
        <f>IF(DONBIB!J45=10,M692*40%,0)</f>
        <v>0</v>
      </c>
      <c r="G734" s="9">
        <f>IF(F734&gt;1240,1240,F734)</f>
        <v>0</v>
      </c>
      <c r="J734" s="9">
        <f>M692*20%</f>
        <v>0</v>
      </c>
      <c r="K734" s="9">
        <f>IF(J734&gt;620,620,J734)</f>
        <v>0</v>
      </c>
      <c r="L734" s="9">
        <f>IF(DONBIB!J45=10,K734,0)</f>
        <v>0</v>
      </c>
    </row>
    <row r="736" spans="5:15" x14ac:dyDescent="0.2">
      <c r="G736" s="9">
        <f>SUM(G727:G735)</f>
        <v>0</v>
      </c>
      <c r="L736" s="9">
        <f>SUM(L727:L735)</f>
        <v>0</v>
      </c>
    </row>
    <row r="737" spans="5:9" x14ac:dyDescent="0.2">
      <c r="G737" s="22"/>
    </row>
    <row r="738" spans="5:9" x14ac:dyDescent="0.2">
      <c r="G738" s="22"/>
    </row>
    <row r="739" spans="5:9" x14ac:dyDescent="0.2">
      <c r="G739" s="22"/>
    </row>
    <row r="740" spans="5:9" x14ac:dyDescent="0.2">
      <c r="E740" s="9" t="s">
        <v>32</v>
      </c>
      <c r="F740" s="23">
        <f>M692-G736</f>
        <v>0</v>
      </c>
      <c r="G740" s="22"/>
      <c r="H740" s="9" t="s">
        <v>33</v>
      </c>
      <c r="I740" s="56">
        <f>M692-L736</f>
        <v>0</v>
      </c>
    </row>
    <row r="741" spans="5:9" x14ac:dyDescent="0.2">
      <c r="E741" s="29"/>
      <c r="G741" s="29"/>
    </row>
    <row r="742" spans="5:9" x14ac:dyDescent="0.2">
      <c r="E742" s="29"/>
      <c r="G742" s="29"/>
    </row>
    <row r="743" spans="5:9" x14ac:dyDescent="0.2">
      <c r="E743" s="29"/>
      <c r="G743" s="29"/>
    </row>
    <row r="744" spans="5:9" x14ac:dyDescent="0.2">
      <c r="E744" s="29"/>
      <c r="G744" s="29"/>
    </row>
    <row r="745" spans="5:9" x14ac:dyDescent="0.2">
      <c r="E745" s="29"/>
      <c r="G745" s="29"/>
    </row>
    <row r="746" spans="5:9" x14ac:dyDescent="0.2">
      <c r="E746" s="29"/>
      <c r="G746" s="29"/>
    </row>
    <row r="747" spans="5:9" x14ac:dyDescent="0.2">
      <c r="E747" s="29"/>
      <c r="G747" s="29"/>
    </row>
    <row r="748" spans="5:9" x14ac:dyDescent="0.2">
      <c r="E748" s="29"/>
      <c r="G748" s="29"/>
    </row>
    <row r="749" spans="5:9" x14ac:dyDescent="0.2">
      <c r="E749" s="29"/>
      <c r="G749" s="29"/>
    </row>
    <row r="750" spans="5:9" x14ac:dyDescent="0.2">
      <c r="E750" s="29"/>
      <c r="G750" s="29"/>
    </row>
    <row r="751" spans="5:9" x14ac:dyDescent="0.2">
      <c r="E751" s="29"/>
      <c r="G751" s="29"/>
    </row>
    <row r="752" spans="5:9" x14ac:dyDescent="0.2">
      <c r="E752" s="29"/>
      <c r="G752" s="29"/>
    </row>
    <row r="753" spans="5:7" x14ac:dyDescent="0.2">
      <c r="E753" s="29"/>
      <c r="G753" s="29"/>
    </row>
    <row r="754" spans="5:7" x14ac:dyDescent="0.2">
      <c r="E754" s="29"/>
      <c r="G754" s="29"/>
    </row>
    <row r="755" spans="5:7" x14ac:dyDescent="0.2">
      <c r="E755" s="29"/>
      <c r="G755" s="29"/>
    </row>
    <row r="756" spans="5:7" x14ac:dyDescent="0.2">
      <c r="E756" s="29"/>
      <c r="G756" s="29"/>
    </row>
    <row r="757" spans="5:7" x14ac:dyDescent="0.2">
      <c r="E757" s="29"/>
      <c r="G757" s="29"/>
    </row>
    <row r="758" spans="5:7" x14ac:dyDescent="0.2">
      <c r="E758" s="29"/>
      <c r="G758" s="29"/>
    </row>
    <row r="759" spans="5:7" x14ac:dyDescent="0.2">
      <c r="E759" s="29"/>
      <c r="G759" s="29"/>
    </row>
    <row r="760" spans="5:7" x14ac:dyDescent="0.2">
      <c r="E760" s="29"/>
      <c r="G760" s="29"/>
    </row>
    <row r="761" spans="5:7" x14ac:dyDescent="0.2">
      <c r="E761" s="29"/>
      <c r="G761" s="29"/>
    </row>
    <row r="762" spans="5:7" x14ac:dyDescent="0.2">
      <c r="E762" s="29"/>
      <c r="G762" s="29"/>
    </row>
    <row r="763" spans="5:7" x14ac:dyDescent="0.2">
      <c r="E763" s="29"/>
      <c r="G763" s="29"/>
    </row>
    <row r="764" spans="5:7" x14ac:dyDescent="0.2">
      <c r="E764" s="29"/>
      <c r="G764" s="29"/>
    </row>
    <row r="765" spans="5:7" x14ac:dyDescent="0.2">
      <c r="E765" s="29"/>
      <c r="G765" s="29"/>
    </row>
    <row r="766" spans="5:7" x14ac:dyDescent="0.2">
      <c r="E766" s="29"/>
      <c r="G766" s="29"/>
    </row>
    <row r="767" spans="5:7" x14ac:dyDescent="0.2">
      <c r="E767" s="29"/>
      <c r="G767" s="29"/>
    </row>
    <row r="768" spans="5:7" x14ac:dyDescent="0.2">
      <c r="E768" s="29"/>
      <c r="G768" s="29"/>
    </row>
    <row r="769" spans="5:7" x14ac:dyDescent="0.2">
      <c r="E769" s="29"/>
      <c r="G769" s="29"/>
    </row>
    <row r="770" spans="5:7" x14ac:dyDescent="0.2">
      <c r="E770" s="29"/>
      <c r="G770" s="29"/>
    </row>
    <row r="771" spans="5:7" x14ac:dyDescent="0.2">
      <c r="E771" s="29"/>
      <c r="G771" s="29"/>
    </row>
    <row r="772" spans="5:7" x14ac:dyDescent="0.2">
      <c r="E772" s="29"/>
      <c r="G772" s="29"/>
    </row>
    <row r="773" spans="5:7" x14ac:dyDescent="0.2">
      <c r="E773" s="29"/>
      <c r="G773" s="29"/>
    </row>
    <row r="774" spans="5:7" x14ac:dyDescent="0.2">
      <c r="E774" s="29"/>
      <c r="G774" s="29"/>
    </row>
    <row r="775" spans="5:7" x14ac:dyDescent="0.2">
      <c r="E775" s="29"/>
      <c r="G775" s="29"/>
    </row>
    <row r="776" spans="5:7" x14ac:dyDescent="0.2">
      <c r="E776" s="29"/>
      <c r="G776" s="29"/>
    </row>
    <row r="777" spans="5:7" x14ac:dyDescent="0.2">
      <c r="E777" s="29"/>
      <c r="G777" s="29"/>
    </row>
    <row r="778" spans="5:7" x14ac:dyDescent="0.2">
      <c r="E778" s="29"/>
      <c r="G778" s="29"/>
    </row>
    <row r="779" spans="5:7" x14ac:dyDescent="0.2">
      <c r="E779" s="29"/>
      <c r="G779" s="29"/>
    </row>
    <row r="780" spans="5:7" x14ac:dyDescent="0.2">
      <c r="E780" s="29"/>
      <c r="G780" s="29"/>
    </row>
    <row r="781" spans="5:7" x14ac:dyDescent="0.2">
      <c r="E781" s="29"/>
      <c r="G781" s="29"/>
    </row>
    <row r="782" spans="5:7" x14ac:dyDescent="0.2">
      <c r="E782" s="29"/>
      <c r="G782" s="29"/>
    </row>
    <row r="783" spans="5:7" x14ac:dyDescent="0.2">
      <c r="E783" s="29"/>
      <c r="G783" s="29"/>
    </row>
    <row r="784" spans="5:7" x14ac:dyDescent="0.2">
      <c r="E784" s="29"/>
      <c r="G784" s="29"/>
    </row>
    <row r="785" spans="1:15" ht="13.5" thickBot="1" x14ac:dyDescent="0.25">
      <c r="E785" s="29"/>
      <c r="G785" s="29"/>
    </row>
    <row r="786" spans="1:15" ht="13.5" thickTop="1" x14ac:dyDescent="0.2">
      <c r="A786" s="42"/>
      <c r="B786" s="42"/>
      <c r="C786" s="42"/>
      <c r="D786" s="42"/>
      <c r="E786" s="43"/>
      <c r="F786" s="44"/>
      <c r="G786" s="43"/>
      <c r="H786" s="43"/>
      <c r="I786" s="45"/>
      <c r="J786" s="46"/>
      <c r="K786" s="45"/>
      <c r="L786" s="45"/>
      <c r="M786" s="45"/>
      <c r="N786" s="47"/>
      <c r="O786" s="48"/>
    </row>
    <row r="787" spans="1:15" x14ac:dyDescent="0.2">
      <c r="A787" s="29" t="s">
        <v>4</v>
      </c>
      <c r="B787" s="29"/>
      <c r="C787" s="29"/>
      <c r="D787" s="29"/>
      <c r="E787" s="29"/>
      <c r="F787" s="29">
        <f>DONBIB!G52</f>
        <v>0</v>
      </c>
      <c r="G787" s="49"/>
      <c r="H787" s="29"/>
      <c r="I787" s="29"/>
      <c r="J787" s="50"/>
      <c r="K787" s="29"/>
      <c r="L787" s="29"/>
      <c r="M787" s="29">
        <f>IF(AND(DONBIB!I50="oui",DONBIB!F50="ligne directe"),H799,0)</f>
        <v>0</v>
      </c>
      <c r="O787" s="51"/>
    </row>
    <row r="788" spans="1:15" x14ac:dyDescent="0.2">
      <c r="A788" s="29"/>
      <c r="B788" s="29"/>
      <c r="C788" s="29"/>
      <c r="D788" s="29"/>
      <c r="E788" s="29"/>
      <c r="F788" s="29"/>
      <c r="G788" s="29"/>
      <c r="H788" s="29"/>
      <c r="I788" s="29"/>
      <c r="J788" s="50"/>
      <c r="K788" s="29"/>
      <c r="L788" s="29"/>
      <c r="M788" s="29">
        <f>IF(AND(DONBIB!I50="oui",DONBIB!F50="épou(x)(se)"),H799,0)</f>
        <v>0</v>
      </c>
      <c r="O788" s="51"/>
    </row>
    <row r="789" spans="1:15" x14ac:dyDescent="0.2">
      <c r="A789" s="52" t="s">
        <v>5</v>
      </c>
      <c r="B789" s="52"/>
      <c r="C789" s="52"/>
      <c r="D789" s="52"/>
      <c r="E789" s="29"/>
      <c r="F789" s="29"/>
      <c r="G789" s="53" t="s">
        <v>6</v>
      </c>
      <c r="H789" s="53" t="s">
        <v>25</v>
      </c>
      <c r="I789" s="29"/>
      <c r="J789" s="50"/>
      <c r="K789" s="29"/>
      <c r="L789" s="29"/>
      <c r="M789" s="29">
        <f>IF(AND(DONBIB!I50="non",DONBIB!F50="ligne directe"),G799,0)</f>
        <v>0</v>
      </c>
      <c r="O789" s="51"/>
    </row>
    <row r="790" spans="1:15" x14ac:dyDescent="0.2">
      <c r="A790" s="29">
        <v>0</v>
      </c>
      <c r="B790" s="29"/>
      <c r="C790" s="29"/>
      <c r="D790" s="29"/>
      <c r="E790" s="29">
        <v>50000</v>
      </c>
      <c r="F790" s="29">
        <f>IF(AND(F787&gt;A790, F787&lt;=E790),F787,0)</f>
        <v>0</v>
      </c>
      <c r="G790" s="29">
        <f>0+(3/100)*(-A790+F790)</f>
        <v>0</v>
      </c>
      <c r="H790" s="29">
        <f>0+(2/100)*(-A790+F790)</f>
        <v>0</v>
      </c>
      <c r="I790" s="29"/>
      <c r="J790" s="50"/>
      <c r="K790" s="29"/>
      <c r="L790" s="29"/>
      <c r="M790" s="29">
        <f>IF(AND(DONBIB!I50="non",DONBIB!F50="épou(x)(se)"),G799,0)</f>
        <v>0</v>
      </c>
      <c r="O790" s="51"/>
    </row>
    <row r="791" spans="1:15" x14ac:dyDescent="0.2">
      <c r="A791" s="29">
        <f>E790</f>
        <v>50000</v>
      </c>
      <c r="B791" s="29"/>
      <c r="C791" s="29"/>
      <c r="D791" s="29"/>
      <c r="E791" s="29">
        <v>100000</v>
      </c>
      <c r="F791" s="29">
        <f>IF(AND(F787&gt;A791, F787&lt;=E791),F787,0)</f>
        <v>0</v>
      </c>
      <c r="G791" s="29">
        <f>(50000/100*3)+(8/100)*(-A791+F791)</f>
        <v>-2500</v>
      </c>
      <c r="H791" s="29">
        <f>(50000/100*2)+(5.3/100)*(-A791+F791)</f>
        <v>-1650</v>
      </c>
      <c r="I791" s="29"/>
      <c r="J791" s="50"/>
      <c r="K791" s="29"/>
      <c r="L791" s="29"/>
      <c r="M791" s="29">
        <f>IF(DONBIB!F50="frère/soeur",G810,0)</f>
        <v>0</v>
      </c>
      <c r="O791" s="51"/>
    </row>
    <row r="792" spans="1:15" x14ac:dyDescent="0.2">
      <c r="A792" s="29">
        <f>E791</f>
        <v>100000</v>
      </c>
      <c r="B792" s="29"/>
      <c r="C792" s="29"/>
      <c r="D792" s="29"/>
      <c r="E792" s="29">
        <v>175000</v>
      </c>
      <c r="F792" s="29">
        <f>IF(AND(F787&gt;A792, F787&lt;=E792),F787,0)</f>
        <v>0</v>
      </c>
      <c r="G792" s="29">
        <f>(50000/100*3)+(50000/100*8)+((9/100)*(-A792+F792))</f>
        <v>-3500</v>
      </c>
      <c r="H792" s="29">
        <f>(50000/100*2)+(50000/100*5.3)+((6/100)*(-A792+F792))</f>
        <v>-2350</v>
      </c>
      <c r="I792" s="29"/>
      <c r="J792" s="50"/>
      <c r="K792" s="29"/>
      <c r="L792" s="29"/>
      <c r="M792" s="29">
        <f>IF(DONBIB!F50="oncle-tante/neveu-nièce",G823,0)</f>
        <v>0</v>
      </c>
      <c r="O792" s="51"/>
    </row>
    <row r="793" spans="1:15" x14ac:dyDescent="0.2">
      <c r="A793" s="29">
        <f>E792</f>
        <v>175000</v>
      </c>
      <c r="B793" s="29"/>
      <c r="C793" s="29"/>
      <c r="D793" s="29"/>
      <c r="E793" s="29">
        <v>250000</v>
      </c>
      <c r="F793" s="29">
        <f>IF(AND(F787&gt;A793, F787&lt;=E793),F787,0)</f>
        <v>0</v>
      </c>
      <c r="G793" s="29">
        <f>(50000/100*3)+(50000/100*8)+(75000/100*9)+((18/100)*(-A793+F793))</f>
        <v>-19250</v>
      </c>
      <c r="H793" s="29">
        <f>(50000/100*2)+(50000/100*5.3)+(75000/100*6)+((12/100)*(-A793+F793))</f>
        <v>-12850</v>
      </c>
      <c r="I793" s="29"/>
      <c r="J793" s="50"/>
      <c r="K793" s="29"/>
      <c r="L793" s="29"/>
      <c r="M793" s="29">
        <f>IF(DONBIB!F50="étrangers",M823,0)</f>
        <v>0</v>
      </c>
      <c r="O793" s="51"/>
    </row>
    <row r="794" spans="1:15" x14ac:dyDescent="0.2">
      <c r="A794" s="29">
        <f>E793</f>
        <v>250000</v>
      </c>
      <c r="B794" s="29"/>
      <c r="C794" s="29"/>
      <c r="D794" s="29"/>
      <c r="E794" s="29">
        <v>500000</v>
      </c>
      <c r="F794" s="29">
        <f>IF(AND(F787&gt;A794, F787&lt;=E794),F787,0)</f>
        <v>0</v>
      </c>
      <c r="G794" s="29">
        <f>(50000/100*3)+(50000/100*8)+(75000/100*9)+(75000/100*18)+((24/100)*(-A794+F794))</f>
        <v>-34250</v>
      </c>
      <c r="H794" s="29">
        <f>(50000/100*2)+(50000/100*5.3)+(75000/100*6)+(75000/100*12)+((24/100)*(-A794+F794))</f>
        <v>-42850</v>
      </c>
      <c r="I794" s="29"/>
      <c r="J794" s="29"/>
      <c r="K794" s="29"/>
      <c r="L794" s="29"/>
      <c r="M794" s="29"/>
      <c r="O794" s="51"/>
    </row>
    <row r="795" spans="1:15" x14ac:dyDescent="0.2">
      <c r="A795" s="29">
        <f>E794</f>
        <v>500000</v>
      </c>
      <c r="B795" s="29"/>
      <c r="C795" s="29"/>
      <c r="D795" s="29"/>
      <c r="E795" s="29">
        <v>999999999</v>
      </c>
      <c r="F795" s="29">
        <f>IF(AND(F787&gt;A795, F787&lt;=E795),F787,0)</f>
        <v>0</v>
      </c>
      <c r="G795" s="29">
        <f>(50000/100*3)+(50000/100*8)+(75000/100*9)+(75000/100*18)+(250000/100*24)+((30/100)*(-A795+F795))</f>
        <v>-64250</v>
      </c>
      <c r="H795" s="29">
        <f>(50000/100*2)+(50000/100*5.3)+(75000/100*6)+(75000/100*12)+(250000/100*24)+((30/100)*(-A795+F795))</f>
        <v>-72850</v>
      </c>
      <c r="I795" s="29"/>
      <c r="J795" s="29"/>
      <c r="K795" s="29"/>
      <c r="L795" s="29"/>
      <c r="M795" s="29">
        <f>SUM(M787:M794)</f>
        <v>0</v>
      </c>
      <c r="O795" s="51"/>
    </row>
    <row r="796" spans="1:15" x14ac:dyDescent="0.2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O796" s="51"/>
    </row>
    <row r="797" spans="1:15" x14ac:dyDescent="0.2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O797" s="51"/>
    </row>
    <row r="798" spans="1:15" x14ac:dyDescent="0.2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O798" s="51"/>
    </row>
    <row r="799" spans="1:15" x14ac:dyDescent="0.2">
      <c r="A799" s="54" t="s">
        <v>7</v>
      </c>
      <c r="B799" s="54"/>
      <c r="C799" s="54"/>
      <c r="D799" s="54"/>
      <c r="E799" s="29"/>
      <c r="F799" s="29"/>
      <c r="G799" s="29">
        <f>VLOOKUP(F787,F790:G795,2,FALSE)</f>
        <v>0</v>
      </c>
      <c r="H799" s="29">
        <f>VLOOKUP(F787,F790:H795,3,FALSE)</f>
        <v>0</v>
      </c>
      <c r="I799" s="29"/>
      <c r="J799" s="29"/>
      <c r="K799" s="29"/>
      <c r="L799" s="29"/>
      <c r="M799" s="29"/>
      <c r="O799" s="51"/>
    </row>
    <row r="800" spans="1:15" x14ac:dyDescent="0.2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O800" s="51"/>
    </row>
    <row r="801" spans="1:15" x14ac:dyDescent="0.2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O801" s="51"/>
    </row>
    <row r="802" spans="1:15" x14ac:dyDescent="0.2">
      <c r="A802" s="52" t="s">
        <v>8</v>
      </c>
      <c r="B802" s="52"/>
      <c r="C802" s="52"/>
      <c r="D802" s="52"/>
      <c r="E802" s="29"/>
      <c r="F802" s="29"/>
      <c r="G802" s="53" t="s">
        <v>9</v>
      </c>
      <c r="H802" s="53"/>
      <c r="I802" s="42"/>
      <c r="J802" s="42"/>
      <c r="K802" s="42"/>
      <c r="L802" s="42"/>
      <c r="M802" s="42"/>
    </row>
    <row r="803" spans="1:15" x14ac:dyDescent="0.2">
      <c r="A803" s="29">
        <v>0</v>
      </c>
      <c r="B803" s="29"/>
      <c r="C803" s="29"/>
      <c r="D803" s="29"/>
      <c r="E803" s="29">
        <v>12500</v>
      </c>
      <c r="F803" s="29">
        <f>IF(AND(F787&gt;A803, F787&lt;=E803),F787,0)</f>
        <v>0</v>
      </c>
      <c r="G803" s="29">
        <f>0+(20/100)*(-A803+F803)</f>
        <v>0</v>
      </c>
      <c r="H803" s="29"/>
      <c r="I803" s="29"/>
      <c r="J803" s="29"/>
      <c r="K803" s="29"/>
      <c r="L803" s="29"/>
      <c r="M803" s="29"/>
    </row>
    <row r="804" spans="1:15" x14ac:dyDescent="0.2">
      <c r="A804" s="29">
        <f>E803</f>
        <v>12500</v>
      </c>
      <c r="B804" s="29"/>
      <c r="C804" s="29"/>
      <c r="D804" s="29"/>
      <c r="E804" s="29">
        <v>25000</v>
      </c>
      <c r="F804" s="29">
        <f>IF(AND(F787&gt;A804, F787&lt;=E804),F787,0)</f>
        <v>0</v>
      </c>
      <c r="G804" s="29">
        <f>(12500/100*20)+((25/100)*(-A804+F804))</f>
        <v>-625</v>
      </c>
      <c r="H804" s="29"/>
      <c r="I804" s="29"/>
      <c r="J804" s="29"/>
      <c r="K804" s="29"/>
      <c r="L804" s="29"/>
      <c r="M804" s="29"/>
    </row>
    <row r="805" spans="1:15" x14ac:dyDescent="0.2">
      <c r="A805" s="29">
        <f>E804</f>
        <v>25000</v>
      </c>
      <c r="B805" s="29"/>
      <c r="C805" s="29"/>
      <c r="D805" s="29"/>
      <c r="E805" s="29">
        <v>50000</v>
      </c>
      <c r="F805" s="29">
        <f>IF(AND(F787&gt;A805, F787&lt;=E805),F787,0)</f>
        <v>0</v>
      </c>
      <c r="G805" s="29">
        <f>(12500/100*20)+(12500/100*25)+((30/100)*(-A805+F805))</f>
        <v>-1875</v>
      </c>
      <c r="H805" s="29"/>
      <c r="I805" s="29"/>
      <c r="J805" s="29"/>
      <c r="K805" s="29"/>
      <c r="L805" s="29"/>
      <c r="M805" s="29"/>
    </row>
    <row r="806" spans="1:15" x14ac:dyDescent="0.2">
      <c r="A806" s="29">
        <f>E805</f>
        <v>50000</v>
      </c>
      <c r="B806" s="29"/>
      <c r="C806" s="29"/>
      <c r="D806" s="29"/>
      <c r="E806" s="29">
        <v>100000</v>
      </c>
      <c r="F806" s="29">
        <f>IF(AND(F787&gt;A806, F787&lt;=E806),F787,0)</f>
        <v>0</v>
      </c>
      <c r="G806" s="29">
        <f>(12500/100*20)+(12500/100*25)+(25000/100*30)+((40/100)*(-A806+F806))</f>
        <v>-6875</v>
      </c>
      <c r="H806" s="29"/>
      <c r="I806" s="29"/>
      <c r="J806" s="29"/>
      <c r="K806" s="29"/>
      <c r="L806" s="29"/>
      <c r="M806" s="29"/>
    </row>
    <row r="807" spans="1:15" x14ac:dyDescent="0.2">
      <c r="A807" s="29">
        <f>E806</f>
        <v>100000</v>
      </c>
      <c r="B807" s="29"/>
      <c r="C807" s="29"/>
      <c r="D807" s="29"/>
      <c r="E807" s="29">
        <v>175000</v>
      </c>
      <c r="F807" s="29">
        <f>IF(AND(F787&gt;A807, F787&lt;=E807),F787,0)</f>
        <v>0</v>
      </c>
      <c r="G807" s="29">
        <f>(12500/100*20)+(12500/100*25)+(25000/100*30)+(50000/100*40)+((55/100)*(-A807+F807))</f>
        <v>-21875.000000000007</v>
      </c>
      <c r="H807" s="29"/>
      <c r="I807" s="29"/>
      <c r="J807" s="29"/>
      <c r="K807" s="29"/>
      <c r="L807" s="29"/>
      <c r="M807" s="29"/>
    </row>
    <row r="808" spans="1:15" x14ac:dyDescent="0.2">
      <c r="A808" s="29">
        <v>175000</v>
      </c>
      <c r="B808" s="29"/>
      <c r="C808" s="29"/>
      <c r="D808" s="29"/>
      <c r="E808" s="29">
        <v>250000</v>
      </c>
      <c r="F808" s="29">
        <f>IF(AND(F787&gt;A808, F787&lt;=E808),F787,0)</f>
        <v>0</v>
      </c>
      <c r="G808" s="29">
        <f>(12500/100*20)+(12500/100*25)+(25000/100*30)+(50000/100*40)+(75000/100*55)+((60/100)*(-A808+F808))</f>
        <v>-30625</v>
      </c>
      <c r="H808" s="29"/>
      <c r="I808" s="29"/>
      <c r="J808" s="29"/>
      <c r="K808" s="29"/>
      <c r="L808" s="29"/>
      <c r="M808" s="29"/>
    </row>
    <row r="809" spans="1:15" x14ac:dyDescent="0.2">
      <c r="A809" s="29">
        <f>E808</f>
        <v>250000</v>
      </c>
      <c r="B809" s="29"/>
      <c r="C809" s="29"/>
      <c r="D809" s="29"/>
      <c r="E809" s="29">
        <v>999999999</v>
      </c>
      <c r="F809" s="29">
        <f>IF(AND(F787&gt;A809, F787&lt;=E809),F787,0)</f>
        <v>0</v>
      </c>
      <c r="G809" s="29">
        <f>(12500/100*20)+(12500/100*25)+(25000/100*30)+(50000/100*40)+(75000/100*55)+(75000/100*60)+((65/100)*(-A809+F809))</f>
        <v>-43125</v>
      </c>
      <c r="H809" s="29"/>
      <c r="I809" s="29"/>
      <c r="J809" s="29"/>
      <c r="K809" s="29"/>
      <c r="L809" s="29"/>
      <c r="M809" s="29"/>
    </row>
    <row r="810" spans="1:15" x14ac:dyDescent="0.2">
      <c r="A810" s="54" t="s">
        <v>7</v>
      </c>
      <c r="B810" s="54"/>
      <c r="C810" s="54"/>
      <c r="D810" s="54"/>
      <c r="E810" s="29"/>
      <c r="F810" s="29"/>
      <c r="G810" s="29">
        <f>VLOOKUP(F787,F803:G809,2,FALSE)</f>
        <v>0</v>
      </c>
      <c r="H810" s="29"/>
      <c r="I810" s="29"/>
      <c r="J810" s="29"/>
      <c r="K810" s="29"/>
      <c r="L810" s="29"/>
      <c r="M810" s="29"/>
    </row>
    <row r="812" spans="1:15" x14ac:dyDescent="0.2">
      <c r="E812" s="29"/>
      <c r="F812" s="29"/>
      <c r="G812" s="29"/>
      <c r="H812" s="32"/>
      <c r="I812" s="29"/>
      <c r="J812" s="33"/>
      <c r="M812" s="33"/>
      <c r="O812" s="33"/>
    </row>
    <row r="813" spans="1:15" x14ac:dyDescent="0.2">
      <c r="E813" s="29"/>
      <c r="F813" s="29"/>
      <c r="G813" s="29"/>
      <c r="H813" s="32"/>
      <c r="I813" s="29"/>
      <c r="J813" s="33"/>
      <c r="M813" s="33"/>
      <c r="O813" s="33"/>
    </row>
    <row r="814" spans="1:15" x14ac:dyDescent="0.2">
      <c r="E814" s="29"/>
      <c r="F814" s="29"/>
      <c r="G814" s="29"/>
      <c r="H814" s="32"/>
      <c r="I814" s="29"/>
      <c r="J814" s="33"/>
      <c r="M814" s="33"/>
      <c r="O814" s="33"/>
    </row>
    <row r="815" spans="1:15" x14ac:dyDescent="0.2">
      <c r="A815" s="52" t="s">
        <v>26</v>
      </c>
      <c r="B815" s="52"/>
      <c r="C815" s="52"/>
      <c r="D815" s="52"/>
      <c r="E815" s="29"/>
      <c r="F815" s="29"/>
      <c r="G815" s="53" t="s">
        <v>10</v>
      </c>
      <c r="H815" s="32"/>
      <c r="I815" s="52" t="s">
        <v>27</v>
      </c>
      <c r="J815" s="29"/>
      <c r="K815" s="29"/>
      <c r="L815" s="29"/>
      <c r="M815" s="53" t="s">
        <v>11</v>
      </c>
      <c r="O815" s="33"/>
    </row>
    <row r="816" spans="1:15" x14ac:dyDescent="0.2">
      <c r="A816" s="29">
        <v>0</v>
      </c>
      <c r="B816" s="29"/>
      <c r="C816" s="29"/>
      <c r="D816" s="29"/>
      <c r="E816" s="29">
        <v>50000</v>
      </c>
      <c r="F816" s="29">
        <f>IF(AND(F787&gt;A816, F787&lt;=E816),F787,0)</f>
        <v>0</v>
      </c>
      <c r="G816" s="29">
        <f>0+(35/100)*(-A816+F816)</f>
        <v>0</v>
      </c>
      <c r="H816" s="32"/>
      <c r="I816" s="29">
        <v>0</v>
      </c>
      <c r="J816" s="29">
        <v>50000</v>
      </c>
      <c r="K816" s="29">
        <f>IF(AND(F787&gt;I816, F787&lt;=J816),F787,0)</f>
        <v>0</v>
      </c>
      <c r="L816" s="29"/>
      <c r="M816" s="29">
        <f>0+(40/100)*(-I816+K816)</f>
        <v>0</v>
      </c>
      <c r="O816" s="33"/>
    </row>
    <row r="817" spans="1:15" x14ac:dyDescent="0.2">
      <c r="A817" s="29">
        <f>E816</f>
        <v>50000</v>
      </c>
      <c r="B817" s="29"/>
      <c r="C817" s="29"/>
      <c r="D817" s="29"/>
      <c r="E817" s="29">
        <v>100000</v>
      </c>
      <c r="F817" s="29">
        <f>IF(AND(F787&gt;A817, F787&lt;=E817),F787,0)</f>
        <v>0</v>
      </c>
      <c r="G817" s="29">
        <f>(50000/100*35)+((50/100)*(-A817+F817))</f>
        <v>-7500</v>
      </c>
      <c r="H817" s="32"/>
      <c r="I817" s="29">
        <f>J816</f>
        <v>50000</v>
      </c>
      <c r="J817" s="29">
        <v>75000</v>
      </c>
      <c r="K817" s="29">
        <f>IF(AND(F787&gt;I817, F787&lt;=J817),F787,0)</f>
        <v>0</v>
      </c>
      <c r="L817" s="29"/>
      <c r="M817" s="29">
        <f>(50000/100*40)+((55/100)*(-I817+K817))</f>
        <v>-7500.0000000000036</v>
      </c>
      <c r="O817" s="33"/>
    </row>
    <row r="818" spans="1:15" x14ac:dyDescent="0.2">
      <c r="A818" s="29">
        <f>E817</f>
        <v>100000</v>
      </c>
      <c r="B818" s="29"/>
      <c r="C818" s="29"/>
      <c r="D818" s="29"/>
      <c r="E818" s="29">
        <v>175000</v>
      </c>
      <c r="F818" s="29">
        <f>IF(AND(F787&gt;A818, F787&lt;=E818),F787,0)</f>
        <v>0</v>
      </c>
      <c r="G818" s="29">
        <f>(50000/100*35)+(50000/100*50)+((60/100)*(-A818+F818))</f>
        <v>-17500</v>
      </c>
      <c r="H818" s="32"/>
      <c r="I818" s="29">
        <f>J817</f>
        <v>75000</v>
      </c>
      <c r="J818" s="29">
        <v>175000</v>
      </c>
      <c r="K818" s="29">
        <f>IF(AND(F787&gt;I818, F787&lt;=J818),F787,0)</f>
        <v>0</v>
      </c>
      <c r="L818" s="29"/>
      <c r="M818" s="29">
        <f>(50000/100*40)+(25000/100*55)+((65/100)*(-I818+K818))</f>
        <v>-15000</v>
      </c>
      <c r="O818" s="33"/>
    </row>
    <row r="819" spans="1:15" x14ac:dyDescent="0.2">
      <c r="A819" s="29">
        <f>E818</f>
        <v>175000</v>
      </c>
      <c r="B819" s="29"/>
      <c r="C819" s="29"/>
      <c r="D819" s="29"/>
      <c r="E819" s="29">
        <v>999999999</v>
      </c>
      <c r="F819" s="29">
        <f>IF(AND(F787&gt;A819, F787&lt;=E819),F787,0)</f>
        <v>0</v>
      </c>
      <c r="G819" s="29">
        <f>(50000/100*35)+(50000/100*50)+(75000/100*60)+((70/100)*(-A819+F819))</f>
        <v>-34999.999999999985</v>
      </c>
      <c r="H819" s="32"/>
      <c r="I819" s="29">
        <f>J818</f>
        <v>175000</v>
      </c>
      <c r="J819" s="29">
        <v>999999999</v>
      </c>
      <c r="K819" s="29">
        <f>IF(AND(F787&gt;I819, F787&lt;=J819),F787,0)</f>
        <v>0</v>
      </c>
      <c r="L819" s="29"/>
      <c r="M819" s="29">
        <f>(50000/100*40)+(25000/100*55)+(100000/100*65)+((80/100)*(-I819+K819))</f>
        <v>-41250</v>
      </c>
      <c r="O819" s="33"/>
    </row>
    <row r="820" spans="1:15" x14ac:dyDescent="0.2">
      <c r="A820" s="29"/>
      <c r="B820" s="29"/>
      <c r="C820" s="29"/>
      <c r="D820" s="29"/>
      <c r="E820" s="29"/>
      <c r="F820" s="29"/>
      <c r="G820" s="29"/>
      <c r="H820" s="32"/>
      <c r="I820" s="29"/>
      <c r="J820" s="29"/>
      <c r="K820" s="29"/>
      <c r="L820" s="29"/>
      <c r="M820" s="29"/>
      <c r="O820" s="33"/>
    </row>
    <row r="821" spans="1:15" x14ac:dyDescent="0.2">
      <c r="A821" s="29"/>
      <c r="B821" s="29"/>
      <c r="C821" s="29"/>
      <c r="D821" s="29"/>
      <c r="E821" s="29"/>
      <c r="F821" s="29"/>
      <c r="G821" s="29"/>
      <c r="H821" s="32"/>
      <c r="I821" s="29"/>
      <c r="J821" s="29"/>
      <c r="K821" s="29"/>
      <c r="L821" s="29"/>
      <c r="M821" s="29"/>
      <c r="O821" s="33"/>
    </row>
    <row r="822" spans="1:15" x14ac:dyDescent="0.2">
      <c r="A822" s="29"/>
      <c r="B822" s="29"/>
      <c r="C822" s="29"/>
      <c r="D822" s="29"/>
      <c r="E822" s="29"/>
      <c r="F822" s="29"/>
      <c r="G822" s="29"/>
      <c r="H822" s="32"/>
      <c r="I822" s="29"/>
      <c r="J822" s="29"/>
      <c r="K822" s="29"/>
      <c r="L822" s="29"/>
      <c r="M822" s="29"/>
      <c r="O822" s="33"/>
    </row>
    <row r="823" spans="1:15" x14ac:dyDescent="0.2">
      <c r="A823" s="54" t="s">
        <v>7</v>
      </c>
      <c r="B823" s="54"/>
      <c r="C823" s="54"/>
      <c r="D823" s="54"/>
      <c r="E823" s="29"/>
      <c r="F823" s="29"/>
      <c r="G823" s="29">
        <f>VLOOKUP(F787,F816:G819,2,FALSE)</f>
        <v>0</v>
      </c>
      <c r="H823" s="32"/>
      <c r="I823" s="54" t="s">
        <v>7</v>
      </c>
      <c r="J823" s="29"/>
      <c r="K823" s="29"/>
      <c r="L823" s="29"/>
      <c r="M823" s="29">
        <f>VLOOKUP(F787,K816:M819,3,FALSE)</f>
        <v>0</v>
      </c>
      <c r="O823" s="33"/>
    </row>
    <row r="824" spans="1:15" x14ac:dyDescent="0.2">
      <c r="H824" s="32"/>
      <c r="O824" s="33"/>
    </row>
    <row r="825" spans="1:15" x14ac:dyDescent="0.2">
      <c r="E825" s="29"/>
      <c r="F825" s="29"/>
      <c r="G825" s="29"/>
      <c r="H825" s="32"/>
      <c r="J825" s="29"/>
      <c r="K825" s="29"/>
      <c r="L825" s="29"/>
      <c r="M825" s="29"/>
      <c r="O825" s="33"/>
    </row>
    <row r="826" spans="1:15" x14ac:dyDescent="0.2">
      <c r="E826" s="29"/>
      <c r="G826" s="29"/>
    </row>
    <row r="828" spans="1:15" x14ac:dyDescent="0.2">
      <c r="E828" s="9" t="s">
        <v>84</v>
      </c>
      <c r="F828" s="9" t="s">
        <v>91</v>
      </c>
    </row>
    <row r="830" spans="1:15" x14ac:dyDescent="0.2">
      <c r="E830" s="9" t="s">
        <v>84</v>
      </c>
      <c r="F830" s="9">
        <f>IF(DONBIB!J50=3,M795*12%,0)</f>
        <v>0</v>
      </c>
      <c r="G830" s="9">
        <f>IF(F830&gt;372,372,F830)</f>
        <v>0</v>
      </c>
      <c r="I830" s="9" t="s">
        <v>30</v>
      </c>
      <c r="J830" s="9">
        <f>M795*6%</f>
        <v>0</v>
      </c>
      <c r="K830" s="9">
        <f>IF(J830&gt;186,186,J830)</f>
        <v>0</v>
      </c>
      <c r="L830" s="9">
        <f>IF(DONBIB!J50=3,K830,0)</f>
        <v>0</v>
      </c>
    </row>
    <row r="831" spans="1:15" x14ac:dyDescent="0.2">
      <c r="F831" s="9">
        <f>IF(DONBIB!J50=4,M795*16%,0)</f>
        <v>0</v>
      </c>
      <c r="G831" s="9">
        <f>IF(F831&gt;496,496,F831)</f>
        <v>0</v>
      </c>
      <c r="I831" s="9" t="s">
        <v>31</v>
      </c>
      <c r="J831" s="9">
        <f>M795*8%</f>
        <v>0</v>
      </c>
      <c r="K831" s="9">
        <f>IF(J831&gt;248,248,J831)</f>
        <v>0</v>
      </c>
      <c r="L831" s="9">
        <f>IF(DONBIB!J50=4,K831,0)</f>
        <v>0</v>
      </c>
    </row>
    <row r="832" spans="1:15" x14ac:dyDescent="0.2">
      <c r="F832" s="9">
        <f>IF(DONBIB!J50=5,M795*20%,0)</f>
        <v>0</v>
      </c>
      <c r="G832" s="9">
        <f>IF(F832&gt;620,620,F832)</f>
        <v>0</v>
      </c>
      <c r="J832" s="9">
        <f>M795*10%</f>
        <v>0</v>
      </c>
      <c r="K832" s="9">
        <f>IF(J832&gt;310,310,J832)</f>
        <v>0</v>
      </c>
      <c r="L832" s="9">
        <f>IF(DONBIB!J50=5,K832,0)</f>
        <v>0</v>
      </c>
    </row>
    <row r="833" spans="5:12" x14ac:dyDescent="0.2">
      <c r="F833" s="9">
        <f>IF(DONBIB!J50=6,M795*24%,0)</f>
        <v>0</v>
      </c>
      <c r="G833" s="9">
        <f>IF(F833&gt;744,744,F833)</f>
        <v>0</v>
      </c>
      <c r="J833" s="9">
        <f>M795*12%</f>
        <v>0</v>
      </c>
      <c r="K833" s="9">
        <f>IF(J833&gt;372,372,J833)</f>
        <v>0</v>
      </c>
      <c r="L833" s="9">
        <f>IF(DONBIB!J50=6,K833,0)</f>
        <v>0</v>
      </c>
    </row>
    <row r="834" spans="5:12" x14ac:dyDescent="0.2">
      <c r="F834" s="9">
        <f>IF(DONBIB!J50=7,M795*28%,0)</f>
        <v>0</v>
      </c>
      <c r="G834" s="9">
        <f>IF(F834&gt;868,868,F834)</f>
        <v>0</v>
      </c>
      <c r="J834" s="9">
        <f>M795*14%</f>
        <v>0</v>
      </c>
      <c r="K834" s="9">
        <f>IF(J834&gt;434,434,J834)</f>
        <v>0</v>
      </c>
      <c r="L834" s="9">
        <f>IF(DONBIB!J50=7,K834,0)</f>
        <v>0</v>
      </c>
    </row>
    <row r="835" spans="5:12" x14ac:dyDescent="0.2">
      <c r="F835" s="9">
        <f>IF(DONBIB!J50=8,M795*32%,0)</f>
        <v>0</v>
      </c>
      <c r="G835" s="9">
        <f>IF(F835&gt;992,992,F835)</f>
        <v>0</v>
      </c>
      <c r="J835" s="9">
        <f>M795*16%</f>
        <v>0</v>
      </c>
      <c r="K835" s="9">
        <f>IF(J835&gt;496,496,J835)</f>
        <v>0</v>
      </c>
      <c r="L835" s="9">
        <f>IF(DONBIB!J50=8,K835,0)</f>
        <v>0</v>
      </c>
    </row>
    <row r="836" spans="5:12" x14ac:dyDescent="0.2">
      <c r="F836" s="9">
        <f>IF(DONBIB!J50=9,M795*36%,0)</f>
        <v>0</v>
      </c>
      <c r="G836" s="9">
        <f>IF(F836&gt;1116,1116,F836)</f>
        <v>0</v>
      </c>
      <c r="J836" s="9">
        <f>M795*18%</f>
        <v>0</v>
      </c>
      <c r="K836" s="9">
        <f>IF(J836&gt;558,558,J836)</f>
        <v>0</v>
      </c>
      <c r="L836" s="9">
        <f>IF(DONBIB!J50=9,K836,0)</f>
        <v>0</v>
      </c>
    </row>
    <row r="837" spans="5:12" x14ac:dyDescent="0.2">
      <c r="F837" s="9">
        <f>IF(DONBIB!J50=10,M795*40%,0)</f>
        <v>0</v>
      </c>
      <c r="G837" s="9">
        <f>IF(F837&gt;1240,1240,F837)</f>
        <v>0</v>
      </c>
      <c r="J837" s="9">
        <f>M795*20%</f>
        <v>0</v>
      </c>
      <c r="K837" s="9">
        <f>IF(J837&gt;620,620,J837)</f>
        <v>0</v>
      </c>
      <c r="L837" s="9">
        <f>IF(DONBIB!J50=10,K837,0)</f>
        <v>0</v>
      </c>
    </row>
    <row r="839" spans="5:12" x14ac:dyDescent="0.2">
      <c r="G839" s="9">
        <f>SUM(G830:G838)</f>
        <v>0</v>
      </c>
      <c r="L839" s="9">
        <f>SUM(L830:L838)</f>
        <v>0</v>
      </c>
    </row>
    <row r="840" spans="5:12" x14ac:dyDescent="0.2">
      <c r="G840" s="22"/>
    </row>
    <row r="841" spans="5:12" x14ac:dyDescent="0.2">
      <c r="G841" s="22"/>
    </row>
    <row r="842" spans="5:12" x14ac:dyDescent="0.2">
      <c r="G842" s="22"/>
    </row>
    <row r="843" spans="5:12" x14ac:dyDescent="0.2">
      <c r="E843" s="9" t="s">
        <v>32</v>
      </c>
      <c r="F843" s="23">
        <f>M795-G839</f>
        <v>0</v>
      </c>
      <c r="G843" s="22"/>
      <c r="H843" s="9" t="s">
        <v>33</v>
      </c>
      <c r="I843" s="56">
        <f>M795-L839</f>
        <v>0</v>
      </c>
    </row>
    <row r="844" spans="5:12" x14ac:dyDescent="0.2">
      <c r="E844" s="29"/>
      <c r="G844" s="29"/>
    </row>
    <row r="845" spans="5:12" x14ac:dyDescent="0.2">
      <c r="E845" s="29"/>
      <c r="G845" s="29"/>
    </row>
    <row r="846" spans="5:12" x14ac:dyDescent="0.2">
      <c r="E846" s="29"/>
      <c r="G846" s="29"/>
    </row>
    <row r="847" spans="5:12" x14ac:dyDescent="0.2">
      <c r="E847" s="29"/>
      <c r="G847" s="29"/>
    </row>
    <row r="848" spans="5:12" x14ac:dyDescent="0.2">
      <c r="E848" s="29"/>
      <c r="G848" s="29"/>
    </row>
    <row r="849" spans="5:7" x14ac:dyDescent="0.2">
      <c r="E849" s="29"/>
      <c r="G849" s="29"/>
    </row>
    <row r="850" spans="5:7" x14ac:dyDescent="0.2">
      <c r="E850" s="29"/>
      <c r="G850" s="29"/>
    </row>
    <row r="851" spans="5:7" x14ac:dyDescent="0.2">
      <c r="E851" s="29"/>
      <c r="G851" s="29"/>
    </row>
    <row r="852" spans="5:7" x14ac:dyDescent="0.2">
      <c r="E852" s="29"/>
      <c r="G852" s="29"/>
    </row>
    <row r="853" spans="5:7" x14ac:dyDescent="0.2">
      <c r="E853" s="29"/>
      <c r="G853" s="29"/>
    </row>
    <row r="854" spans="5:7" x14ac:dyDescent="0.2">
      <c r="E854" s="29"/>
      <c r="G854" s="29"/>
    </row>
    <row r="855" spans="5:7" x14ac:dyDescent="0.2">
      <c r="E855" s="29"/>
      <c r="G855" s="29"/>
    </row>
    <row r="856" spans="5:7" x14ac:dyDescent="0.2">
      <c r="E856" s="29"/>
      <c r="G856" s="29"/>
    </row>
    <row r="857" spans="5:7" x14ac:dyDescent="0.2">
      <c r="E857" s="29"/>
      <c r="G857" s="29"/>
    </row>
    <row r="858" spans="5:7" x14ac:dyDescent="0.2">
      <c r="E858" s="29"/>
      <c r="G858" s="29"/>
    </row>
    <row r="859" spans="5:7" x14ac:dyDescent="0.2">
      <c r="E859" s="29"/>
      <c r="G859" s="29"/>
    </row>
    <row r="860" spans="5:7" x14ac:dyDescent="0.2">
      <c r="E860" s="29"/>
      <c r="G860" s="29"/>
    </row>
    <row r="861" spans="5:7" x14ac:dyDescent="0.2">
      <c r="E861" s="29"/>
      <c r="G861" s="29"/>
    </row>
    <row r="862" spans="5:7" x14ac:dyDescent="0.2">
      <c r="E862" s="29"/>
      <c r="G862" s="29"/>
    </row>
    <row r="863" spans="5:7" x14ac:dyDescent="0.2">
      <c r="E863" s="29"/>
      <c r="G863" s="29"/>
    </row>
    <row r="864" spans="5:7" x14ac:dyDescent="0.2">
      <c r="E864" s="29"/>
      <c r="G864" s="29"/>
    </row>
    <row r="865" spans="5:7" x14ac:dyDescent="0.2">
      <c r="E865" s="29"/>
      <c r="G865" s="29"/>
    </row>
    <row r="866" spans="5:7" x14ac:dyDescent="0.2">
      <c r="E866" s="29"/>
      <c r="G866" s="29"/>
    </row>
    <row r="867" spans="5:7" x14ac:dyDescent="0.2">
      <c r="E867" s="29"/>
      <c r="G867" s="29"/>
    </row>
    <row r="868" spans="5:7" x14ac:dyDescent="0.2">
      <c r="E868" s="29"/>
      <c r="G868" s="29"/>
    </row>
    <row r="869" spans="5:7" x14ac:dyDescent="0.2">
      <c r="E869" s="29"/>
      <c r="G869" s="29"/>
    </row>
    <row r="870" spans="5:7" x14ac:dyDescent="0.2">
      <c r="E870" s="29"/>
      <c r="G870" s="29"/>
    </row>
    <row r="871" spans="5:7" x14ac:dyDescent="0.2">
      <c r="E871" s="29"/>
      <c r="G871" s="29"/>
    </row>
    <row r="872" spans="5:7" x14ac:dyDescent="0.2">
      <c r="E872" s="29"/>
      <c r="G872" s="29"/>
    </row>
    <row r="873" spans="5:7" x14ac:dyDescent="0.2">
      <c r="E873" s="29"/>
      <c r="G873" s="29"/>
    </row>
    <row r="874" spans="5:7" x14ac:dyDescent="0.2">
      <c r="E874" s="29"/>
      <c r="G874" s="29"/>
    </row>
    <row r="875" spans="5:7" x14ac:dyDescent="0.2">
      <c r="E875" s="29"/>
      <c r="G875" s="29"/>
    </row>
    <row r="876" spans="5:7" x14ac:dyDescent="0.2">
      <c r="E876" s="29"/>
      <c r="G876" s="29"/>
    </row>
    <row r="877" spans="5:7" x14ac:dyDescent="0.2">
      <c r="E877" s="29"/>
      <c r="G877" s="29"/>
    </row>
    <row r="878" spans="5:7" x14ac:dyDescent="0.2">
      <c r="E878" s="29"/>
      <c r="G878" s="29"/>
    </row>
    <row r="879" spans="5:7" x14ac:dyDescent="0.2">
      <c r="E879" s="29"/>
      <c r="G879" s="29"/>
    </row>
    <row r="880" spans="5:7" x14ac:dyDescent="0.2">
      <c r="E880" s="29"/>
      <c r="G880" s="29"/>
    </row>
    <row r="881" spans="1:15" x14ac:dyDescent="0.2">
      <c r="E881" s="29"/>
      <c r="G881" s="29"/>
    </row>
    <row r="882" spans="1:15" x14ac:dyDescent="0.2">
      <c r="E882" s="29"/>
      <c r="G882" s="29"/>
    </row>
    <row r="883" spans="1:15" x14ac:dyDescent="0.2">
      <c r="E883" s="29"/>
      <c r="G883" s="29"/>
    </row>
    <row r="884" spans="1:15" x14ac:dyDescent="0.2">
      <c r="E884" s="29"/>
      <c r="G884" s="29"/>
    </row>
    <row r="885" spans="1:15" x14ac:dyDescent="0.2">
      <c r="E885" s="29"/>
      <c r="G885" s="29"/>
    </row>
    <row r="886" spans="1:15" x14ac:dyDescent="0.2">
      <c r="E886" s="29"/>
      <c r="G886" s="29"/>
    </row>
    <row r="887" spans="1:15" x14ac:dyDescent="0.2">
      <c r="E887" s="29"/>
      <c r="G887" s="29"/>
    </row>
    <row r="888" spans="1:15" ht="13.5" thickBot="1" x14ac:dyDescent="0.25">
      <c r="E888" s="29"/>
      <c r="G888" s="29"/>
    </row>
    <row r="889" spans="1:15" ht="13.5" thickTop="1" x14ac:dyDescent="0.2">
      <c r="A889" s="42"/>
      <c r="B889" s="42"/>
      <c r="C889" s="42"/>
      <c r="D889" s="42"/>
      <c r="E889" s="43"/>
      <c r="F889" s="44"/>
      <c r="G889" s="43"/>
      <c r="H889" s="43"/>
      <c r="I889" s="45"/>
      <c r="J889" s="46"/>
      <c r="K889" s="45"/>
      <c r="L889" s="45"/>
      <c r="M889" s="45"/>
      <c r="N889" s="47"/>
      <c r="O889" s="48"/>
    </row>
    <row r="890" spans="1:15" x14ac:dyDescent="0.2">
      <c r="A890" s="29" t="s">
        <v>4</v>
      </c>
      <c r="B890" s="29"/>
      <c r="C890" s="29"/>
      <c r="D890" s="29"/>
      <c r="E890" s="29"/>
      <c r="F890" s="29">
        <f>DONBIB!G57</f>
        <v>0</v>
      </c>
      <c r="G890" s="49"/>
      <c r="H890" s="29"/>
      <c r="I890" s="29"/>
      <c r="J890" s="50"/>
      <c r="K890" s="29"/>
      <c r="L890" s="29"/>
      <c r="M890" s="29">
        <f>IF(AND(DONBIB!I55="oui",DONBIB!F55="ligne directe"),H902,0)</f>
        <v>0</v>
      </c>
      <c r="O890" s="51"/>
    </row>
    <row r="891" spans="1:15" x14ac:dyDescent="0.2">
      <c r="A891" s="29"/>
      <c r="B891" s="29"/>
      <c r="C891" s="29"/>
      <c r="D891" s="29"/>
      <c r="E891" s="29"/>
      <c r="F891" s="29"/>
      <c r="G891" s="29"/>
      <c r="H891" s="29"/>
      <c r="I891" s="29"/>
      <c r="J891" s="50"/>
      <c r="K891" s="29"/>
      <c r="L891" s="29"/>
      <c r="M891" s="29">
        <f>IF(AND(DONBIB!I55="oui",DONBIB!F55="épou(x)(se)"),H902,0)</f>
        <v>0</v>
      </c>
      <c r="O891" s="51"/>
    </row>
    <row r="892" spans="1:15" x14ac:dyDescent="0.2">
      <c r="A892" s="52" t="s">
        <v>5</v>
      </c>
      <c r="B892" s="52"/>
      <c r="C892" s="52"/>
      <c r="D892" s="52"/>
      <c r="E892" s="29"/>
      <c r="F892" s="29"/>
      <c r="G892" s="53" t="s">
        <v>6</v>
      </c>
      <c r="H892" s="53" t="s">
        <v>25</v>
      </c>
      <c r="I892" s="29"/>
      <c r="J892" s="50"/>
      <c r="K892" s="29"/>
      <c r="L892" s="29"/>
      <c r="M892" s="29">
        <f>IF(AND(DONBIB!I55="non",DONBIB!F55="ligne directe"),G902,0)</f>
        <v>0</v>
      </c>
      <c r="O892" s="51"/>
    </row>
    <row r="893" spans="1:15" x14ac:dyDescent="0.2">
      <c r="A893" s="29">
        <v>0</v>
      </c>
      <c r="B893" s="29"/>
      <c r="C893" s="29"/>
      <c r="D893" s="29"/>
      <c r="E893" s="29">
        <v>50000</v>
      </c>
      <c r="F893" s="29">
        <f>IF(AND(F890&gt;A893, F890&lt;=E893),F890,0)</f>
        <v>0</v>
      </c>
      <c r="G893" s="29">
        <f>0+(3/100)*(-A893+F893)</f>
        <v>0</v>
      </c>
      <c r="H893" s="29">
        <f>0+(2/100)*(-A893+F893)</f>
        <v>0</v>
      </c>
      <c r="I893" s="29"/>
      <c r="J893" s="50"/>
      <c r="K893" s="29"/>
      <c r="L893" s="29"/>
      <c r="M893" s="29">
        <f>IF(AND(DONBIB!I55="non",DONBIB!F55="épou(x)(se)"),G902,0)</f>
        <v>0</v>
      </c>
      <c r="O893" s="51"/>
    </row>
    <row r="894" spans="1:15" x14ac:dyDescent="0.2">
      <c r="A894" s="29">
        <f>E893</f>
        <v>50000</v>
      </c>
      <c r="B894" s="29"/>
      <c r="C894" s="29"/>
      <c r="D894" s="29"/>
      <c r="E894" s="29">
        <v>100000</v>
      </c>
      <c r="F894" s="29">
        <f>IF(AND(F890&gt;A894, F890&lt;=E894),F890,0)</f>
        <v>0</v>
      </c>
      <c r="G894" s="29">
        <f>(50000/100*3)+(8/100)*(-A894+F894)</f>
        <v>-2500</v>
      </c>
      <c r="H894" s="29">
        <f>(50000/100*2)+(5.3/100)*(-A894+F894)</f>
        <v>-1650</v>
      </c>
      <c r="I894" s="29"/>
      <c r="J894" s="50"/>
      <c r="K894" s="29"/>
      <c r="L894" s="29"/>
      <c r="M894" s="29">
        <f>IF(DONBIB!F55="frère/soeur",G913,0)</f>
        <v>0</v>
      </c>
      <c r="O894" s="51"/>
    </row>
    <row r="895" spans="1:15" x14ac:dyDescent="0.2">
      <c r="A895" s="29">
        <f>E894</f>
        <v>100000</v>
      </c>
      <c r="B895" s="29"/>
      <c r="C895" s="29"/>
      <c r="D895" s="29"/>
      <c r="E895" s="29">
        <v>175000</v>
      </c>
      <c r="F895" s="29">
        <f>IF(AND(F890&gt;A895, F890&lt;=E895),F890,0)</f>
        <v>0</v>
      </c>
      <c r="G895" s="29">
        <f>(50000/100*3)+(50000/100*8)+((9/100)*(-A895+F895))</f>
        <v>-3500</v>
      </c>
      <c r="H895" s="29">
        <f>(50000/100*2)+(50000/100*5.3)+((6/100)*(-A895+F895))</f>
        <v>-2350</v>
      </c>
      <c r="I895" s="29"/>
      <c r="J895" s="50"/>
      <c r="K895" s="29"/>
      <c r="L895" s="29"/>
      <c r="M895" s="29">
        <f>IF(DONBIB!F55="oncle-tante/neveu-nièce",G926,0)</f>
        <v>0</v>
      </c>
      <c r="O895" s="51"/>
    </row>
    <row r="896" spans="1:15" x14ac:dyDescent="0.2">
      <c r="A896" s="29">
        <f>E895</f>
        <v>175000</v>
      </c>
      <c r="B896" s="29"/>
      <c r="C896" s="29"/>
      <c r="D896" s="29"/>
      <c r="E896" s="29">
        <v>250000</v>
      </c>
      <c r="F896" s="29">
        <f>IF(AND(F890&gt;A896, F890&lt;=E896),F890,0)</f>
        <v>0</v>
      </c>
      <c r="G896" s="29">
        <f>(50000/100*3)+(50000/100*8)+(75000/100*9)+((18/100)*(-A896+F896))</f>
        <v>-19250</v>
      </c>
      <c r="H896" s="29">
        <f>(50000/100*2)+(50000/100*5.3)+(75000/100*6)+((12/100)*(-A896+F896))</f>
        <v>-12850</v>
      </c>
      <c r="I896" s="29"/>
      <c r="J896" s="50"/>
      <c r="K896" s="29"/>
      <c r="L896" s="29"/>
      <c r="M896" s="29">
        <f>IF(DONBIB!F55="étrangers",M926,0)</f>
        <v>0</v>
      </c>
      <c r="O896" s="51"/>
    </row>
    <row r="897" spans="1:15" x14ac:dyDescent="0.2">
      <c r="A897" s="29">
        <f>E896</f>
        <v>250000</v>
      </c>
      <c r="B897" s="29"/>
      <c r="C897" s="29"/>
      <c r="D897" s="29"/>
      <c r="E897" s="29">
        <v>500000</v>
      </c>
      <c r="F897" s="29">
        <f>IF(AND(F890&gt;A897, F890&lt;=E897),F890,0)</f>
        <v>0</v>
      </c>
      <c r="G897" s="29">
        <f>(50000/100*3)+(50000/100*8)+(75000/100*9)+(75000/100*18)+((24/100)*(-A897+F897))</f>
        <v>-34250</v>
      </c>
      <c r="H897" s="29">
        <f>(50000/100*2)+(50000/100*5.3)+(75000/100*6)+(75000/100*12)+((24/100)*(-A897+F897))</f>
        <v>-42850</v>
      </c>
      <c r="I897" s="29"/>
      <c r="J897" s="29"/>
      <c r="K897" s="29"/>
      <c r="L897" s="29"/>
      <c r="M897" s="29"/>
      <c r="O897" s="51"/>
    </row>
    <row r="898" spans="1:15" x14ac:dyDescent="0.2">
      <c r="A898" s="29">
        <f>E897</f>
        <v>500000</v>
      </c>
      <c r="B898" s="29"/>
      <c r="C898" s="29"/>
      <c r="D898" s="29"/>
      <c r="E898" s="29">
        <v>999999999</v>
      </c>
      <c r="F898" s="29">
        <f>IF(AND(F890&gt;A898, F890&lt;=E898),F890,0)</f>
        <v>0</v>
      </c>
      <c r="G898" s="29">
        <f>(50000/100*3)+(50000/100*8)+(75000/100*9)+(75000/100*18)+(250000/100*24)+((30/100)*(-A898+F898))</f>
        <v>-64250</v>
      </c>
      <c r="H898" s="29">
        <f>(50000/100*2)+(50000/100*5.3)+(75000/100*6)+(75000/100*12)+(250000/100*24)+((30/100)*(-A898+F898))</f>
        <v>-72850</v>
      </c>
      <c r="I898" s="29"/>
      <c r="J898" s="29"/>
      <c r="K898" s="29"/>
      <c r="L898" s="29"/>
      <c r="M898" s="29">
        <f>SUM(M890:M897)</f>
        <v>0</v>
      </c>
      <c r="O898" s="51"/>
    </row>
    <row r="899" spans="1:15" x14ac:dyDescent="0.2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O899" s="51"/>
    </row>
    <row r="900" spans="1:15" x14ac:dyDescent="0.2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O900" s="51"/>
    </row>
    <row r="901" spans="1:15" x14ac:dyDescent="0.2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O901" s="51"/>
    </row>
    <row r="902" spans="1:15" x14ac:dyDescent="0.2">
      <c r="A902" s="54" t="s">
        <v>7</v>
      </c>
      <c r="B902" s="54"/>
      <c r="C902" s="54"/>
      <c r="D902" s="54"/>
      <c r="E902" s="29"/>
      <c r="F902" s="29"/>
      <c r="G902" s="29">
        <f>VLOOKUP(F890,F893:G898,2,FALSE)</f>
        <v>0</v>
      </c>
      <c r="H902" s="29">
        <f>VLOOKUP(F890,F893:H898,3,FALSE)</f>
        <v>0</v>
      </c>
      <c r="I902" s="29"/>
      <c r="J902" s="29"/>
      <c r="K902" s="29"/>
      <c r="L902" s="29"/>
      <c r="M902" s="29"/>
      <c r="O902" s="51"/>
    </row>
    <row r="903" spans="1:15" x14ac:dyDescent="0.2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O903" s="51"/>
    </row>
    <row r="904" spans="1:15" x14ac:dyDescent="0.2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O904" s="51"/>
    </row>
    <row r="905" spans="1:15" x14ac:dyDescent="0.2">
      <c r="A905" s="52" t="s">
        <v>8</v>
      </c>
      <c r="B905" s="52"/>
      <c r="C905" s="52"/>
      <c r="D905" s="52"/>
      <c r="E905" s="29"/>
      <c r="F905" s="29"/>
      <c r="G905" s="53" t="s">
        <v>9</v>
      </c>
      <c r="H905" s="53"/>
      <c r="I905" s="42"/>
      <c r="J905" s="42"/>
      <c r="K905" s="42"/>
      <c r="L905" s="42"/>
      <c r="M905" s="42"/>
    </row>
    <row r="906" spans="1:15" x14ac:dyDescent="0.2">
      <c r="A906" s="29">
        <v>0</v>
      </c>
      <c r="B906" s="29"/>
      <c r="C906" s="29"/>
      <c r="D906" s="29"/>
      <c r="E906" s="29">
        <v>12500</v>
      </c>
      <c r="F906" s="29">
        <f>IF(AND(F890&gt;A906, F890&lt;=E906),F890,0)</f>
        <v>0</v>
      </c>
      <c r="G906" s="29">
        <f>0+(20/100)*(-A906+F906)</f>
        <v>0</v>
      </c>
      <c r="H906" s="29"/>
      <c r="I906" s="29"/>
      <c r="J906" s="29"/>
      <c r="K906" s="29"/>
      <c r="L906" s="29"/>
      <c r="M906" s="29"/>
    </row>
    <row r="907" spans="1:15" x14ac:dyDescent="0.2">
      <c r="A907" s="29">
        <f>E906</f>
        <v>12500</v>
      </c>
      <c r="B907" s="29"/>
      <c r="C907" s="29"/>
      <c r="D907" s="29"/>
      <c r="E907" s="29">
        <v>25000</v>
      </c>
      <c r="F907" s="29">
        <f>IF(AND(F890&gt;A907, F890&lt;=E907),F890,0)</f>
        <v>0</v>
      </c>
      <c r="G907" s="29">
        <f>(12500/100*20)+((25/100)*(-A907+F907))</f>
        <v>-625</v>
      </c>
      <c r="H907" s="29"/>
      <c r="I907" s="29"/>
      <c r="J907" s="29"/>
      <c r="K907" s="29"/>
      <c r="L907" s="29"/>
      <c r="M907" s="29"/>
    </row>
    <row r="908" spans="1:15" x14ac:dyDescent="0.2">
      <c r="A908" s="29">
        <f>E907</f>
        <v>25000</v>
      </c>
      <c r="B908" s="29"/>
      <c r="C908" s="29"/>
      <c r="D908" s="29"/>
      <c r="E908" s="29">
        <v>50000</v>
      </c>
      <c r="F908" s="29">
        <f>IF(AND(F890&gt;A908, F890&lt;=E908),F890,0)</f>
        <v>0</v>
      </c>
      <c r="G908" s="29">
        <f>(12500/100*20)+(12500/100*25)+((30/100)*(-A908+F908))</f>
        <v>-1875</v>
      </c>
      <c r="H908" s="29"/>
      <c r="I908" s="29"/>
      <c r="J908" s="29"/>
      <c r="K908" s="29"/>
      <c r="L908" s="29"/>
      <c r="M908" s="29"/>
    </row>
    <row r="909" spans="1:15" x14ac:dyDescent="0.2">
      <c r="A909" s="29">
        <f>E908</f>
        <v>50000</v>
      </c>
      <c r="B909" s="29"/>
      <c r="C909" s="29"/>
      <c r="D909" s="29"/>
      <c r="E909" s="29">
        <v>100000</v>
      </c>
      <c r="F909" s="29">
        <f>IF(AND(F890&gt;A909, F890&lt;=E909),F890,0)</f>
        <v>0</v>
      </c>
      <c r="G909" s="29">
        <f>(12500/100*20)+(12500/100*25)+(25000/100*30)+((40/100)*(-A909+F909))</f>
        <v>-6875</v>
      </c>
      <c r="H909" s="29"/>
      <c r="I909" s="29"/>
      <c r="J909" s="29"/>
      <c r="K909" s="29"/>
      <c r="L909" s="29"/>
      <c r="M909" s="29"/>
    </row>
    <row r="910" spans="1:15" x14ac:dyDescent="0.2">
      <c r="A910" s="29">
        <f>E909</f>
        <v>100000</v>
      </c>
      <c r="B910" s="29"/>
      <c r="C910" s="29"/>
      <c r="D910" s="29"/>
      <c r="E910" s="29">
        <v>175000</v>
      </c>
      <c r="F910" s="29">
        <f>IF(AND(F890&gt;A910, F890&lt;=E910),F890,0)</f>
        <v>0</v>
      </c>
      <c r="G910" s="29">
        <f>(12500/100*20)+(12500/100*25)+(25000/100*30)+(50000/100*40)+((55/100)*(-A910+F910))</f>
        <v>-21875.000000000007</v>
      </c>
      <c r="H910" s="29"/>
      <c r="I910" s="29"/>
      <c r="J910" s="29"/>
      <c r="K910" s="29"/>
      <c r="L910" s="29"/>
      <c r="M910" s="29"/>
    </row>
    <row r="911" spans="1:15" x14ac:dyDescent="0.2">
      <c r="A911" s="29">
        <v>175000</v>
      </c>
      <c r="B911" s="29"/>
      <c r="C911" s="29"/>
      <c r="D911" s="29"/>
      <c r="E911" s="29">
        <v>250000</v>
      </c>
      <c r="F911" s="29">
        <f>IF(AND(F890&gt;A911, F890&lt;=E911),F890,0)</f>
        <v>0</v>
      </c>
      <c r="G911" s="29">
        <f>(12500/100*20)+(12500/100*25)+(25000/100*30)+(50000/100*40)+(75000/100*55)+((60/100)*(-A911+F911))</f>
        <v>-30625</v>
      </c>
      <c r="H911" s="29"/>
      <c r="I911" s="29"/>
      <c r="J911" s="29"/>
      <c r="K911" s="29"/>
      <c r="L911" s="29"/>
      <c r="M911" s="29"/>
    </row>
    <row r="912" spans="1:15" x14ac:dyDescent="0.2">
      <c r="A912" s="29">
        <f>E911</f>
        <v>250000</v>
      </c>
      <c r="B912" s="29"/>
      <c r="C912" s="29"/>
      <c r="D912" s="29"/>
      <c r="E912" s="29">
        <v>999999999</v>
      </c>
      <c r="F912" s="29">
        <f>IF(AND(F890&gt;A912, F890&lt;=E912),F890,0)</f>
        <v>0</v>
      </c>
      <c r="G912" s="29">
        <f>(12500/100*20)+(12500/100*25)+(25000/100*30)+(50000/100*40)+(75000/100*55)+(75000/100*60)+((65/100)*(-A912+F912))</f>
        <v>-43125</v>
      </c>
      <c r="H912" s="29"/>
      <c r="I912" s="29"/>
      <c r="J912" s="29"/>
      <c r="K912" s="29"/>
      <c r="L912" s="29"/>
      <c r="M912" s="29"/>
    </row>
    <row r="913" spans="1:15" x14ac:dyDescent="0.2">
      <c r="A913" s="54" t="s">
        <v>7</v>
      </c>
      <c r="B913" s="54"/>
      <c r="C913" s="54"/>
      <c r="D913" s="54"/>
      <c r="E913" s="29"/>
      <c r="F913" s="29"/>
      <c r="G913" s="29">
        <f>VLOOKUP(F890,F906:G912,2,FALSE)</f>
        <v>0</v>
      </c>
      <c r="H913" s="29"/>
      <c r="I913" s="29"/>
      <c r="J913" s="29"/>
      <c r="K913" s="29"/>
      <c r="L913" s="29"/>
      <c r="M913" s="29"/>
    </row>
    <row r="915" spans="1:15" x14ac:dyDescent="0.2">
      <c r="E915" s="29"/>
      <c r="F915" s="29"/>
      <c r="G915" s="29"/>
      <c r="H915" s="32"/>
      <c r="I915" s="29"/>
      <c r="J915" s="33"/>
      <c r="M915" s="33"/>
      <c r="O915" s="33"/>
    </row>
    <row r="916" spans="1:15" x14ac:dyDescent="0.2">
      <c r="E916" s="29"/>
      <c r="F916" s="29"/>
      <c r="G916" s="29"/>
      <c r="H916" s="32"/>
      <c r="I916" s="29"/>
      <c r="J916" s="33"/>
      <c r="M916" s="33"/>
      <c r="O916" s="33"/>
    </row>
    <row r="917" spans="1:15" x14ac:dyDescent="0.2">
      <c r="E917" s="29"/>
      <c r="F917" s="29"/>
      <c r="G917" s="29"/>
      <c r="H917" s="32"/>
      <c r="I917" s="29"/>
      <c r="J917" s="33"/>
      <c r="M917" s="33"/>
      <c r="O917" s="33"/>
    </row>
    <row r="918" spans="1:15" x14ac:dyDescent="0.2">
      <c r="A918" s="52" t="s">
        <v>26</v>
      </c>
      <c r="B918" s="52"/>
      <c r="C918" s="52"/>
      <c r="D918" s="52"/>
      <c r="E918" s="29"/>
      <c r="F918" s="29"/>
      <c r="G918" s="53" t="s">
        <v>10</v>
      </c>
      <c r="H918" s="32"/>
      <c r="I918" s="52" t="s">
        <v>27</v>
      </c>
      <c r="J918" s="29"/>
      <c r="K918" s="29"/>
      <c r="L918" s="29"/>
      <c r="M918" s="53" t="s">
        <v>11</v>
      </c>
      <c r="O918" s="33"/>
    </row>
    <row r="919" spans="1:15" x14ac:dyDescent="0.2">
      <c r="A919" s="29">
        <v>0</v>
      </c>
      <c r="B919" s="29"/>
      <c r="C919" s="29"/>
      <c r="D919" s="29"/>
      <c r="E919" s="29">
        <v>50000</v>
      </c>
      <c r="F919" s="29">
        <f>IF(AND(F890&gt;A919, F890&lt;=E919),F890,0)</f>
        <v>0</v>
      </c>
      <c r="G919" s="29">
        <f>0+(35/100)*(-A919+F919)</f>
        <v>0</v>
      </c>
      <c r="H919" s="32"/>
      <c r="I919" s="29">
        <v>0</v>
      </c>
      <c r="J919" s="29">
        <v>50000</v>
      </c>
      <c r="K919" s="29">
        <f>IF(AND(F890&gt;I919, F890&lt;=J919),F890,0)</f>
        <v>0</v>
      </c>
      <c r="L919" s="29"/>
      <c r="M919" s="29">
        <f>0+(40/100)*(-I919+K919)</f>
        <v>0</v>
      </c>
      <c r="O919" s="33"/>
    </row>
    <row r="920" spans="1:15" x14ac:dyDescent="0.2">
      <c r="A920" s="29">
        <f>E919</f>
        <v>50000</v>
      </c>
      <c r="B920" s="29"/>
      <c r="C920" s="29"/>
      <c r="D920" s="29"/>
      <c r="E920" s="29">
        <v>100000</v>
      </c>
      <c r="F920" s="29">
        <f>IF(AND(F890&gt;A920, F890&lt;=E920),F890,0)</f>
        <v>0</v>
      </c>
      <c r="G920" s="29">
        <f>(50000/100*35)+((50/100)*(-A920+F920))</f>
        <v>-7500</v>
      </c>
      <c r="H920" s="32"/>
      <c r="I920" s="29">
        <f>J919</f>
        <v>50000</v>
      </c>
      <c r="J920" s="29">
        <v>75000</v>
      </c>
      <c r="K920" s="29">
        <f>IF(AND(F890&gt;I920, F890&lt;=J920),F890,0)</f>
        <v>0</v>
      </c>
      <c r="L920" s="29"/>
      <c r="M920" s="29">
        <f>(50000/100*40)+((55/100)*(-I920+K920))</f>
        <v>-7500.0000000000036</v>
      </c>
      <c r="O920" s="33"/>
    </row>
    <row r="921" spans="1:15" x14ac:dyDescent="0.2">
      <c r="A921" s="29">
        <f>E920</f>
        <v>100000</v>
      </c>
      <c r="B921" s="29"/>
      <c r="C921" s="29"/>
      <c r="D921" s="29"/>
      <c r="E921" s="29">
        <v>175000</v>
      </c>
      <c r="F921" s="29">
        <f>IF(AND(F890&gt;A921, F890&lt;=E921),F890,0)</f>
        <v>0</v>
      </c>
      <c r="G921" s="29">
        <f>(50000/100*35)+(50000/100*50)+((60/100)*(-A921+F921))</f>
        <v>-17500</v>
      </c>
      <c r="H921" s="32"/>
      <c r="I921" s="29">
        <f>J920</f>
        <v>75000</v>
      </c>
      <c r="J921" s="29">
        <v>175000</v>
      </c>
      <c r="K921" s="29">
        <f>IF(AND(F890&gt;I921, F890&lt;=J921),F890,0)</f>
        <v>0</v>
      </c>
      <c r="L921" s="29"/>
      <c r="M921" s="29">
        <f>(50000/100*40)+(25000/100*55)+((65/100)*(-I921+K921))</f>
        <v>-15000</v>
      </c>
      <c r="O921" s="33"/>
    </row>
    <row r="922" spans="1:15" x14ac:dyDescent="0.2">
      <c r="A922" s="29">
        <f>E921</f>
        <v>175000</v>
      </c>
      <c r="B922" s="29"/>
      <c r="C922" s="29"/>
      <c r="D922" s="29"/>
      <c r="E922" s="29">
        <v>999999999</v>
      </c>
      <c r="F922" s="29">
        <f>IF(AND(F890&gt;A922, F890&lt;=E922),F890,0)</f>
        <v>0</v>
      </c>
      <c r="G922" s="29">
        <f>(50000/100*35)+(50000/100*50)+(75000/100*60)+((70/100)*(-A922+F922))</f>
        <v>-34999.999999999985</v>
      </c>
      <c r="H922" s="32"/>
      <c r="I922" s="29">
        <f>J921</f>
        <v>175000</v>
      </c>
      <c r="J922" s="29">
        <v>999999999</v>
      </c>
      <c r="K922" s="29">
        <f>IF(AND(F890&gt;I922, F890&lt;=J922),F890,0)</f>
        <v>0</v>
      </c>
      <c r="L922" s="29"/>
      <c r="M922" s="29">
        <f>(50000/100*40)+(25000/100*55)+(100000/100*65)+((80/100)*(-I922+K922))</f>
        <v>-41250</v>
      </c>
      <c r="O922" s="33"/>
    </row>
    <row r="923" spans="1:15" x14ac:dyDescent="0.2">
      <c r="A923" s="29"/>
      <c r="B923" s="29"/>
      <c r="C923" s="29"/>
      <c r="D923" s="29"/>
      <c r="E923" s="29"/>
      <c r="F923" s="29"/>
      <c r="G923" s="29"/>
      <c r="H923" s="32"/>
      <c r="I923" s="29"/>
      <c r="J923" s="29"/>
      <c r="K923" s="29"/>
      <c r="L923" s="29"/>
      <c r="M923" s="29"/>
      <c r="O923" s="33"/>
    </row>
    <row r="924" spans="1:15" x14ac:dyDescent="0.2">
      <c r="A924" s="29"/>
      <c r="B924" s="29"/>
      <c r="C924" s="29"/>
      <c r="D924" s="29"/>
      <c r="E924" s="29"/>
      <c r="F924" s="29"/>
      <c r="G924" s="29"/>
      <c r="H924" s="32"/>
      <c r="I924" s="29"/>
      <c r="J924" s="29"/>
      <c r="K924" s="29"/>
      <c r="L924" s="29"/>
      <c r="M924" s="29"/>
      <c r="O924" s="33"/>
    </row>
    <row r="925" spans="1:15" x14ac:dyDescent="0.2">
      <c r="A925" s="29"/>
      <c r="B925" s="29"/>
      <c r="C925" s="29"/>
      <c r="D925" s="29"/>
      <c r="E925" s="29"/>
      <c r="F925" s="29"/>
      <c r="G925" s="29"/>
      <c r="H925" s="32"/>
      <c r="I925" s="29"/>
      <c r="J925" s="29"/>
      <c r="K925" s="29"/>
      <c r="L925" s="29"/>
      <c r="M925" s="29"/>
      <c r="O925" s="33"/>
    </row>
    <row r="926" spans="1:15" x14ac:dyDescent="0.2">
      <c r="A926" s="54" t="s">
        <v>7</v>
      </c>
      <c r="B926" s="54"/>
      <c r="C926" s="54"/>
      <c r="D926" s="54"/>
      <c r="E926" s="29"/>
      <c r="F926" s="29"/>
      <c r="G926" s="29">
        <f>VLOOKUP(F890,F919:G922,2,FALSE)</f>
        <v>0</v>
      </c>
      <c r="H926" s="32"/>
      <c r="I926" s="54" t="s">
        <v>7</v>
      </c>
      <c r="J926" s="29"/>
      <c r="K926" s="29"/>
      <c r="L926" s="29"/>
      <c r="M926" s="29">
        <f>VLOOKUP(F890,K919:M922,3,FALSE)</f>
        <v>0</v>
      </c>
      <c r="O926" s="33"/>
    </row>
    <row r="927" spans="1:15" x14ac:dyDescent="0.2">
      <c r="H927" s="32"/>
      <c r="O927" s="33"/>
    </row>
    <row r="928" spans="1:15" x14ac:dyDescent="0.2">
      <c r="E928" s="29"/>
      <c r="F928" s="29"/>
      <c r="G928" s="29"/>
      <c r="H928" s="32"/>
      <c r="J928" s="29"/>
      <c r="K928" s="29"/>
      <c r="L928" s="29"/>
      <c r="M928" s="29"/>
      <c r="O928" s="33"/>
    </row>
    <row r="929" spans="5:12" x14ac:dyDescent="0.2">
      <c r="E929" s="29"/>
      <c r="G929" s="29"/>
    </row>
    <row r="931" spans="5:12" x14ac:dyDescent="0.2">
      <c r="E931" s="9" t="s">
        <v>84</v>
      </c>
      <c r="F931" s="9" t="s">
        <v>91</v>
      </c>
    </row>
    <row r="933" spans="5:12" x14ac:dyDescent="0.2">
      <c r="E933" s="9" t="s">
        <v>84</v>
      </c>
      <c r="F933" s="9">
        <f>IF(DONBIB!J55=3,M898*12%,0)</f>
        <v>0</v>
      </c>
      <c r="G933" s="9">
        <f>IF(F933&gt;372,372,F933)</f>
        <v>0</v>
      </c>
      <c r="I933" s="9" t="s">
        <v>30</v>
      </c>
      <c r="J933" s="9">
        <f>M898*6%</f>
        <v>0</v>
      </c>
      <c r="K933" s="9">
        <f>IF(J933&gt;186,186,J933)</f>
        <v>0</v>
      </c>
      <c r="L933" s="9">
        <f>IF(DONBIB!J55=3,K933,0)</f>
        <v>0</v>
      </c>
    </row>
    <row r="934" spans="5:12" x14ac:dyDescent="0.2">
      <c r="F934" s="9">
        <f>IF(DONBIB!J55=4,M898*16%,0)</f>
        <v>0</v>
      </c>
      <c r="G934" s="9">
        <f>IF(F934&gt;496,496,F934)</f>
        <v>0</v>
      </c>
      <c r="I934" s="9" t="s">
        <v>31</v>
      </c>
      <c r="J934" s="9">
        <f>M898*8%</f>
        <v>0</v>
      </c>
      <c r="K934" s="9">
        <f>IF(J934&gt;248,248,J934)</f>
        <v>0</v>
      </c>
      <c r="L934" s="9">
        <f>IF(DONBIB!J55=4,K934,0)</f>
        <v>0</v>
      </c>
    </row>
    <row r="935" spans="5:12" x14ac:dyDescent="0.2">
      <c r="F935" s="9">
        <f>IF(DONBIB!J55=5,M898*20%,0)</f>
        <v>0</v>
      </c>
      <c r="G935" s="9">
        <f>IF(F935&gt;620,620,F935)</f>
        <v>0</v>
      </c>
      <c r="J935" s="9">
        <f>M898*10%</f>
        <v>0</v>
      </c>
      <c r="K935" s="9">
        <f>IF(J935&gt;310,310,J935)</f>
        <v>0</v>
      </c>
      <c r="L935" s="9">
        <f>IF(DONBIB!J55=5,K935,0)</f>
        <v>0</v>
      </c>
    </row>
    <row r="936" spans="5:12" x14ac:dyDescent="0.2">
      <c r="F936" s="9">
        <f>IF(DONBIB!J55=6,M898*24%,0)</f>
        <v>0</v>
      </c>
      <c r="G936" s="9">
        <f>IF(F936&gt;744,744,F936)</f>
        <v>0</v>
      </c>
      <c r="J936" s="9">
        <f>M898*12%</f>
        <v>0</v>
      </c>
      <c r="K936" s="9">
        <f>IF(J936&gt;372,372,J936)</f>
        <v>0</v>
      </c>
      <c r="L936" s="9">
        <f>IF(DONBIB!J55=6,K936,0)</f>
        <v>0</v>
      </c>
    </row>
    <row r="937" spans="5:12" x14ac:dyDescent="0.2">
      <c r="F937" s="9">
        <f>IF(DONBIB!J55=7,M898*28%,0)</f>
        <v>0</v>
      </c>
      <c r="G937" s="9">
        <f>IF(F937&gt;868,868,F937)</f>
        <v>0</v>
      </c>
      <c r="J937" s="9">
        <f>M898*14%</f>
        <v>0</v>
      </c>
      <c r="K937" s="9">
        <f>IF(J937&gt;434,434,J937)</f>
        <v>0</v>
      </c>
      <c r="L937" s="9">
        <f>IF(DONBIB!J55=7,K937,0)</f>
        <v>0</v>
      </c>
    </row>
    <row r="938" spans="5:12" x14ac:dyDescent="0.2">
      <c r="F938" s="9">
        <f>IF(DONBIB!J55=8,M898*32%,0)</f>
        <v>0</v>
      </c>
      <c r="G938" s="9">
        <f>IF(F938&gt;992,992,F938)</f>
        <v>0</v>
      </c>
      <c r="J938" s="9">
        <f>M898*16%</f>
        <v>0</v>
      </c>
      <c r="K938" s="9">
        <f>IF(J938&gt;496,496,J938)</f>
        <v>0</v>
      </c>
      <c r="L938" s="9">
        <f>IF(DONBIB!J55=8,K938,0)</f>
        <v>0</v>
      </c>
    </row>
    <row r="939" spans="5:12" x14ac:dyDescent="0.2">
      <c r="F939" s="9">
        <f>IF(DONBIB!J55=9,M898*36%,0)</f>
        <v>0</v>
      </c>
      <c r="G939" s="9">
        <f>IF(F939&gt;1116,1116,F939)</f>
        <v>0</v>
      </c>
      <c r="J939" s="9">
        <f>M898*18%</f>
        <v>0</v>
      </c>
      <c r="K939" s="9">
        <f>IF(J939&gt;558,558,J939)</f>
        <v>0</v>
      </c>
      <c r="L939" s="9">
        <f>IF(DONBIB!J55=9,K939,0)</f>
        <v>0</v>
      </c>
    </row>
    <row r="940" spans="5:12" x14ac:dyDescent="0.2">
      <c r="F940" s="9">
        <f>IF(DONBIB!J55=10,M898*40%,0)</f>
        <v>0</v>
      </c>
      <c r="G940" s="9">
        <f>IF(F940&gt;1240,1240,F940)</f>
        <v>0</v>
      </c>
      <c r="J940" s="9">
        <f>M898*20%</f>
        <v>0</v>
      </c>
      <c r="K940" s="9">
        <f>IF(J940&gt;620,620,J940)</f>
        <v>0</v>
      </c>
      <c r="L940" s="9">
        <f>IF(DONBIB!J55=10,K940,0)</f>
        <v>0</v>
      </c>
    </row>
    <row r="942" spans="5:12" x14ac:dyDescent="0.2">
      <c r="G942" s="9">
        <f>SUM(G933:G941)</f>
        <v>0</v>
      </c>
      <c r="L942" s="9">
        <f>SUM(L933:L941)</f>
        <v>0</v>
      </c>
    </row>
    <row r="943" spans="5:12" x14ac:dyDescent="0.2">
      <c r="G943" s="22"/>
    </row>
    <row r="944" spans="5:12" x14ac:dyDescent="0.2">
      <c r="G944" s="22"/>
    </row>
    <row r="945" spans="5:9" x14ac:dyDescent="0.2">
      <c r="G945" s="22"/>
    </row>
    <row r="946" spans="5:9" x14ac:dyDescent="0.2">
      <c r="E946" s="9" t="s">
        <v>32</v>
      </c>
      <c r="F946" s="23">
        <f>M898-G942</f>
        <v>0</v>
      </c>
      <c r="G946" s="22"/>
      <c r="H946" s="9" t="s">
        <v>33</v>
      </c>
      <c r="I946" s="56">
        <f>M898-L942</f>
        <v>0</v>
      </c>
    </row>
    <row r="947" spans="5:9" x14ac:dyDescent="0.2">
      <c r="E947" s="29"/>
      <c r="G947" s="29"/>
    </row>
    <row r="948" spans="5:9" x14ac:dyDescent="0.2">
      <c r="E948" s="29"/>
      <c r="G948" s="29"/>
    </row>
    <row r="949" spans="5:9" x14ac:dyDescent="0.2">
      <c r="E949" s="29"/>
      <c r="G949" s="29"/>
    </row>
    <row r="950" spans="5:9" x14ac:dyDescent="0.2">
      <c r="E950" s="29"/>
      <c r="G950" s="29"/>
    </row>
    <row r="951" spans="5:9" x14ac:dyDescent="0.2">
      <c r="E951" s="29"/>
      <c r="G951" s="29"/>
    </row>
    <row r="952" spans="5:9" x14ac:dyDescent="0.2">
      <c r="E952" s="29"/>
      <c r="G952" s="29"/>
    </row>
    <row r="953" spans="5:9" x14ac:dyDescent="0.2">
      <c r="E953" s="29"/>
      <c r="G953" s="29"/>
    </row>
    <row r="954" spans="5:9" x14ac:dyDescent="0.2">
      <c r="E954" s="29"/>
      <c r="G954" s="29"/>
    </row>
    <row r="955" spans="5:9" x14ac:dyDescent="0.2">
      <c r="E955" s="29"/>
      <c r="G955" s="29"/>
    </row>
    <row r="956" spans="5:9" x14ac:dyDescent="0.2">
      <c r="E956" s="29"/>
      <c r="G956" s="29"/>
    </row>
    <row r="957" spans="5:9" x14ac:dyDescent="0.2">
      <c r="E957" s="29"/>
      <c r="G957" s="29"/>
    </row>
    <row r="958" spans="5:9" x14ac:dyDescent="0.2">
      <c r="E958" s="29"/>
      <c r="G958" s="29"/>
    </row>
    <row r="959" spans="5:9" x14ac:dyDescent="0.2">
      <c r="E959" s="29"/>
      <c r="G959" s="29"/>
    </row>
    <row r="960" spans="5:9" x14ac:dyDescent="0.2">
      <c r="E960" s="29"/>
      <c r="G960" s="29"/>
    </row>
    <row r="961" spans="5:7" x14ac:dyDescent="0.2">
      <c r="E961" s="29"/>
      <c r="G961" s="29"/>
    </row>
    <row r="962" spans="5:7" x14ac:dyDescent="0.2">
      <c r="E962" s="29"/>
      <c r="G962" s="29"/>
    </row>
    <row r="963" spans="5:7" x14ac:dyDescent="0.2">
      <c r="E963" s="29"/>
      <c r="G963" s="29"/>
    </row>
    <row r="964" spans="5:7" x14ac:dyDescent="0.2">
      <c r="E964" s="29"/>
      <c r="G964" s="29"/>
    </row>
    <row r="965" spans="5:7" x14ac:dyDescent="0.2">
      <c r="E965" s="29"/>
      <c r="G965" s="29"/>
    </row>
    <row r="966" spans="5:7" x14ac:dyDescent="0.2">
      <c r="E966" s="29"/>
      <c r="G966" s="29"/>
    </row>
    <row r="967" spans="5:7" x14ac:dyDescent="0.2">
      <c r="E967" s="29"/>
      <c r="G967" s="29"/>
    </row>
    <row r="968" spans="5:7" x14ac:dyDescent="0.2">
      <c r="E968" s="29"/>
      <c r="G968" s="29"/>
    </row>
    <row r="969" spans="5:7" x14ac:dyDescent="0.2">
      <c r="E969" s="29"/>
      <c r="G969" s="29"/>
    </row>
    <row r="970" spans="5:7" x14ac:dyDescent="0.2">
      <c r="E970" s="29"/>
      <c r="G970" s="29"/>
    </row>
    <row r="971" spans="5:7" x14ac:dyDescent="0.2">
      <c r="E971" s="29"/>
      <c r="G971" s="29"/>
    </row>
    <row r="972" spans="5:7" x14ac:dyDescent="0.2">
      <c r="E972" s="29"/>
      <c r="G972" s="29"/>
    </row>
    <row r="973" spans="5:7" x14ac:dyDescent="0.2">
      <c r="E973" s="29"/>
      <c r="G973" s="29"/>
    </row>
    <row r="974" spans="5:7" x14ac:dyDescent="0.2">
      <c r="E974" s="29"/>
      <c r="G974" s="29"/>
    </row>
    <row r="975" spans="5:7" x14ac:dyDescent="0.2">
      <c r="E975" s="29"/>
      <c r="G975" s="29"/>
    </row>
    <row r="976" spans="5:7" x14ac:dyDescent="0.2">
      <c r="E976" s="29"/>
      <c r="G976" s="29"/>
    </row>
    <row r="977" spans="1:15" x14ac:dyDescent="0.2">
      <c r="E977" s="29"/>
      <c r="G977" s="29"/>
    </row>
    <row r="978" spans="1:15" x14ac:dyDescent="0.2">
      <c r="E978" s="29"/>
      <c r="G978" s="29"/>
    </row>
    <row r="979" spans="1:15" x14ac:dyDescent="0.2">
      <c r="E979" s="29"/>
      <c r="G979" s="29"/>
    </row>
    <row r="980" spans="1:15" x14ac:dyDescent="0.2">
      <c r="E980" s="29"/>
      <c r="G980" s="29"/>
    </row>
    <row r="981" spans="1:15" x14ac:dyDescent="0.2">
      <c r="E981" s="29"/>
      <c r="G981" s="29"/>
    </row>
    <row r="982" spans="1:15" x14ac:dyDescent="0.2">
      <c r="E982" s="29"/>
      <c r="G982" s="29"/>
    </row>
    <row r="983" spans="1:15" x14ac:dyDescent="0.2">
      <c r="E983" s="29"/>
      <c r="G983" s="29"/>
    </row>
    <row r="984" spans="1:15" x14ac:dyDescent="0.2">
      <c r="E984" s="29"/>
      <c r="G984" s="29"/>
    </row>
    <row r="985" spans="1:15" x14ac:dyDescent="0.2">
      <c r="E985" s="29"/>
      <c r="G985" s="29"/>
    </row>
    <row r="986" spans="1:15" x14ac:dyDescent="0.2">
      <c r="E986" s="29"/>
      <c r="G986" s="29"/>
    </row>
    <row r="987" spans="1:15" x14ac:dyDescent="0.2">
      <c r="E987" s="29"/>
      <c r="G987" s="29"/>
    </row>
    <row r="988" spans="1:15" x14ac:dyDescent="0.2">
      <c r="E988" s="29"/>
      <c r="G988" s="29"/>
    </row>
    <row r="989" spans="1:15" x14ac:dyDescent="0.2">
      <c r="E989" s="29"/>
      <c r="G989" s="29"/>
    </row>
    <row r="990" spans="1:15" x14ac:dyDescent="0.2">
      <c r="E990" s="29"/>
      <c r="G990" s="29"/>
    </row>
    <row r="991" spans="1:15" ht="13.5" thickBot="1" x14ac:dyDescent="0.25">
      <c r="E991" s="29"/>
      <c r="G991" s="29"/>
    </row>
    <row r="992" spans="1:15" ht="13.5" thickTop="1" x14ac:dyDescent="0.2">
      <c r="A992" s="42"/>
      <c r="B992" s="42"/>
      <c r="C992" s="42"/>
      <c r="D992" s="42"/>
      <c r="E992" s="43"/>
      <c r="F992" s="44"/>
      <c r="G992" s="43"/>
      <c r="H992" s="43"/>
      <c r="I992" s="45"/>
      <c r="J992" s="46"/>
      <c r="K992" s="45"/>
      <c r="L992" s="45"/>
      <c r="M992" s="45"/>
      <c r="N992" s="47"/>
      <c r="O992" s="48"/>
    </row>
    <row r="993" spans="1:15" x14ac:dyDescent="0.2">
      <c r="A993" s="29" t="s">
        <v>4</v>
      </c>
      <c r="B993" s="29"/>
      <c r="C993" s="29"/>
      <c r="D993" s="29"/>
      <c r="E993" s="29"/>
      <c r="F993" s="29">
        <f>DONBIB!G62</f>
        <v>0</v>
      </c>
      <c r="G993" s="49"/>
      <c r="H993" s="29"/>
      <c r="I993" s="29"/>
      <c r="J993" s="50"/>
      <c r="K993" s="29"/>
      <c r="L993" s="29"/>
      <c r="M993" s="29">
        <f>IF(AND(DONBIB!I60="oui",DONBIB!F60="ligne directe"),H1005,0)</f>
        <v>0</v>
      </c>
      <c r="O993" s="51"/>
    </row>
    <row r="994" spans="1:15" x14ac:dyDescent="0.2">
      <c r="A994" s="29"/>
      <c r="B994" s="29"/>
      <c r="C994" s="29"/>
      <c r="D994" s="29"/>
      <c r="E994" s="29"/>
      <c r="F994" s="29"/>
      <c r="G994" s="29"/>
      <c r="H994" s="29"/>
      <c r="I994" s="29"/>
      <c r="J994" s="50"/>
      <c r="K994" s="29"/>
      <c r="L994" s="29"/>
      <c r="M994" s="29">
        <f>IF(AND(DONBIB!I60="oui",DONBIB!F60="épou(x)(se)"),H1005,0)</f>
        <v>0</v>
      </c>
      <c r="O994" s="51"/>
    </row>
    <row r="995" spans="1:15" x14ac:dyDescent="0.2">
      <c r="A995" s="52" t="s">
        <v>5</v>
      </c>
      <c r="B995" s="52"/>
      <c r="C995" s="52"/>
      <c r="D995" s="52"/>
      <c r="E995" s="29"/>
      <c r="F995" s="29"/>
      <c r="G995" s="53" t="s">
        <v>6</v>
      </c>
      <c r="H995" s="53" t="s">
        <v>25</v>
      </c>
      <c r="I995" s="29"/>
      <c r="J995" s="50"/>
      <c r="K995" s="29"/>
      <c r="L995" s="29"/>
      <c r="M995" s="29">
        <f>IF(AND(DONBIB!I60="non",DONBIB!F60="ligne directe"),G1005,0)</f>
        <v>0</v>
      </c>
      <c r="O995" s="51"/>
    </row>
    <row r="996" spans="1:15" x14ac:dyDescent="0.2">
      <c r="A996" s="29">
        <v>0</v>
      </c>
      <c r="B996" s="29"/>
      <c r="C996" s="29"/>
      <c r="D996" s="29"/>
      <c r="E996" s="29">
        <v>50000</v>
      </c>
      <c r="F996" s="29">
        <f>IF(AND(F993&gt;A996, F993&lt;=E996),F993,0)</f>
        <v>0</v>
      </c>
      <c r="G996" s="29">
        <f>0+(3/100)*(-A996+F996)</f>
        <v>0</v>
      </c>
      <c r="H996" s="29">
        <f>0+(2/100)*(-A996+F996)</f>
        <v>0</v>
      </c>
      <c r="I996" s="29"/>
      <c r="J996" s="50"/>
      <c r="K996" s="29"/>
      <c r="L996" s="29"/>
      <c r="M996" s="29">
        <f>IF(AND(DONBIB!I60="non",DONBIB!F60="épou(x)(se)"),G1005,0)</f>
        <v>0</v>
      </c>
      <c r="O996" s="51"/>
    </row>
    <row r="997" spans="1:15" x14ac:dyDescent="0.2">
      <c r="A997" s="29">
        <f>E996</f>
        <v>50000</v>
      </c>
      <c r="B997" s="29"/>
      <c r="C997" s="29"/>
      <c r="D997" s="29"/>
      <c r="E997" s="29">
        <v>100000</v>
      </c>
      <c r="F997" s="29">
        <f>IF(AND(F993&gt;A997, F993&lt;=E997),F993,0)</f>
        <v>0</v>
      </c>
      <c r="G997" s="29">
        <f>(50000/100*3)+(8/100)*(-A997+F997)</f>
        <v>-2500</v>
      </c>
      <c r="H997" s="29">
        <f>(50000/100*2)+(5.3/100)*(-A997+F997)</f>
        <v>-1650</v>
      </c>
      <c r="I997" s="29"/>
      <c r="J997" s="50"/>
      <c r="K997" s="29"/>
      <c r="L997" s="29"/>
      <c r="M997" s="29">
        <f>IF(DONBIB!F60="frère/soeur",G1016,0)</f>
        <v>0</v>
      </c>
      <c r="O997" s="51"/>
    </row>
    <row r="998" spans="1:15" x14ac:dyDescent="0.2">
      <c r="A998" s="29">
        <f>E997</f>
        <v>100000</v>
      </c>
      <c r="B998" s="29"/>
      <c r="C998" s="29"/>
      <c r="D998" s="29"/>
      <c r="E998" s="29">
        <v>175000</v>
      </c>
      <c r="F998" s="29">
        <f>IF(AND(F993&gt;A998, F993&lt;=E998),F993,0)</f>
        <v>0</v>
      </c>
      <c r="G998" s="29">
        <f>(50000/100*3)+(50000/100*8)+((9/100)*(-A998+F998))</f>
        <v>-3500</v>
      </c>
      <c r="H998" s="29">
        <f>(50000/100*2)+(50000/100*5.3)+((6/100)*(-A998+F998))</f>
        <v>-2350</v>
      </c>
      <c r="I998" s="29"/>
      <c r="J998" s="50"/>
      <c r="K998" s="29"/>
      <c r="L998" s="29"/>
      <c r="M998" s="29">
        <f>IF(DONBIB!F60="oncle-tante/neveu-nièce",G1029,0)</f>
        <v>0</v>
      </c>
      <c r="O998" s="51"/>
    </row>
    <row r="999" spans="1:15" x14ac:dyDescent="0.2">
      <c r="A999" s="29">
        <f>E998</f>
        <v>175000</v>
      </c>
      <c r="B999" s="29"/>
      <c r="C999" s="29"/>
      <c r="D999" s="29"/>
      <c r="E999" s="29">
        <v>250000</v>
      </c>
      <c r="F999" s="29">
        <f>IF(AND(F993&gt;A999, F993&lt;=E999),F993,0)</f>
        <v>0</v>
      </c>
      <c r="G999" s="29">
        <f>(50000/100*3)+(50000/100*8)+(75000/100*9)+((18/100)*(-A999+F999))</f>
        <v>-19250</v>
      </c>
      <c r="H999" s="29">
        <f>(50000/100*2)+(50000/100*5.3)+(75000/100*6)+((12/100)*(-A999+F999))</f>
        <v>-12850</v>
      </c>
      <c r="I999" s="29"/>
      <c r="J999" s="50"/>
      <c r="K999" s="29"/>
      <c r="L999" s="29"/>
      <c r="M999" s="29">
        <f>IF(DONBIB!F60="étrangers",M1029,0)</f>
        <v>0</v>
      </c>
      <c r="O999" s="51"/>
    </row>
    <row r="1000" spans="1:15" x14ac:dyDescent="0.2">
      <c r="A1000" s="29">
        <f>E999</f>
        <v>250000</v>
      </c>
      <c r="B1000" s="29"/>
      <c r="C1000" s="29"/>
      <c r="D1000" s="29"/>
      <c r="E1000" s="29">
        <v>500000</v>
      </c>
      <c r="F1000" s="29">
        <f>IF(AND(F993&gt;A1000, F993&lt;=E1000),F993,0)</f>
        <v>0</v>
      </c>
      <c r="G1000" s="29">
        <f>(50000/100*3)+(50000/100*8)+(75000/100*9)+(75000/100*18)+((24/100)*(-A1000+F1000))</f>
        <v>-34250</v>
      </c>
      <c r="H1000" s="29">
        <f>(50000/100*2)+(50000/100*5.3)+(75000/100*6)+(75000/100*12)+((24/100)*(-A1000+F1000))</f>
        <v>-42850</v>
      </c>
      <c r="I1000" s="29"/>
      <c r="J1000" s="29"/>
      <c r="K1000" s="29"/>
      <c r="L1000" s="29"/>
      <c r="M1000" s="29"/>
      <c r="O1000" s="51"/>
    </row>
    <row r="1001" spans="1:15" x14ac:dyDescent="0.2">
      <c r="A1001" s="29">
        <f>E1000</f>
        <v>500000</v>
      </c>
      <c r="B1001" s="29"/>
      <c r="C1001" s="29"/>
      <c r="D1001" s="29"/>
      <c r="E1001" s="29">
        <v>999999999</v>
      </c>
      <c r="F1001" s="29">
        <f>IF(AND(F993&gt;A1001, F993&lt;=E1001),F993,0)</f>
        <v>0</v>
      </c>
      <c r="G1001" s="29">
        <f>(50000/100*3)+(50000/100*8)+(75000/100*9)+(75000/100*18)+(250000/100*24)+((30/100)*(-A1001+F1001))</f>
        <v>-64250</v>
      </c>
      <c r="H1001" s="29">
        <f>(50000/100*2)+(50000/100*5.3)+(75000/100*6)+(75000/100*12)+(250000/100*24)+((30/100)*(-A1001+F1001))</f>
        <v>-72850</v>
      </c>
      <c r="I1001" s="29"/>
      <c r="J1001" s="29"/>
      <c r="K1001" s="29"/>
      <c r="L1001" s="29"/>
      <c r="M1001" s="29">
        <f>SUM(M993:M1000)</f>
        <v>0</v>
      </c>
      <c r="O1001" s="51"/>
    </row>
    <row r="1002" spans="1:15" x14ac:dyDescent="0.2">
      <c r="A1002" s="29"/>
      <c r="B1002" s="29"/>
      <c r="C1002" s="29"/>
      <c r="D1002" s="29"/>
      <c r="E1002" s="29"/>
      <c r="F1002" s="29"/>
      <c r="G1002" s="29"/>
      <c r="H1002" s="29"/>
      <c r="I1002" s="29"/>
      <c r="J1002" s="29"/>
      <c r="K1002" s="29"/>
      <c r="L1002" s="29"/>
      <c r="M1002" s="29"/>
      <c r="O1002" s="51"/>
    </row>
    <row r="1003" spans="1:15" x14ac:dyDescent="0.2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  <c r="L1003" s="29"/>
      <c r="M1003" s="29"/>
      <c r="O1003" s="51"/>
    </row>
    <row r="1004" spans="1:15" x14ac:dyDescent="0.2">
      <c r="A1004" s="29"/>
      <c r="B1004" s="29"/>
      <c r="C1004" s="29"/>
      <c r="D1004" s="29"/>
      <c r="E1004" s="29"/>
      <c r="F1004" s="29"/>
      <c r="G1004" s="29"/>
      <c r="H1004" s="29"/>
      <c r="I1004" s="29"/>
      <c r="J1004" s="29"/>
      <c r="K1004" s="29"/>
      <c r="L1004" s="29"/>
      <c r="M1004" s="29"/>
      <c r="O1004" s="51"/>
    </row>
    <row r="1005" spans="1:15" x14ac:dyDescent="0.2">
      <c r="A1005" s="54" t="s">
        <v>7</v>
      </c>
      <c r="B1005" s="54"/>
      <c r="C1005" s="54"/>
      <c r="D1005" s="54"/>
      <c r="E1005" s="29"/>
      <c r="F1005" s="29"/>
      <c r="G1005" s="29">
        <f>VLOOKUP(F993,F996:G1001,2,FALSE)</f>
        <v>0</v>
      </c>
      <c r="H1005" s="29">
        <f>VLOOKUP(F993,F996:H1001,3,FALSE)</f>
        <v>0</v>
      </c>
      <c r="I1005" s="29"/>
      <c r="J1005" s="29"/>
      <c r="K1005" s="29"/>
      <c r="L1005" s="29"/>
      <c r="M1005" s="29"/>
      <c r="O1005" s="51"/>
    </row>
    <row r="1006" spans="1:15" x14ac:dyDescent="0.2">
      <c r="A1006" s="29"/>
      <c r="B1006" s="29"/>
      <c r="C1006" s="29"/>
      <c r="D1006" s="29"/>
      <c r="E1006" s="29"/>
      <c r="F1006" s="29"/>
      <c r="G1006" s="29"/>
      <c r="H1006" s="29"/>
      <c r="I1006" s="29"/>
      <c r="J1006" s="29"/>
      <c r="K1006" s="29"/>
      <c r="L1006" s="29"/>
      <c r="M1006" s="29"/>
      <c r="O1006" s="51"/>
    </row>
    <row r="1007" spans="1:15" x14ac:dyDescent="0.2">
      <c r="A1007" s="29"/>
      <c r="B1007" s="29"/>
      <c r="C1007" s="29"/>
      <c r="D1007" s="29"/>
      <c r="E1007" s="29"/>
      <c r="F1007" s="29"/>
      <c r="G1007" s="29"/>
      <c r="H1007" s="29"/>
      <c r="I1007" s="29"/>
      <c r="J1007" s="29"/>
      <c r="K1007" s="29"/>
      <c r="L1007" s="29"/>
      <c r="M1007" s="29"/>
      <c r="O1007" s="51"/>
    </row>
    <row r="1008" spans="1:15" x14ac:dyDescent="0.2">
      <c r="A1008" s="52" t="s">
        <v>8</v>
      </c>
      <c r="B1008" s="52"/>
      <c r="C1008" s="52"/>
      <c r="D1008" s="52"/>
      <c r="E1008" s="29"/>
      <c r="F1008" s="29"/>
      <c r="G1008" s="53" t="s">
        <v>9</v>
      </c>
      <c r="H1008" s="53"/>
      <c r="I1008" s="42"/>
      <c r="J1008" s="42"/>
      <c r="K1008" s="42"/>
      <c r="L1008" s="42"/>
      <c r="M1008" s="42"/>
    </row>
    <row r="1009" spans="1:15" x14ac:dyDescent="0.2">
      <c r="A1009" s="29">
        <v>0</v>
      </c>
      <c r="B1009" s="29"/>
      <c r="C1009" s="29"/>
      <c r="D1009" s="29"/>
      <c r="E1009" s="29">
        <v>12500</v>
      </c>
      <c r="F1009" s="29">
        <f>IF(AND(F993&gt;A1009, F993&lt;=E1009),F993,0)</f>
        <v>0</v>
      </c>
      <c r="G1009" s="29">
        <f>0+(20/100)*(-A1009+F1009)</f>
        <v>0</v>
      </c>
      <c r="H1009" s="29"/>
      <c r="I1009" s="29"/>
      <c r="J1009" s="29"/>
      <c r="K1009" s="29"/>
      <c r="L1009" s="29"/>
      <c r="M1009" s="29"/>
    </row>
    <row r="1010" spans="1:15" x14ac:dyDescent="0.2">
      <c r="A1010" s="29">
        <f>E1009</f>
        <v>12500</v>
      </c>
      <c r="B1010" s="29"/>
      <c r="C1010" s="29"/>
      <c r="D1010" s="29"/>
      <c r="E1010" s="29">
        <v>25000</v>
      </c>
      <c r="F1010" s="29">
        <f>IF(AND(F993&gt;A1010, F993&lt;=E1010),F993,0)</f>
        <v>0</v>
      </c>
      <c r="G1010" s="29">
        <f>(12500/100*20)+((25/100)*(-A1010+F1010))</f>
        <v>-625</v>
      </c>
      <c r="H1010" s="29"/>
      <c r="I1010" s="29"/>
      <c r="J1010" s="29"/>
      <c r="K1010" s="29"/>
      <c r="L1010" s="29"/>
      <c r="M1010" s="29"/>
    </row>
    <row r="1011" spans="1:15" x14ac:dyDescent="0.2">
      <c r="A1011" s="29">
        <f>E1010</f>
        <v>25000</v>
      </c>
      <c r="B1011" s="29"/>
      <c r="C1011" s="29"/>
      <c r="D1011" s="29"/>
      <c r="E1011" s="29">
        <v>50000</v>
      </c>
      <c r="F1011" s="29">
        <f>IF(AND(F993&gt;A1011, F993&lt;=E1011),F993,0)</f>
        <v>0</v>
      </c>
      <c r="G1011" s="29">
        <f>(12500/100*20)+(12500/100*25)+((30/100)*(-A1011+F1011))</f>
        <v>-1875</v>
      </c>
      <c r="H1011" s="29"/>
      <c r="I1011" s="29"/>
      <c r="J1011" s="29"/>
      <c r="K1011" s="29"/>
      <c r="L1011" s="29"/>
      <c r="M1011" s="29"/>
    </row>
    <row r="1012" spans="1:15" x14ac:dyDescent="0.2">
      <c r="A1012" s="29">
        <f>E1011</f>
        <v>50000</v>
      </c>
      <c r="B1012" s="29"/>
      <c r="C1012" s="29"/>
      <c r="D1012" s="29"/>
      <c r="E1012" s="29">
        <v>100000</v>
      </c>
      <c r="F1012" s="29">
        <f>IF(AND(F993&gt;A1012, F993&lt;=E1012),F993,0)</f>
        <v>0</v>
      </c>
      <c r="G1012" s="29">
        <f>(12500/100*20)+(12500/100*25)+(25000/100*30)+((40/100)*(-A1012+F1012))</f>
        <v>-6875</v>
      </c>
      <c r="H1012" s="29"/>
      <c r="I1012" s="29"/>
      <c r="J1012" s="29"/>
      <c r="K1012" s="29"/>
      <c r="L1012" s="29"/>
      <c r="M1012" s="29"/>
    </row>
    <row r="1013" spans="1:15" x14ac:dyDescent="0.2">
      <c r="A1013" s="29">
        <f>E1012</f>
        <v>100000</v>
      </c>
      <c r="B1013" s="29"/>
      <c r="C1013" s="29"/>
      <c r="D1013" s="29"/>
      <c r="E1013" s="29">
        <v>175000</v>
      </c>
      <c r="F1013" s="29">
        <f>IF(AND(F993&gt;A1013, F993&lt;=E1013),F993,0)</f>
        <v>0</v>
      </c>
      <c r="G1013" s="29">
        <f>(12500/100*20)+(12500/100*25)+(25000/100*30)+(50000/100*40)+((55/100)*(-A1013+F1013))</f>
        <v>-21875.000000000007</v>
      </c>
      <c r="H1013" s="29"/>
      <c r="I1013" s="29"/>
      <c r="J1013" s="29"/>
      <c r="K1013" s="29"/>
      <c r="L1013" s="29"/>
      <c r="M1013" s="29"/>
    </row>
    <row r="1014" spans="1:15" x14ac:dyDescent="0.2">
      <c r="A1014" s="29">
        <v>175000</v>
      </c>
      <c r="B1014" s="29"/>
      <c r="C1014" s="29"/>
      <c r="D1014" s="29"/>
      <c r="E1014" s="29">
        <v>250000</v>
      </c>
      <c r="F1014" s="29">
        <f>IF(AND(F993&gt;A1014, F993&lt;=E1014),F993,0)</f>
        <v>0</v>
      </c>
      <c r="G1014" s="29">
        <f>(12500/100*20)+(12500/100*25)+(25000/100*30)+(50000/100*40)+(75000/100*55)+((60/100)*(-A1014+F1014))</f>
        <v>-30625</v>
      </c>
      <c r="H1014" s="29"/>
      <c r="I1014" s="29"/>
      <c r="J1014" s="29"/>
      <c r="K1014" s="29"/>
      <c r="L1014" s="29"/>
      <c r="M1014" s="29"/>
    </row>
    <row r="1015" spans="1:15" x14ac:dyDescent="0.2">
      <c r="A1015" s="29">
        <f>E1014</f>
        <v>250000</v>
      </c>
      <c r="B1015" s="29"/>
      <c r="C1015" s="29"/>
      <c r="D1015" s="29"/>
      <c r="E1015" s="29">
        <v>999999999</v>
      </c>
      <c r="F1015" s="29">
        <f>IF(AND(F993&gt;A1015, F993&lt;=E1015),F993,0)</f>
        <v>0</v>
      </c>
      <c r="G1015" s="29">
        <f>(12500/100*20)+(12500/100*25)+(25000/100*30)+(50000/100*40)+(75000/100*55)+(75000/100*60)+((65/100)*(-A1015+F1015))</f>
        <v>-43125</v>
      </c>
      <c r="H1015" s="29"/>
      <c r="I1015" s="29"/>
      <c r="J1015" s="29"/>
      <c r="K1015" s="29"/>
      <c r="L1015" s="29"/>
      <c r="M1015" s="29"/>
    </row>
    <row r="1016" spans="1:15" x14ac:dyDescent="0.2">
      <c r="A1016" s="54" t="s">
        <v>7</v>
      </c>
      <c r="B1016" s="54"/>
      <c r="C1016" s="54"/>
      <c r="D1016" s="54"/>
      <c r="E1016" s="29"/>
      <c r="F1016" s="29"/>
      <c r="G1016" s="29">
        <f>VLOOKUP(F993,F1009:G1015,2,FALSE)</f>
        <v>0</v>
      </c>
      <c r="H1016" s="29"/>
      <c r="I1016" s="29"/>
      <c r="J1016" s="29"/>
      <c r="K1016" s="29"/>
      <c r="L1016" s="29"/>
      <c r="M1016" s="29"/>
    </row>
    <row r="1018" spans="1:15" x14ac:dyDescent="0.2">
      <c r="E1018" s="29"/>
      <c r="F1018" s="29"/>
      <c r="G1018" s="29"/>
      <c r="H1018" s="32"/>
      <c r="I1018" s="29"/>
      <c r="J1018" s="33"/>
      <c r="M1018" s="33"/>
      <c r="O1018" s="33"/>
    </row>
    <row r="1019" spans="1:15" x14ac:dyDescent="0.2">
      <c r="E1019" s="29"/>
      <c r="F1019" s="29"/>
      <c r="G1019" s="29"/>
      <c r="H1019" s="32"/>
      <c r="I1019" s="29"/>
      <c r="J1019" s="33"/>
      <c r="M1019" s="33"/>
      <c r="O1019" s="33"/>
    </row>
    <row r="1020" spans="1:15" x14ac:dyDescent="0.2">
      <c r="E1020" s="29"/>
      <c r="F1020" s="29"/>
      <c r="G1020" s="29"/>
      <c r="H1020" s="32"/>
      <c r="I1020" s="29"/>
      <c r="J1020" s="33"/>
      <c r="M1020" s="33"/>
      <c r="O1020" s="33"/>
    </row>
    <row r="1021" spans="1:15" x14ac:dyDescent="0.2">
      <c r="A1021" s="52" t="s">
        <v>26</v>
      </c>
      <c r="B1021" s="52"/>
      <c r="C1021" s="52"/>
      <c r="D1021" s="52"/>
      <c r="E1021" s="29"/>
      <c r="F1021" s="29"/>
      <c r="G1021" s="53" t="s">
        <v>10</v>
      </c>
      <c r="H1021" s="32"/>
      <c r="I1021" s="52" t="s">
        <v>27</v>
      </c>
      <c r="J1021" s="29"/>
      <c r="K1021" s="29"/>
      <c r="L1021" s="29"/>
      <c r="M1021" s="53" t="s">
        <v>11</v>
      </c>
      <c r="O1021" s="33"/>
    </row>
    <row r="1022" spans="1:15" x14ac:dyDescent="0.2">
      <c r="A1022" s="29">
        <v>0</v>
      </c>
      <c r="B1022" s="29"/>
      <c r="C1022" s="29"/>
      <c r="D1022" s="29"/>
      <c r="E1022" s="29">
        <v>50000</v>
      </c>
      <c r="F1022" s="29">
        <f>IF(AND(F993&gt;A1022, F993&lt;=E1022),F993,0)</f>
        <v>0</v>
      </c>
      <c r="G1022" s="29">
        <f>0+(35/100)*(-A1022+F1022)</f>
        <v>0</v>
      </c>
      <c r="H1022" s="32"/>
      <c r="I1022" s="29">
        <v>0</v>
      </c>
      <c r="J1022" s="29">
        <v>50000</v>
      </c>
      <c r="K1022" s="29">
        <f>IF(AND(F993&gt;I1022, F993&lt;=J1022),F993,0)</f>
        <v>0</v>
      </c>
      <c r="L1022" s="29"/>
      <c r="M1022" s="29">
        <f>0+(40/100)*(-I1022+K1022)</f>
        <v>0</v>
      </c>
      <c r="O1022" s="33"/>
    </row>
    <row r="1023" spans="1:15" x14ac:dyDescent="0.2">
      <c r="A1023" s="29">
        <f>E1022</f>
        <v>50000</v>
      </c>
      <c r="B1023" s="29"/>
      <c r="C1023" s="29"/>
      <c r="D1023" s="29"/>
      <c r="E1023" s="29">
        <v>100000</v>
      </c>
      <c r="F1023" s="29">
        <f>IF(AND(F993&gt;A1023, F993&lt;=E1023),F993,0)</f>
        <v>0</v>
      </c>
      <c r="G1023" s="29">
        <f>(50000/100*35)+((50/100)*(-A1023+F1023))</f>
        <v>-7500</v>
      </c>
      <c r="H1023" s="32"/>
      <c r="I1023" s="29">
        <f>J1022</f>
        <v>50000</v>
      </c>
      <c r="J1023" s="29">
        <v>75000</v>
      </c>
      <c r="K1023" s="29">
        <f>IF(AND(F993&gt;I1023, F993&lt;=J1023),F993,0)</f>
        <v>0</v>
      </c>
      <c r="L1023" s="29"/>
      <c r="M1023" s="29">
        <f>(50000/100*40)+((55/100)*(-I1023+K1023))</f>
        <v>-7500.0000000000036</v>
      </c>
      <c r="O1023" s="33"/>
    </row>
    <row r="1024" spans="1:15" x14ac:dyDescent="0.2">
      <c r="A1024" s="29">
        <f>E1023</f>
        <v>100000</v>
      </c>
      <c r="B1024" s="29"/>
      <c r="C1024" s="29"/>
      <c r="D1024" s="29"/>
      <c r="E1024" s="29">
        <v>175000</v>
      </c>
      <c r="F1024" s="29">
        <f>IF(AND(F993&gt;A1024, F993&lt;=E1024),F993,0)</f>
        <v>0</v>
      </c>
      <c r="G1024" s="29">
        <f>(50000/100*35)+(50000/100*50)+((60/100)*(-A1024+F1024))</f>
        <v>-17500</v>
      </c>
      <c r="H1024" s="32"/>
      <c r="I1024" s="29">
        <f>J1023</f>
        <v>75000</v>
      </c>
      <c r="J1024" s="29">
        <v>175000</v>
      </c>
      <c r="K1024" s="29">
        <f>IF(AND(F993&gt;I1024, F993&lt;=J1024),F993,0)</f>
        <v>0</v>
      </c>
      <c r="L1024" s="29"/>
      <c r="M1024" s="29">
        <f>(50000/100*40)+(25000/100*55)+((65/100)*(-I1024+K1024))</f>
        <v>-15000</v>
      </c>
      <c r="O1024" s="33"/>
    </row>
    <row r="1025" spans="1:15" x14ac:dyDescent="0.2">
      <c r="A1025" s="29">
        <f>E1024</f>
        <v>175000</v>
      </c>
      <c r="B1025" s="29"/>
      <c r="C1025" s="29"/>
      <c r="D1025" s="29"/>
      <c r="E1025" s="29">
        <v>999999999</v>
      </c>
      <c r="F1025" s="29">
        <f>IF(AND(F993&gt;A1025, F993&lt;=E1025),F993,0)</f>
        <v>0</v>
      </c>
      <c r="G1025" s="29">
        <f>(50000/100*35)+(50000/100*50)+(75000/100*60)+((70/100)*(-A1025+F1025))</f>
        <v>-34999.999999999985</v>
      </c>
      <c r="H1025" s="32"/>
      <c r="I1025" s="29">
        <f>J1024</f>
        <v>175000</v>
      </c>
      <c r="J1025" s="29">
        <v>999999999</v>
      </c>
      <c r="K1025" s="29">
        <f>IF(AND(F993&gt;I1025, F993&lt;=J1025),F993,0)</f>
        <v>0</v>
      </c>
      <c r="L1025" s="29"/>
      <c r="M1025" s="29">
        <f>(50000/100*40)+(25000/100*55)+(100000/100*65)+((80/100)*(-I1025+K1025))</f>
        <v>-41250</v>
      </c>
      <c r="O1025" s="33"/>
    </row>
    <row r="1026" spans="1:15" x14ac:dyDescent="0.2">
      <c r="A1026" s="29"/>
      <c r="B1026" s="29"/>
      <c r="C1026" s="29"/>
      <c r="D1026" s="29"/>
      <c r="E1026" s="29"/>
      <c r="F1026" s="29"/>
      <c r="G1026" s="29"/>
      <c r="H1026" s="32"/>
      <c r="I1026" s="29"/>
      <c r="J1026" s="29"/>
      <c r="K1026" s="29"/>
      <c r="L1026" s="29"/>
      <c r="M1026" s="29"/>
      <c r="O1026" s="33"/>
    </row>
    <row r="1027" spans="1:15" x14ac:dyDescent="0.2">
      <c r="A1027" s="29"/>
      <c r="B1027" s="29"/>
      <c r="C1027" s="29"/>
      <c r="D1027" s="29"/>
      <c r="E1027" s="29"/>
      <c r="F1027" s="29"/>
      <c r="G1027" s="29"/>
      <c r="H1027" s="32"/>
      <c r="I1027" s="29"/>
      <c r="J1027" s="29"/>
      <c r="K1027" s="29"/>
      <c r="L1027" s="29"/>
      <c r="M1027" s="29"/>
      <c r="O1027" s="33"/>
    </row>
    <row r="1028" spans="1:15" x14ac:dyDescent="0.2">
      <c r="A1028" s="29"/>
      <c r="B1028" s="29"/>
      <c r="C1028" s="29"/>
      <c r="D1028" s="29"/>
      <c r="E1028" s="29"/>
      <c r="F1028" s="29"/>
      <c r="G1028" s="29"/>
      <c r="H1028" s="32"/>
      <c r="I1028" s="29"/>
      <c r="J1028" s="29"/>
      <c r="K1028" s="29"/>
      <c r="L1028" s="29"/>
      <c r="M1028" s="29"/>
      <c r="O1028" s="33"/>
    </row>
    <row r="1029" spans="1:15" x14ac:dyDescent="0.2">
      <c r="A1029" s="54" t="s">
        <v>7</v>
      </c>
      <c r="B1029" s="54"/>
      <c r="C1029" s="54"/>
      <c r="D1029" s="54"/>
      <c r="E1029" s="29"/>
      <c r="F1029" s="29"/>
      <c r="G1029" s="29">
        <f>VLOOKUP(F993,F1022:G1025,2,FALSE)</f>
        <v>0</v>
      </c>
      <c r="H1029" s="32"/>
      <c r="I1029" s="54" t="s">
        <v>7</v>
      </c>
      <c r="J1029" s="29"/>
      <c r="K1029" s="29"/>
      <c r="L1029" s="29"/>
      <c r="M1029" s="29">
        <f>VLOOKUP(F993,K1022:M1025,3,FALSE)</f>
        <v>0</v>
      </c>
      <c r="O1029" s="33"/>
    </row>
    <row r="1030" spans="1:15" x14ac:dyDescent="0.2">
      <c r="H1030" s="32"/>
      <c r="O1030" s="33"/>
    </row>
    <row r="1031" spans="1:15" x14ac:dyDescent="0.2">
      <c r="E1031" s="29"/>
      <c r="F1031" s="29"/>
      <c r="G1031" s="29"/>
      <c r="H1031" s="32"/>
      <c r="J1031" s="29"/>
      <c r="K1031" s="29"/>
      <c r="L1031" s="29"/>
      <c r="M1031" s="29"/>
      <c r="O1031" s="33"/>
    </row>
    <row r="1032" spans="1:15" x14ac:dyDescent="0.2">
      <c r="E1032" s="29"/>
      <c r="G1032" s="29"/>
    </row>
    <row r="1034" spans="1:15" x14ac:dyDescent="0.2">
      <c r="E1034" s="9" t="s">
        <v>84</v>
      </c>
      <c r="F1034" s="9" t="s">
        <v>91</v>
      </c>
    </row>
    <row r="1036" spans="1:15" x14ac:dyDescent="0.2">
      <c r="E1036" s="9" t="s">
        <v>84</v>
      </c>
      <c r="F1036" s="9">
        <f>IF(DONBIB!J60=3,M1001*12%,0)</f>
        <v>0</v>
      </c>
      <c r="G1036" s="9">
        <f>IF(F1036&gt;372,372,F1036)</f>
        <v>0</v>
      </c>
      <c r="I1036" s="9" t="s">
        <v>30</v>
      </c>
      <c r="J1036" s="9">
        <f>M1001*6%</f>
        <v>0</v>
      </c>
      <c r="K1036" s="9">
        <f>IF(J1036&gt;186,186,J1036)</f>
        <v>0</v>
      </c>
      <c r="L1036" s="9">
        <f>IF(DONBIB!J60=3,K1036,0)</f>
        <v>0</v>
      </c>
    </row>
    <row r="1037" spans="1:15" x14ac:dyDescent="0.2">
      <c r="F1037" s="9">
        <f>IF(DONBIB!J60=4,M1001*16%,0)</f>
        <v>0</v>
      </c>
      <c r="G1037" s="9">
        <f>IF(F1037&gt;496,496,F1037)</f>
        <v>0</v>
      </c>
      <c r="I1037" s="9" t="s">
        <v>31</v>
      </c>
      <c r="J1037" s="9">
        <f>M1001*8%</f>
        <v>0</v>
      </c>
      <c r="K1037" s="9">
        <f>IF(J1037&gt;248,248,J1037)</f>
        <v>0</v>
      </c>
      <c r="L1037" s="9">
        <f>IF(DONBIB!J60=4,K1037,0)</f>
        <v>0</v>
      </c>
    </row>
    <row r="1038" spans="1:15" x14ac:dyDescent="0.2">
      <c r="F1038" s="9">
        <f>IF(DONBIB!J60=5,M1001*20%,0)</f>
        <v>0</v>
      </c>
      <c r="G1038" s="9">
        <f>IF(F1038&gt;620,620,F1038)</f>
        <v>0</v>
      </c>
      <c r="J1038" s="9">
        <f>M1001*10%</f>
        <v>0</v>
      </c>
      <c r="K1038" s="9">
        <f>IF(J1038&gt;310,310,J1038)</f>
        <v>0</v>
      </c>
      <c r="L1038" s="9">
        <f>IF(DONBIB!J60=5,K1038,0)</f>
        <v>0</v>
      </c>
    </row>
    <row r="1039" spans="1:15" x14ac:dyDescent="0.2">
      <c r="F1039" s="9">
        <f>IF(DONBIB!J60=6,M1001*24%,0)</f>
        <v>0</v>
      </c>
      <c r="G1039" s="9">
        <f>IF(F1039&gt;744,744,F1039)</f>
        <v>0</v>
      </c>
      <c r="J1039" s="9">
        <f>M1001*12%</f>
        <v>0</v>
      </c>
      <c r="K1039" s="9">
        <f>IF(J1039&gt;372,372,J1039)</f>
        <v>0</v>
      </c>
      <c r="L1039" s="9">
        <f>IF(DONBIB!J60=6,K1039,0)</f>
        <v>0</v>
      </c>
    </row>
    <row r="1040" spans="1:15" x14ac:dyDescent="0.2">
      <c r="F1040" s="9">
        <f>IF(DONBIB!J60=7,M1001*28%,0)</f>
        <v>0</v>
      </c>
      <c r="G1040" s="9">
        <f>IF(F1040&gt;868,868,F1040)</f>
        <v>0</v>
      </c>
      <c r="J1040" s="9">
        <f>M1001*14%</f>
        <v>0</v>
      </c>
      <c r="K1040" s="9">
        <f>IF(J1040&gt;434,434,J1040)</f>
        <v>0</v>
      </c>
      <c r="L1040" s="9">
        <f>IF(DONBIB!J60=7,K1040,0)</f>
        <v>0</v>
      </c>
    </row>
    <row r="1041" spans="5:12" x14ac:dyDescent="0.2">
      <c r="F1041" s="9">
        <f>IF(DONBIB!J60=8,M1001*32%,0)</f>
        <v>0</v>
      </c>
      <c r="G1041" s="9">
        <f>IF(F1041&gt;992,992,F1041)</f>
        <v>0</v>
      </c>
      <c r="J1041" s="9">
        <f>M1001*16%</f>
        <v>0</v>
      </c>
      <c r="K1041" s="9">
        <f>IF(J1041&gt;496,496,J1041)</f>
        <v>0</v>
      </c>
      <c r="L1041" s="9">
        <f>IF(DONBIB!J60=8,K1041,0)</f>
        <v>0</v>
      </c>
    </row>
    <row r="1042" spans="5:12" x14ac:dyDescent="0.2">
      <c r="F1042" s="9">
        <f>IF(DONBIB!J60=9,M1001*36%,0)</f>
        <v>0</v>
      </c>
      <c r="G1042" s="9">
        <f>IF(F1042&gt;1116,1116,F1042)</f>
        <v>0</v>
      </c>
      <c r="J1042" s="9">
        <f>M1001*18%</f>
        <v>0</v>
      </c>
      <c r="K1042" s="9">
        <f>IF(J1042&gt;558,558,J1042)</f>
        <v>0</v>
      </c>
      <c r="L1042" s="9">
        <f>IF(DONBIB!J60=9,K1042,0)</f>
        <v>0</v>
      </c>
    </row>
    <row r="1043" spans="5:12" x14ac:dyDescent="0.2">
      <c r="F1043" s="9">
        <f>IF(DONBIB!J60=10,M1001*40%,0)</f>
        <v>0</v>
      </c>
      <c r="G1043" s="9">
        <f>IF(F1043&gt;1240,1240,F1043)</f>
        <v>0</v>
      </c>
      <c r="J1043" s="9">
        <f>M1001*20%</f>
        <v>0</v>
      </c>
      <c r="K1043" s="9">
        <f>IF(J1043&gt;620,620,J1043)</f>
        <v>0</v>
      </c>
      <c r="L1043" s="9">
        <f>IF(DONBIB!J60=10,K1043,0)</f>
        <v>0</v>
      </c>
    </row>
    <row r="1045" spans="5:12" x14ac:dyDescent="0.2">
      <c r="G1045" s="9">
        <f>SUM(G1036:G1044)</f>
        <v>0</v>
      </c>
      <c r="L1045" s="9">
        <f>SUM(L1036:L1044)</f>
        <v>0</v>
      </c>
    </row>
    <row r="1046" spans="5:12" x14ac:dyDescent="0.2">
      <c r="G1046" s="22"/>
    </row>
    <row r="1047" spans="5:12" x14ac:dyDescent="0.2">
      <c r="G1047" s="22"/>
    </row>
    <row r="1048" spans="5:12" x14ac:dyDescent="0.2">
      <c r="G1048" s="22"/>
    </row>
    <row r="1049" spans="5:12" x14ac:dyDescent="0.2">
      <c r="E1049" s="9" t="s">
        <v>32</v>
      </c>
      <c r="F1049" s="23">
        <f>M1001-G1045</f>
        <v>0</v>
      </c>
      <c r="G1049" s="22"/>
      <c r="H1049" s="9" t="s">
        <v>33</v>
      </c>
      <c r="I1049" s="56">
        <f>M1001-L1045</f>
        <v>0</v>
      </c>
    </row>
    <row r="1050" spans="5:12" x14ac:dyDescent="0.2">
      <c r="E1050" s="29"/>
      <c r="G1050" s="29"/>
    </row>
    <row r="1051" spans="5:12" x14ac:dyDescent="0.2">
      <c r="E1051" s="29"/>
      <c r="G1051" s="29"/>
    </row>
    <row r="1052" spans="5:12" x14ac:dyDescent="0.2">
      <c r="E1052" s="29"/>
      <c r="G1052" s="29"/>
    </row>
    <row r="1053" spans="5:12" x14ac:dyDescent="0.2">
      <c r="E1053" s="29"/>
      <c r="G1053" s="29"/>
    </row>
    <row r="1054" spans="5:12" x14ac:dyDescent="0.2">
      <c r="E1054" s="29"/>
      <c r="G1054" s="29"/>
    </row>
    <row r="1055" spans="5:12" x14ac:dyDescent="0.2">
      <c r="E1055" s="29"/>
      <c r="G1055" s="29"/>
    </row>
    <row r="1056" spans="5:12" x14ac:dyDescent="0.2">
      <c r="E1056" s="29"/>
      <c r="G1056" s="29"/>
    </row>
    <row r="1057" spans="5:7" x14ac:dyDescent="0.2">
      <c r="E1057" s="29"/>
      <c r="G1057" s="29"/>
    </row>
    <row r="1058" spans="5:7" x14ac:dyDescent="0.2">
      <c r="E1058" s="29"/>
      <c r="G1058" s="29"/>
    </row>
    <row r="1059" spans="5:7" x14ac:dyDescent="0.2">
      <c r="E1059" s="29"/>
      <c r="G1059" s="29"/>
    </row>
    <row r="1060" spans="5:7" x14ac:dyDescent="0.2">
      <c r="E1060" s="29"/>
      <c r="G1060" s="29"/>
    </row>
    <row r="1061" spans="5:7" x14ac:dyDescent="0.2">
      <c r="E1061" s="29"/>
      <c r="G1061" s="29"/>
    </row>
    <row r="1062" spans="5:7" x14ac:dyDescent="0.2">
      <c r="E1062" s="29"/>
      <c r="G1062" s="29"/>
    </row>
    <row r="1063" spans="5:7" x14ac:dyDescent="0.2">
      <c r="E1063" s="29"/>
      <c r="G1063" s="29"/>
    </row>
    <row r="1064" spans="5:7" x14ac:dyDescent="0.2">
      <c r="E1064" s="29"/>
      <c r="G1064" s="29"/>
    </row>
    <row r="1065" spans="5:7" x14ac:dyDescent="0.2">
      <c r="E1065" s="29"/>
      <c r="G1065" s="29"/>
    </row>
    <row r="1066" spans="5:7" x14ac:dyDescent="0.2">
      <c r="E1066" s="29"/>
      <c r="G1066" s="29"/>
    </row>
    <row r="1067" spans="5:7" x14ac:dyDescent="0.2">
      <c r="E1067" s="29"/>
      <c r="G1067" s="29"/>
    </row>
    <row r="1068" spans="5:7" x14ac:dyDescent="0.2">
      <c r="E1068" s="29"/>
      <c r="G1068" s="29"/>
    </row>
    <row r="1069" spans="5:7" x14ac:dyDescent="0.2">
      <c r="E1069" s="29"/>
      <c r="G1069" s="29"/>
    </row>
    <row r="1070" spans="5:7" x14ac:dyDescent="0.2">
      <c r="E1070" s="29"/>
      <c r="G1070" s="29"/>
    </row>
    <row r="1071" spans="5:7" x14ac:dyDescent="0.2">
      <c r="E1071" s="29"/>
      <c r="G1071" s="29"/>
    </row>
    <row r="1072" spans="5:7" x14ac:dyDescent="0.2">
      <c r="E1072" s="29"/>
      <c r="G1072" s="29"/>
    </row>
    <row r="1073" spans="5:7" x14ac:dyDescent="0.2">
      <c r="E1073" s="29"/>
      <c r="G1073" s="29"/>
    </row>
    <row r="1074" spans="5:7" x14ac:dyDescent="0.2">
      <c r="E1074" s="29"/>
      <c r="G1074" s="29"/>
    </row>
    <row r="1075" spans="5:7" x14ac:dyDescent="0.2">
      <c r="E1075" s="29"/>
      <c r="G1075" s="29"/>
    </row>
    <row r="1076" spans="5:7" x14ac:dyDescent="0.2">
      <c r="E1076" s="29"/>
      <c r="G1076" s="29"/>
    </row>
    <row r="1077" spans="5:7" x14ac:dyDescent="0.2">
      <c r="E1077" s="29"/>
      <c r="G1077" s="29"/>
    </row>
    <row r="1078" spans="5:7" x14ac:dyDescent="0.2">
      <c r="E1078" s="29"/>
      <c r="G1078" s="29"/>
    </row>
    <row r="1079" spans="5:7" x14ac:dyDescent="0.2">
      <c r="E1079" s="29"/>
      <c r="G1079" s="29"/>
    </row>
    <row r="1080" spans="5:7" x14ac:dyDescent="0.2">
      <c r="E1080" s="29"/>
      <c r="G1080" s="29"/>
    </row>
    <row r="1081" spans="5:7" x14ac:dyDescent="0.2">
      <c r="E1081" s="29"/>
      <c r="G1081" s="29"/>
    </row>
    <row r="1082" spans="5:7" x14ac:dyDescent="0.2">
      <c r="E1082" s="29"/>
      <c r="G1082" s="29"/>
    </row>
    <row r="1083" spans="5:7" x14ac:dyDescent="0.2">
      <c r="E1083" s="29"/>
      <c r="G1083" s="29"/>
    </row>
    <row r="1084" spans="5:7" x14ac:dyDescent="0.2">
      <c r="E1084" s="29"/>
      <c r="G1084" s="29"/>
    </row>
    <row r="1085" spans="5:7" x14ac:dyDescent="0.2">
      <c r="E1085" s="29"/>
      <c r="G1085" s="29"/>
    </row>
    <row r="1086" spans="5:7" x14ac:dyDescent="0.2">
      <c r="E1086" s="29"/>
      <c r="G1086" s="29"/>
    </row>
    <row r="1087" spans="5:7" x14ac:dyDescent="0.2">
      <c r="E1087" s="29"/>
      <c r="G1087" s="29"/>
    </row>
    <row r="1088" spans="5:7" x14ac:dyDescent="0.2">
      <c r="E1088" s="29"/>
      <c r="G1088" s="29"/>
    </row>
    <row r="1089" spans="5:7" x14ac:dyDescent="0.2">
      <c r="E1089" s="29"/>
      <c r="G1089" s="29"/>
    </row>
    <row r="1090" spans="5:7" x14ac:dyDescent="0.2">
      <c r="E1090" s="29"/>
      <c r="G1090" s="29"/>
    </row>
    <row r="1091" spans="5:7" x14ac:dyDescent="0.2">
      <c r="E1091" s="29"/>
      <c r="G1091" s="29"/>
    </row>
    <row r="1092" spans="5:7" x14ac:dyDescent="0.2">
      <c r="E1092" s="29"/>
      <c r="G1092" s="29"/>
    </row>
    <row r="1093" spans="5:7" x14ac:dyDescent="0.2">
      <c r="E1093" s="29"/>
      <c r="G1093" s="29"/>
    </row>
    <row r="1094" spans="5:7" x14ac:dyDescent="0.2">
      <c r="E1094" s="29"/>
      <c r="G1094" s="29"/>
    </row>
    <row r="1095" spans="5:7" x14ac:dyDescent="0.2">
      <c r="E1095" s="29"/>
      <c r="G1095" s="29"/>
    </row>
    <row r="1096" spans="5:7" x14ac:dyDescent="0.2">
      <c r="E1096" s="29"/>
      <c r="G1096" s="29"/>
    </row>
    <row r="1097" spans="5:7" x14ac:dyDescent="0.2">
      <c r="E1097" s="29"/>
      <c r="G1097" s="29"/>
    </row>
    <row r="1098" spans="5:7" x14ac:dyDescent="0.2">
      <c r="E1098" s="29"/>
      <c r="G1098" s="29"/>
    </row>
    <row r="1099" spans="5:7" x14ac:dyDescent="0.2">
      <c r="E1099" s="29"/>
      <c r="G1099" s="29"/>
    </row>
    <row r="1100" spans="5:7" x14ac:dyDescent="0.2">
      <c r="E1100" s="29"/>
      <c r="G1100" s="29"/>
    </row>
    <row r="1101" spans="5:7" x14ac:dyDescent="0.2">
      <c r="E1101" s="29"/>
      <c r="G1101" s="29"/>
    </row>
    <row r="1102" spans="5:7" x14ac:dyDescent="0.2">
      <c r="E1102" s="29"/>
      <c r="G1102" s="29"/>
    </row>
    <row r="1103" spans="5:7" x14ac:dyDescent="0.2">
      <c r="E1103" s="29"/>
      <c r="G1103" s="29"/>
    </row>
    <row r="1104" spans="5:7" x14ac:dyDescent="0.2">
      <c r="E1104" s="29"/>
      <c r="G1104" s="29"/>
    </row>
    <row r="1105" spans="5:7" x14ac:dyDescent="0.2">
      <c r="E1105" s="29"/>
      <c r="G1105" s="29"/>
    </row>
    <row r="1106" spans="5:7" x14ac:dyDescent="0.2">
      <c r="E1106" s="29"/>
      <c r="G1106" s="29"/>
    </row>
    <row r="1107" spans="5:7" x14ac:dyDescent="0.2">
      <c r="E1107" s="29"/>
      <c r="G1107" s="29"/>
    </row>
    <row r="1108" spans="5:7" x14ac:dyDescent="0.2">
      <c r="E1108" s="29"/>
      <c r="G1108" s="29"/>
    </row>
    <row r="1109" spans="5:7" x14ac:dyDescent="0.2">
      <c r="E1109" s="29"/>
      <c r="G1109" s="29"/>
    </row>
    <row r="1110" spans="5:7" x14ac:dyDescent="0.2">
      <c r="E1110" s="29"/>
      <c r="G1110" s="29"/>
    </row>
    <row r="1111" spans="5:7" x14ac:dyDescent="0.2">
      <c r="E1111" s="29"/>
      <c r="G1111" s="29"/>
    </row>
    <row r="1112" spans="5:7" x14ac:dyDescent="0.2">
      <c r="E1112" s="29"/>
      <c r="G1112" s="29"/>
    </row>
    <row r="1113" spans="5:7" x14ac:dyDescent="0.2">
      <c r="E1113" s="29"/>
      <c r="G1113" s="29"/>
    </row>
    <row r="1114" spans="5:7" x14ac:dyDescent="0.2">
      <c r="E1114" s="29"/>
      <c r="G1114" s="29"/>
    </row>
    <row r="1115" spans="5:7" x14ac:dyDescent="0.2">
      <c r="E1115" s="29"/>
      <c r="G1115" s="29"/>
    </row>
    <row r="1116" spans="5:7" x14ac:dyDescent="0.2">
      <c r="E1116" s="29"/>
      <c r="G1116" s="29"/>
    </row>
    <row r="1117" spans="5:7" x14ac:dyDescent="0.2">
      <c r="E1117" s="29"/>
      <c r="G1117" s="29"/>
    </row>
    <row r="1118" spans="5:7" x14ac:dyDescent="0.2">
      <c r="E1118" s="29"/>
      <c r="G1118" s="29"/>
    </row>
    <row r="1119" spans="5:7" x14ac:dyDescent="0.2">
      <c r="E1119" s="29"/>
      <c r="G1119" s="29"/>
    </row>
    <row r="1120" spans="5:7" x14ac:dyDescent="0.2">
      <c r="E1120" s="29"/>
      <c r="G1120" s="29"/>
    </row>
    <row r="1121" spans="5:7" x14ac:dyDescent="0.2">
      <c r="E1121" s="29"/>
      <c r="G1121" s="29"/>
    </row>
    <row r="1122" spans="5:7" x14ac:dyDescent="0.2">
      <c r="E1122" s="29"/>
      <c r="G1122" s="29"/>
    </row>
    <row r="1123" spans="5:7" x14ac:dyDescent="0.2">
      <c r="E1123" s="29"/>
      <c r="G1123" s="29"/>
    </row>
    <row r="1124" spans="5:7" x14ac:dyDescent="0.2">
      <c r="E1124" s="29"/>
      <c r="G1124" s="29"/>
    </row>
    <row r="1125" spans="5:7" x14ac:dyDescent="0.2">
      <c r="E1125" s="29"/>
      <c r="G1125" s="29"/>
    </row>
    <row r="1126" spans="5:7" x14ac:dyDescent="0.2">
      <c r="E1126" s="29"/>
      <c r="G1126" s="29"/>
    </row>
    <row r="1127" spans="5:7" x14ac:dyDescent="0.2">
      <c r="E1127" s="29"/>
      <c r="G1127" s="29"/>
    </row>
    <row r="1128" spans="5:7" x14ac:dyDescent="0.2">
      <c r="E1128" s="29"/>
      <c r="G1128" s="29"/>
    </row>
    <row r="1129" spans="5:7" x14ac:dyDescent="0.2">
      <c r="E1129" s="29"/>
      <c r="G1129" s="29"/>
    </row>
    <row r="1130" spans="5:7" x14ac:dyDescent="0.2">
      <c r="E1130" s="29"/>
      <c r="G1130" s="29"/>
    </row>
    <row r="1131" spans="5:7" x14ac:dyDescent="0.2">
      <c r="E1131" s="29"/>
      <c r="G1131" s="29"/>
    </row>
    <row r="1132" spans="5:7" x14ac:dyDescent="0.2">
      <c r="E1132" s="29"/>
      <c r="G1132" s="29"/>
    </row>
    <row r="1133" spans="5:7" x14ac:dyDescent="0.2">
      <c r="E1133" s="29"/>
      <c r="G1133" s="29"/>
    </row>
    <row r="1134" spans="5:7" x14ac:dyDescent="0.2">
      <c r="E1134" s="29"/>
      <c r="G1134" s="29"/>
    </row>
    <row r="1135" spans="5:7" x14ac:dyDescent="0.2">
      <c r="E1135" s="29"/>
      <c r="G1135" s="29"/>
    </row>
    <row r="1136" spans="5:7" x14ac:dyDescent="0.2">
      <c r="E1136" s="29"/>
      <c r="G1136" s="29"/>
    </row>
    <row r="1137" spans="5:7" x14ac:dyDescent="0.2">
      <c r="E1137" s="29"/>
      <c r="G1137" s="29"/>
    </row>
    <row r="1138" spans="5:7" x14ac:dyDescent="0.2">
      <c r="E1138" s="29"/>
      <c r="G1138" s="29"/>
    </row>
    <row r="1139" spans="5:7" x14ac:dyDescent="0.2">
      <c r="E1139" s="29"/>
      <c r="G1139" s="29"/>
    </row>
    <row r="1140" spans="5:7" x14ac:dyDescent="0.2">
      <c r="E1140" s="29"/>
      <c r="G1140" s="29"/>
    </row>
    <row r="1141" spans="5:7" x14ac:dyDescent="0.2">
      <c r="E1141" s="29"/>
      <c r="G1141" s="29"/>
    </row>
    <row r="1142" spans="5:7" x14ac:dyDescent="0.2">
      <c r="E1142" s="29"/>
      <c r="G1142" s="29"/>
    </row>
    <row r="1143" spans="5:7" x14ac:dyDescent="0.2">
      <c r="E1143" s="29"/>
      <c r="G1143" s="29"/>
    </row>
    <row r="1144" spans="5:7" x14ac:dyDescent="0.2">
      <c r="E1144" s="29"/>
      <c r="G1144" s="29"/>
    </row>
    <row r="1145" spans="5:7" x14ac:dyDescent="0.2">
      <c r="E1145" s="29"/>
      <c r="G1145" s="29"/>
    </row>
    <row r="1146" spans="5:7" x14ac:dyDescent="0.2">
      <c r="E1146" s="29"/>
      <c r="G1146" s="29"/>
    </row>
    <row r="1147" spans="5:7" x14ac:dyDescent="0.2">
      <c r="E1147" s="29"/>
      <c r="G1147" s="29"/>
    </row>
    <row r="1148" spans="5:7" x14ac:dyDescent="0.2">
      <c r="E1148" s="29"/>
      <c r="G1148" s="29"/>
    </row>
    <row r="1149" spans="5:7" x14ac:dyDescent="0.2">
      <c r="E1149" s="29"/>
      <c r="G1149" s="29"/>
    </row>
    <row r="1150" spans="5:7" x14ac:dyDescent="0.2">
      <c r="E1150" s="29"/>
      <c r="G1150" s="29"/>
    </row>
    <row r="1151" spans="5:7" x14ac:dyDescent="0.2">
      <c r="E1151" s="29"/>
      <c r="G1151" s="29"/>
    </row>
    <row r="1152" spans="5:7" x14ac:dyDescent="0.2">
      <c r="E1152" s="29"/>
      <c r="G1152" s="29"/>
    </row>
    <row r="1153" spans="5:7" x14ac:dyDescent="0.2">
      <c r="E1153" s="29"/>
      <c r="G1153" s="29"/>
    </row>
    <row r="1154" spans="5:7" x14ac:dyDescent="0.2">
      <c r="E1154" s="29"/>
      <c r="G1154" s="29"/>
    </row>
    <row r="1155" spans="5:7" x14ac:dyDescent="0.2">
      <c r="E1155" s="29"/>
      <c r="G1155" s="29"/>
    </row>
    <row r="1156" spans="5:7" x14ac:dyDescent="0.2">
      <c r="E1156" s="29"/>
      <c r="G1156" s="29"/>
    </row>
    <row r="1157" spans="5:7" x14ac:dyDescent="0.2">
      <c r="E1157" s="29"/>
      <c r="G1157" s="29"/>
    </row>
    <row r="1158" spans="5:7" x14ac:dyDescent="0.2">
      <c r="E1158" s="29"/>
      <c r="G1158" s="29"/>
    </row>
    <row r="1159" spans="5:7" x14ac:dyDescent="0.2">
      <c r="E1159" s="29"/>
      <c r="G1159" s="29"/>
    </row>
    <row r="1160" spans="5:7" x14ac:dyDescent="0.2">
      <c r="E1160" s="29"/>
      <c r="G1160" s="29"/>
    </row>
    <row r="1161" spans="5:7" x14ac:dyDescent="0.2">
      <c r="E1161" s="29"/>
      <c r="G1161" s="29"/>
    </row>
    <row r="1162" spans="5:7" x14ac:dyDescent="0.2">
      <c r="E1162" s="29"/>
      <c r="G1162" s="29"/>
    </row>
    <row r="1163" spans="5:7" x14ac:dyDescent="0.2">
      <c r="E1163" s="29"/>
      <c r="G1163" s="29"/>
    </row>
    <row r="1164" spans="5:7" x14ac:dyDescent="0.2">
      <c r="E1164" s="29"/>
      <c r="G1164" s="29"/>
    </row>
    <row r="1165" spans="5:7" x14ac:dyDescent="0.2">
      <c r="E1165" s="29"/>
      <c r="G1165" s="29"/>
    </row>
    <row r="1166" spans="5:7" x14ac:dyDescent="0.2">
      <c r="E1166" s="29"/>
      <c r="G1166" s="29"/>
    </row>
    <row r="1167" spans="5:7" x14ac:dyDescent="0.2">
      <c r="E1167" s="29"/>
      <c r="G1167" s="29"/>
    </row>
    <row r="1168" spans="5:7" x14ac:dyDescent="0.2">
      <c r="E1168" s="29"/>
      <c r="G1168" s="29"/>
    </row>
    <row r="1169" spans="5:7" x14ac:dyDescent="0.2">
      <c r="E1169" s="29"/>
      <c r="G1169" s="29"/>
    </row>
    <row r="1170" spans="5:7" x14ac:dyDescent="0.2">
      <c r="E1170" s="29"/>
      <c r="G1170" s="29"/>
    </row>
    <row r="1171" spans="5:7" x14ac:dyDescent="0.2">
      <c r="E1171" s="29"/>
      <c r="G1171" s="29"/>
    </row>
    <row r="1172" spans="5:7" x14ac:dyDescent="0.2">
      <c r="E1172" s="29"/>
      <c r="G1172" s="29"/>
    </row>
    <row r="1173" spans="5:7" x14ac:dyDescent="0.2">
      <c r="E1173" s="29"/>
      <c r="G1173" s="29"/>
    </row>
    <row r="1174" spans="5:7" x14ac:dyDescent="0.2">
      <c r="E1174" s="29"/>
      <c r="G1174" s="29"/>
    </row>
    <row r="1175" spans="5:7" x14ac:dyDescent="0.2">
      <c r="E1175" s="29"/>
      <c r="G1175" s="29"/>
    </row>
    <row r="1176" spans="5:7" x14ac:dyDescent="0.2">
      <c r="E1176" s="29"/>
      <c r="G1176" s="29"/>
    </row>
    <row r="1177" spans="5:7" x14ac:dyDescent="0.2">
      <c r="E1177" s="29"/>
      <c r="G1177" s="29"/>
    </row>
    <row r="1178" spans="5:7" x14ac:dyDescent="0.2">
      <c r="E1178" s="29"/>
      <c r="G1178" s="29"/>
    </row>
    <row r="1179" spans="5:7" x14ac:dyDescent="0.2">
      <c r="E1179" s="29"/>
      <c r="G1179" s="29"/>
    </row>
    <row r="1180" spans="5:7" x14ac:dyDescent="0.2">
      <c r="E1180" s="29"/>
      <c r="G1180" s="29"/>
    </row>
    <row r="1181" spans="5:7" x14ac:dyDescent="0.2">
      <c r="E1181" s="29"/>
      <c r="G1181" s="29"/>
    </row>
    <row r="1182" spans="5:7" x14ac:dyDescent="0.2">
      <c r="E1182" s="29"/>
      <c r="G1182" s="29"/>
    </row>
    <row r="1183" spans="5:7" x14ac:dyDescent="0.2">
      <c r="E1183" s="29"/>
      <c r="G1183" s="29"/>
    </row>
    <row r="1184" spans="5:7" x14ac:dyDescent="0.2">
      <c r="E1184" s="29"/>
      <c r="G1184" s="29"/>
    </row>
    <row r="1185" spans="5:7" x14ac:dyDescent="0.2">
      <c r="E1185" s="29"/>
      <c r="G1185" s="29"/>
    </row>
    <row r="1186" spans="5:7" x14ac:dyDescent="0.2">
      <c r="E1186" s="29"/>
      <c r="G1186" s="29"/>
    </row>
    <row r="1187" spans="5:7" x14ac:dyDescent="0.2">
      <c r="E1187" s="29"/>
      <c r="G1187" s="29"/>
    </row>
    <row r="1188" spans="5:7" x14ac:dyDescent="0.2">
      <c r="E1188" s="29"/>
      <c r="G1188" s="29"/>
    </row>
    <row r="1189" spans="5:7" x14ac:dyDescent="0.2">
      <c r="E1189" s="29"/>
      <c r="G1189" s="29"/>
    </row>
    <row r="1190" spans="5:7" x14ac:dyDescent="0.2">
      <c r="E1190" s="29"/>
      <c r="G1190" s="29"/>
    </row>
    <row r="1191" spans="5:7" x14ac:dyDescent="0.2">
      <c r="E1191" s="29"/>
      <c r="G1191" s="29"/>
    </row>
    <row r="1192" spans="5:7" x14ac:dyDescent="0.2">
      <c r="E1192" s="29"/>
      <c r="G1192" s="29"/>
    </row>
    <row r="1193" spans="5:7" x14ac:dyDescent="0.2">
      <c r="E1193" s="29"/>
      <c r="G1193" s="29"/>
    </row>
    <row r="1194" spans="5:7" x14ac:dyDescent="0.2">
      <c r="E1194" s="29"/>
      <c r="G1194" s="29"/>
    </row>
    <row r="1195" spans="5:7" x14ac:dyDescent="0.2">
      <c r="E1195" s="29"/>
      <c r="G1195" s="29"/>
    </row>
    <row r="1196" spans="5:7" x14ac:dyDescent="0.2">
      <c r="E1196" s="29"/>
      <c r="G1196" s="29"/>
    </row>
    <row r="1197" spans="5:7" x14ac:dyDescent="0.2">
      <c r="E1197" s="29"/>
      <c r="G1197" s="29"/>
    </row>
    <row r="1198" spans="5:7" x14ac:dyDescent="0.2">
      <c r="E1198" s="29"/>
      <c r="G1198" s="29"/>
    </row>
    <row r="1199" spans="5:7" x14ac:dyDescent="0.2">
      <c r="E1199" s="29"/>
      <c r="G1199" s="29"/>
    </row>
    <row r="1200" spans="5:7" x14ac:dyDescent="0.2">
      <c r="E1200" s="29"/>
      <c r="G1200" s="29"/>
    </row>
    <row r="1201" spans="1:16" x14ac:dyDescent="0.2">
      <c r="E1201" s="29"/>
      <c r="G1201" s="29"/>
    </row>
    <row r="1202" spans="1:16" x14ac:dyDescent="0.2">
      <c r="E1202" s="29"/>
      <c r="G1202" s="29"/>
    </row>
    <row r="1203" spans="1:16" x14ac:dyDescent="0.2">
      <c r="E1203" s="29"/>
      <c r="G1203" s="29"/>
    </row>
    <row r="1204" spans="1:16" x14ac:dyDescent="0.2">
      <c r="E1204" s="29"/>
      <c r="G1204" s="29"/>
    </row>
    <row r="1205" spans="1:16" x14ac:dyDescent="0.2">
      <c r="E1205" s="29"/>
      <c r="G1205" s="29"/>
    </row>
    <row r="1206" spans="1:16" x14ac:dyDescent="0.2">
      <c r="E1206" s="29"/>
      <c r="G1206" s="29"/>
    </row>
    <row r="1207" spans="1:16" x14ac:dyDescent="0.2">
      <c r="E1207" s="29"/>
      <c r="G1207" s="29"/>
    </row>
    <row r="1208" spans="1:16" x14ac:dyDescent="0.2">
      <c r="E1208" s="29"/>
      <c r="G1208" s="29"/>
    </row>
    <row r="1209" spans="1:16" x14ac:dyDescent="0.2">
      <c r="A1209" s="42"/>
      <c r="B1209" s="42"/>
      <c r="C1209" s="42"/>
      <c r="D1209" s="42"/>
      <c r="E1209" s="29"/>
      <c r="F1209" s="52"/>
      <c r="G1209" s="29"/>
      <c r="H1209" s="29"/>
      <c r="I1209" s="53"/>
      <c r="J1209" s="50"/>
      <c r="K1209" s="53"/>
      <c r="L1209" s="53"/>
      <c r="M1209" s="53"/>
      <c r="O1209" s="9" t="e">
        <f>IF(AND(#REF!="oui",#REF!="ligne directe"),H1222*E6*#REF!+(G1222*E6*(1-#REF!)),0)</f>
        <v>#REF!</v>
      </c>
    </row>
    <row r="1210" spans="1:16" x14ac:dyDescent="0.2">
      <c r="A1210" s="29" t="s">
        <v>4</v>
      </c>
      <c r="B1210" s="29"/>
      <c r="C1210" s="29"/>
      <c r="D1210" s="29"/>
      <c r="E1210" s="29"/>
      <c r="F1210" s="29">
        <f>E7</f>
        <v>0</v>
      </c>
      <c r="G1210" s="49"/>
      <c r="H1210" s="29"/>
      <c r="I1210" s="29"/>
      <c r="J1210" s="50"/>
      <c r="K1210" s="29"/>
      <c r="L1210" s="29"/>
      <c r="M1210" s="29"/>
      <c r="O1210" s="9" t="e">
        <f>IF(AND(#REF!="non",#REF!="ligne directe"),G1222,0)*E6</f>
        <v>#REF!</v>
      </c>
    </row>
    <row r="1211" spans="1:16" x14ac:dyDescent="0.2">
      <c r="A1211" s="29"/>
      <c r="B1211" s="29"/>
      <c r="C1211" s="29"/>
      <c r="D1211" s="29"/>
      <c r="E1211" s="29"/>
      <c r="F1211" s="29"/>
      <c r="G1211" s="29"/>
      <c r="H1211" s="29"/>
      <c r="I1211" s="29"/>
      <c r="J1211" s="50"/>
      <c r="K1211" s="29"/>
      <c r="L1211" s="29"/>
      <c r="M1211" s="29"/>
      <c r="O1211" s="9" t="e">
        <f>IF(#REF!="frère/soeur",G1233,0)*E6</f>
        <v>#REF!</v>
      </c>
    </row>
    <row r="1212" spans="1:16" x14ac:dyDescent="0.2">
      <c r="A1212" s="52" t="s">
        <v>5</v>
      </c>
      <c r="B1212" s="52"/>
      <c r="C1212" s="52"/>
      <c r="D1212" s="52"/>
      <c r="E1212" s="29"/>
      <c r="F1212" s="29"/>
      <c r="G1212" s="53" t="s">
        <v>6</v>
      </c>
      <c r="H1212" s="53" t="s">
        <v>25</v>
      </c>
      <c r="I1212" s="29"/>
      <c r="J1212" s="50"/>
      <c r="K1212" s="29"/>
      <c r="L1212" s="29"/>
      <c r="M1212" s="29"/>
      <c r="O1212" s="9" t="e">
        <f>IF(#REF!="oncle-tante/neveu-nièce",G1246,0)*E6</f>
        <v>#REF!</v>
      </c>
    </row>
    <row r="1213" spans="1:16" x14ac:dyDescent="0.2">
      <c r="A1213" s="29">
        <v>0</v>
      </c>
      <c r="B1213" s="29"/>
      <c r="C1213" s="29"/>
      <c r="D1213" s="29"/>
      <c r="E1213" s="29">
        <v>50000</v>
      </c>
      <c r="F1213" s="29">
        <f>IF(AND(F1210&gt;A1213, F1210&lt;=E1213),F1210,0)</f>
        <v>0</v>
      </c>
      <c r="G1213" s="29">
        <f>0+(3/100)*(-A1213+F1213)</f>
        <v>0</v>
      </c>
      <c r="H1213" s="29">
        <f>0+(2/100)*(-A1213+F1213)</f>
        <v>0</v>
      </c>
      <c r="I1213" s="29"/>
      <c r="J1213" s="50"/>
      <c r="K1213" s="29"/>
      <c r="L1213" s="29"/>
      <c r="M1213" s="29"/>
      <c r="O1213" s="9" t="e">
        <f>IF(#REF!="étrangers",M1246,0)*E6</f>
        <v>#REF!</v>
      </c>
      <c r="P1213" s="29"/>
    </row>
    <row r="1214" spans="1:16" x14ac:dyDescent="0.2">
      <c r="A1214" s="29">
        <f>E1213</f>
        <v>50000</v>
      </c>
      <c r="B1214" s="29"/>
      <c r="C1214" s="29"/>
      <c r="D1214" s="29"/>
      <c r="E1214" s="29">
        <v>100000</v>
      </c>
      <c r="F1214" s="29">
        <f>IF(AND(F1210&gt;A1214, F1210&lt;=E1214),F1210,0)</f>
        <v>0</v>
      </c>
      <c r="G1214" s="29">
        <f>(50000/100*3)+(8/100)*(-A1214+F1214)</f>
        <v>-2500</v>
      </c>
      <c r="H1214" s="29">
        <f>(50000/100*2)+(5.3/100)*(-A1214+F1214)</f>
        <v>-1650</v>
      </c>
      <c r="I1214" s="29"/>
      <c r="J1214" s="50"/>
      <c r="K1214" s="29"/>
      <c r="L1214" s="29"/>
      <c r="M1214" s="29"/>
      <c r="P1214" s="29"/>
    </row>
    <row r="1215" spans="1:16" x14ac:dyDescent="0.2">
      <c r="A1215" s="29">
        <f>E1214</f>
        <v>100000</v>
      </c>
      <c r="B1215" s="29"/>
      <c r="C1215" s="29"/>
      <c r="D1215" s="29"/>
      <c r="E1215" s="29">
        <v>175000</v>
      </c>
      <c r="F1215" s="29">
        <f>IF(AND(F1210&gt;A1215, F1210&lt;=E1215),F1210,0)</f>
        <v>0</v>
      </c>
      <c r="G1215" s="29">
        <f>(50000/100*3)+(50000/100*8)+((9/100)*(-A1215+F1215))</f>
        <v>-3500</v>
      </c>
      <c r="H1215" s="29">
        <f>(50000/100*2)+(50000/100*5.3)+((6/100)*(-A1215+F1215))</f>
        <v>-2350</v>
      </c>
      <c r="I1215" s="29"/>
      <c r="J1215" s="50"/>
      <c r="K1215" s="29"/>
      <c r="L1215" s="29"/>
      <c r="M1215" s="29"/>
      <c r="O1215" s="9" t="e">
        <f>SUM(O1209:O1214)</f>
        <v>#REF!</v>
      </c>
    </row>
    <row r="1216" spans="1:16" x14ac:dyDescent="0.2">
      <c r="A1216" s="29">
        <f>E1215</f>
        <v>175000</v>
      </c>
      <c r="B1216" s="29"/>
      <c r="C1216" s="29"/>
      <c r="D1216" s="29"/>
      <c r="E1216" s="29">
        <v>250000</v>
      </c>
      <c r="F1216" s="29">
        <f>IF(AND(F1210&gt;A1216, F1210&lt;=E1216),F1210,0)</f>
        <v>0</v>
      </c>
      <c r="G1216" s="29">
        <f>(50000/100*3)+(50000/100*8)+(75000/100*9)+((18/100)*(-A1216+F1216))</f>
        <v>-19250</v>
      </c>
      <c r="H1216" s="29">
        <f>(50000/100*2)+(50000/100*5.3)+(75000/100*6)+((12/100)*(-A1216+F1216))</f>
        <v>-12850</v>
      </c>
      <c r="I1216" s="29"/>
      <c r="J1216" s="50"/>
      <c r="K1216" s="29"/>
      <c r="L1216" s="29"/>
      <c r="M1216" s="29"/>
    </row>
    <row r="1217" spans="1:13" x14ac:dyDescent="0.2">
      <c r="A1217" s="29">
        <f>E1216</f>
        <v>250000</v>
      </c>
      <c r="B1217" s="29"/>
      <c r="C1217" s="29"/>
      <c r="D1217" s="29"/>
      <c r="E1217" s="29">
        <v>500000</v>
      </c>
      <c r="F1217" s="29">
        <f>IF(AND(F1210&gt;A1217, F1210&lt;=E1217),F1210,0)</f>
        <v>0</v>
      </c>
      <c r="G1217" s="29">
        <f>(50000/100*3)+(50000/100*8)+(75000/100*9)+(75000/100*18)+((24/100)*(-A1217+F1217))</f>
        <v>-34250</v>
      </c>
      <c r="H1217" s="29">
        <f>(50000/100*2)+(50000/100*5.3)+(75000/100*6)+(75000/100*12)+((24/100)*(-A1217+F1217))</f>
        <v>-42850</v>
      </c>
      <c r="I1217" s="29"/>
      <c r="J1217" s="29"/>
      <c r="K1217" s="29"/>
      <c r="L1217" s="29"/>
      <c r="M1217" s="29"/>
    </row>
    <row r="1218" spans="1:13" x14ac:dyDescent="0.2">
      <c r="A1218" s="29">
        <f>E1217</f>
        <v>500000</v>
      </c>
      <c r="B1218" s="29"/>
      <c r="C1218" s="29"/>
      <c r="D1218" s="29"/>
      <c r="E1218" s="29">
        <v>999999999</v>
      </c>
      <c r="F1218" s="29">
        <f>IF(AND(F1210&gt;A1218, F1210&lt;=E1218),F1210,0)</f>
        <v>0</v>
      </c>
      <c r="G1218" s="29">
        <f>(50000/100*3)+(50000/100*8)+(75000/100*9)+(75000/100*18)+(250000/100*24)+((30/100)*(-A1218+F1218))</f>
        <v>-64250</v>
      </c>
      <c r="H1218" s="29">
        <f>(50000/100*2)+(50000/100*5.3)+(75000/100*6)+(75000/100*12)+(250000/100*24)+((30/100)*(-A1218+F1218))</f>
        <v>-72850</v>
      </c>
      <c r="I1218" s="29"/>
      <c r="J1218" s="29"/>
      <c r="K1218" s="29"/>
      <c r="L1218" s="29"/>
      <c r="M1218" s="29"/>
    </row>
    <row r="1219" spans="1:13" x14ac:dyDescent="0.2">
      <c r="A1219" s="29"/>
      <c r="B1219" s="29"/>
      <c r="C1219" s="29"/>
      <c r="D1219" s="29"/>
      <c r="E1219" s="29"/>
      <c r="F1219" s="29"/>
      <c r="G1219" s="29"/>
      <c r="H1219" s="29"/>
      <c r="I1219" s="29"/>
      <c r="J1219" s="29"/>
      <c r="K1219" s="29"/>
      <c r="L1219" s="29"/>
      <c r="M1219" s="29"/>
    </row>
    <row r="1220" spans="1:13" x14ac:dyDescent="0.2">
      <c r="A1220" s="29"/>
      <c r="B1220" s="29"/>
      <c r="C1220" s="29"/>
      <c r="D1220" s="29"/>
      <c r="E1220" s="29"/>
      <c r="F1220" s="29"/>
      <c r="G1220" s="29"/>
      <c r="H1220" s="29"/>
      <c r="I1220" s="29"/>
      <c r="J1220" s="29"/>
      <c r="K1220" s="29"/>
      <c r="L1220" s="29"/>
      <c r="M1220" s="29"/>
    </row>
    <row r="1221" spans="1:13" x14ac:dyDescent="0.2">
      <c r="A1221" s="29"/>
      <c r="B1221" s="29"/>
      <c r="C1221" s="29"/>
      <c r="D1221" s="29"/>
      <c r="E1221" s="29"/>
      <c r="F1221" s="29"/>
      <c r="G1221" s="29"/>
      <c r="H1221" s="29"/>
      <c r="I1221" s="29"/>
      <c r="J1221" s="29"/>
      <c r="K1221" s="29"/>
      <c r="L1221" s="29"/>
      <c r="M1221" s="29"/>
    </row>
    <row r="1222" spans="1:13" x14ac:dyDescent="0.2">
      <c r="A1222" s="54" t="s">
        <v>7</v>
      </c>
      <c r="B1222" s="54"/>
      <c r="C1222" s="54"/>
      <c r="D1222" s="54"/>
      <c r="E1222" s="29"/>
      <c r="F1222" s="29"/>
      <c r="G1222" s="29">
        <f>VLOOKUP(F1210,F1213:G1218,2,FALSE)</f>
        <v>0</v>
      </c>
      <c r="H1222" s="29">
        <f>VLOOKUP(F1210,F1213:H1218,3,FALSE)</f>
        <v>0</v>
      </c>
      <c r="I1222" s="29"/>
      <c r="J1222" s="29"/>
      <c r="K1222" s="29"/>
      <c r="L1222" s="29"/>
      <c r="M1222" s="29"/>
    </row>
    <row r="1223" spans="1:13" x14ac:dyDescent="0.2">
      <c r="A1223" s="29"/>
      <c r="B1223" s="29"/>
      <c r="C1223" s="29"/>
      <c r="D1223" s="29"/>
      <c r="E1223" s="29"/>
      <c r="F1223" s="29"/>
      <c r="G1223" s="29"/>
      <c r="H1223" s="29"/>
      <c r="I1223" s="29"/>
      <c r="J1223" s="29"/>
      <c r="K1223" s="29"/>
      <c r="L1223" s="29"/>
      <c r="M1223" s="29"/>
    </row>
    <row r="1224" spans="1:13" x14ac:dyDescent="0.2">
      <c r="A1224" s="29"/>
      <c r="B1224" s="29"/>
      <c r="C1224" s="29"/>
      <c r="D1224" s="29"/>
      <c r="E1224" s="29"/>
      <c r="F1224" s="29"/>
      <c r="G1224" s="29"/>
      <c r="H1224" s="29"/>
      <c r="I1224" s="29"/>
      <c r="J1224" s="29"/>
      <c r="K1224" s="29"/>
      <c r="L1224" s="29"/>
      <c r="M1224" s="29"/>
    </row>
    <row r="1225" spans="1:13" x14ac:dyDescent="0.2">
      <c r="A1225" s="52" t="s">
        <v>8</v>
      </c>
      <c r="B1225" s="52"/>
      <c r="C1225" s="52"/>
      <c r="D1225" s="52"/>
      <c r="E1225" s="29"/>
      <c r="F1225" s="29"/>
      <c r="G1225" s="53" t="s">
        <v>9</v>
      </c>
      <c r="H1225" s="53"/>
      <c r="I1225" s="42"/>
      <c r="J1225" s="42"/>
      <c r="K1225" s="42"/>
      <c r="L1225" s="42"/>
      <c r="M1225" s="42"/>
    </row>
    <row r="1226" spans="1:13" x14ac:dyDescent="0.2">
      <c r="A1226" s="29">
        <v>0</v>
      </c>
      <c r="B1226" s="29"/>
      <c r="C1226" s="29"/>
      <c r="D1226" s="29"/>
      <c r="E1226" s="29">
        <v>12500</v>
      </c>
      <c r="F1226" s="29">
        <f>IF(AND(F1210&gt;A1226, F1210&lt;=E1226),F1210,0)</f>
        <v>0</v>
      </c>
      <c r="G1226" s="29">
        <f>0+(20/100)*(-A1226+F1226)</f>
        <v>0</v>
      </c>
      <c r="H1226" s="29"/>
      <c r="I1226" s="29"/>
      <c r="J1226" s="29"/>
      <c r="K1226" s="29"/>
      <c r="L1226" s="29"/>
      <c r="M1226" s="29"/>
    </row>
    <row r="1227" spans="1:13" x14ac:dyDescent="0.2">
      <c r="A1227" s="29">
        <f>E1226</f>
        <v>12500</v>
      </c>
      <c r="B1227" s="29"/>
      <c r="C1227" s="29"/>
      <c r="D1227" s="29"/>
      <c r="E1227" s="29">
        <v>25000</v>
      </c>
      <c r="F1227" s="29">
        <f>IF(AND(F1210&gt;A1227, F1210&lt;=E1227),F1210,0)</f>
        <v>0</v>
      </c>
      <c r="G1227" s="29">
        <f>(12500/100*20)+((25/100)*(-A1227+F1227))</f>
        <v>-625</v>
      </c>
      <c r="H1227" s="29"/>
      <c r="I1227" s="29"/>
      <c r="J1227" s="29"/>
      <c r="K1227" s="29"/>
      <c r="L1227" s="29"/>
      <c r="M1227" s="29"/>
    </row>
    <row r="1228" spans="1:13" x14ac:dyDescent="0.2">
      <c r="A1228" s="29">
        <f>E1227</f>
        <v>25000</v>
      </c>
      <c r="B1228" s="29"/>
      <c r="C1228" s="29"/>
      <c r="D1228" s="29"/>
      <c r="E1228" s="29">
        <v>50000</v>
      </c>
      <c r="F1228" s="29">
        <f>IF(AND(F1210&gt;A1228, F1210&lt;=E1228),F1210,0)</f>
        <v>0</v>
      </c>
      <c r="G1228" s="29">
        <f>(12500/100*20)+(12500/100*25)+((30/100)*(-A1228+F1228))</f>
        <v>-1875</v>
      </c>
      <c r="H1228" s="29"/>
      <c r="I1228" s="29"/>
      <c r="J1228" s="29"/>
      <c r="K1228" s="29"/>
      <c r="L1228" s="29"/>
      <c r="M1228" s="29"/>
    </row>
    <row r="1229" spans="1:13" x14ac:dyDescent="0.2">
      <c r="A1229" s="29">
        <f>E1228</f>
        <v>50000</v>
      </c>
      <c r="B1229" s="29"/>
      <c r="C1229" s="29"/>
      <c r="D1229" s="29"/>
      <c r="E1229" s="29">
        <v>100000</v>
      </c>
      <c r="F1229" s="29">
        <f>IF(AND(F1210&gt;A1229, F1210&lt;=E1229),F1210,0)</f>
        <v>0</v>
      </c>
      <c r="G1229" s="29">
        <f>(12500/100*20)+(12500/100*25)+(25000/100*30)+((40/100)*(-A1229+F1229))</f>
        <v>-6875</v>
      </c>
      <c r="H1229" s="29"/>
      <c r="I1229" s="29"/>
      <c r="J1229" s="29"/>
      <c r="K1229" s="29"/>
      <c r="L1229" s="29"/>
      <c r="M1229" s="29"/>
    </row>
    <row r="1230" spans="1:13" x14ac:dyDescent="0.2">
      <c r="A1230" s="29">
        <f>E1229</f>
        <v>100000</v>
      </c>
      <c r="B1230" s="29"/>
      <c r="C1230" s="29"/>
      <c r="D1230" s="29"/>
      <c r="E1230" s="29">
        <v>175000</v>
      </c>
      <c r="F1230" s="29">
        <f>IF(AND(F1210&gt;A1230, F1210&lt;=E1230),F1210,0)</f>
        <v>0</v>
      </c>
      <c r="G1230" s="29">
        <f>(12500/100*20)+(12500/100*25)+(25000/100*30)+(50000/100*40)+((55/100)*(-A1230+F1230))</f>
        <v>-21875.000000000007</v>
      </c>
      <c r="H1230" s="29"/>
      <c r="I1230" s="29"/>
      <c r="J1230" s="29"/>
      <c r="K1230" s="29"/>
      <c r="L1230" s="29"/>
      <c r="M1230" s="29"/>
    </row>
    <row r="1231" spans="1:13" x14ac:dyDescent="0.2">
      <c r="A1231" s="29">
        <v>175000</v>
      </c>
      <c r="B1231" s="29"/>
      <c r="C1231" s="29"/>
      <c r="D1231" s="29"/>
      <c r="E1231" s="29">
        <v>250000</v>
      </c>
      <c r="F1231" s="29">
        <f>IF(AND(F1210&gt;A1231, F1210&lt;=E1231),F1210,0)</f>
        <v>0</v>
      </c>
      <c r="G1231" s="29">
        <f>(12500/100*20)+(12500/100*25)+(25000/100*30)+(50000/100*40)+(75000/100*55)+((60/100)*(-A1231+F1231))</f>
        <v>-30625</v>
      </c>
      <c r="H1231" s="29"/>
      <c r="I1231" s="29"/>
      <c r="J1231" s="29"/>
      <c r="K1231" s="29"/>
      <c r="L1231" s="29"/>
      <c r="M1231" s="29"/>
    </row>
    <row r="1232" spans="1:13" x14ac:dyDescent="0.2">
      <c r="A1232" s="29">
        <f>E1231</f>
        <v>250000</v>
      </c>
      <c r="B1232" s="29"/>
      <c r="C1232" s="29"/>
      <c r="D1232" s="29"/>
      <c r="E1232" s="29">
        <v>999999999</v>
      </c>
      <c r="F1232" s="29">
        <f>IF(AND(F1210&gt;A1232, F1210&lt;=E1232),F1210,0)</f>
        <v>0</v>
      </c>
      <c r="G1232" s="29">
        <f>(12500/100*20)+(12500/100*25)+(25000/100*30)+(50000/100*40)+(75000/100*55)+(75000/100*60)+((65/100)*(-A1232+F1232))</f>
        <v>-43125</v>
      </c>
      <c r="H1232" s="29"/>
      <c r="I1232" s="29"/>
      <c r="J1232" s="29"/>
      <c r="K1232" s="29"/>
      <c r="L1232" s="29"/>
      <c r="M1232" s="29"/>
    </row>
    <row r="1233" spans="1:29" x14ac:dyDescent="0.2">
      <c r="A1233" s="54" t="s">
        <v>7</v>
      </c>
      <c r="B1233" s="54"/>
      <c r="C1233" s="54"/>
      <c r="D1233" s="54"/>
      <c r="E1233" s="29"/>
      <c r="F1233" s="29"/>
      <c r="G1233" s="29">
        <f>VLOOKUP(F1210,F1226:G1232,2,FALSE)</f>
        <v>0</v>
      </c>
      <c r="H1233" s="29"/>
      <c r="I1233" s="29"/>
      <c r="J1233" s="29"/>
      <c r="K1233" s="29"/>
      <c r="L1233" s="29"/>
      <c r="M1233" s="29"/>
    </row>
    <row r="1235" spans="1:29" x14ac:dyDescent="0.2">
      <c r="E1235" s="29">
        <f>E5</f>
        <v>0</v>
      </c>
      <c r="F1235" s="29"/>
      <c r="G1235" s="29"/>
      <c r="H1235" s="32"/>
      <c r="I1235" s="29"/>
      <c r="J1235" s="33"/>
      <c r="M1235" s="33"/>
      <c r="O1235" s="33"/>
      <c r="Q1235" s="33"/>
      <c r="S1235" s="33"/>
      <c r="U1235" s="33"/>
      <c r="W1235" s="33"/>
      <c r="Y1235" s="33"/>
      <c r="AA1235" s="33"/>
      <c r="AC1235" s="33"/>
    </row>
    <row r="1236" spans="1:29" x14ac:dyDescent="0.2">
      <c r="E1236" s="29"/>
      <c r="F1236" s="29"/>
      <c r="G1236" s="29"/>
      <c r="H1236" s="32"/>
      <c r="I1236" s="29"/>
      <c r="J1236" s="33"/>
      <c r="M1236" s="33"/>
      <c r="O1236" s="33"/>
      <c r="Q1236" s="33"/>
      <c r="S1236" s="33"/>
      <c r="U1236" s="33"/>
      <c r="W1236" s="33"/>
      <c r="Y1236" s="33"/>
      <c r="AA1236" s="33"/>
      <c r="AC1236" s="33"/>
    </row>
    <row r="1237" spans="1:29" x14ac:dyDescent="0.2">
      <c r="E1237" s="29"/>
      <c r="F1237" s="29"/>
      <c r="G1237" s="29"/>
      <c r="H1237" s="32"/>
      <c r="I1237" s="29"/>
      <c r="J1237" s="33"/>
      <c r="M1237" s="33"/>
      <c r="O1237" s="33"/>
      <c r="Q1237" s="33"/>
      <c r="S1237" s="33"/>
      <c r="U1237" s="33"/>
      <c r="W1237" s="33"/>
      <c r="Y1237" s="33"/>
      <c r="AA1237" s="33"/>
      <c r="AC1237" s="33"/>
    </row>
    <row r="1238" spans="1:29" x14ac:dyDescent="0.2">
      <c r="A1238" s="52" t="s">
        <v>26</v>
      </c>
      <c r="B1238" s="52"/>
      <c r="C1238" s="52"/>
      <c r="D1238" s="52"/>
      <c r="E1238" s="29"/>
      <c r="F1238" s="29"/>
      <c r="G1238" s="53" t="s">
        <v>10</v>
      </c>
      <c r="H1238" s="32"/>
      <c r="I1238" s="52" t="s">
        <v>27</v>
      </c>
      <c r="J1238" s="29"/>
      <c r="K1238" s="29"/>
      <c r="L1238" s="29"/>
      <c r="M1238" s="53" t="s">
        <v>11</v>
      </c>
      <c r="O1238" s="33"/>
      <c r="Q1238" s="33"/>
      <c r="S1238" s="33"/>
      <c r="U1238" s="33"/>
      <c r="W1238" s="33"/>
      <c r="Y1238" s="33"/>
      <c r="AA1238" s="33"/>
      <c r="AC1238" s="33"/>
    </row>
    <row r="1239" spans="1:29" x14ac:dyDescent="0.2">
      <c r="A1239" s="29">
        <v>0</v>
      </c>
      <c r="B1239" s="29"/>
      <c r="C1239" s="29"/>
      <c r="D1239" s="29"/>
      <c r="E1239" s="29">
        <v>50000</v>
      </c>
      <c r="F1239" s="29">
        <f>IF(AND(F1210&gt;A1239, F1210&lt;=E1239),F1210,0)</f>
        <v>0</v>
      </c>
      <c r="G1239" s="29">
        <f>0+(35/100)*(-A1239+F1239)</f>
        <v>0</v>
      </c>
      <c r="H1239" s="32"/>
      <c r="I1239" s="29">
        <v>0</v>
      </c>
      <c r="J1239" s="29">
        <v>50000</v>
      </c>
      <c r="K1239" s="29">
        <f>IF(AND(F1210&gt;I1239, F1210&lt;=J1239),F1210,0)</f>
        <v>0</v>
      </c>
      <c r="L1239" s="29"/>
      <c r="M1239" s="29">
        <f>0+(40/100)*(-I1239+K1239)</f>
        <v>0</v>
      </c>
      <c r="O1239" s="33"/>
      <c r="Q1239" s="33"/>
      <c r="S1239" s="33"/>
      <c r="U1239" s="33"/>
      <c r="W1239" s="33"/>
      <c r="Y1239" s="33"/>
      <c r="AA1239" s="33"/>
      <c r="AC1239" s="33"/>
    </row>
    <row r="1240" spans="1:29" x14ac:dyDescent="0.2">
      <c r="A1240" s="29">
        <f>E1239</f>
        <v>50000</v>
      </c>
      <c r="B1240" s="29"/>
      <c r="C1240" s="29"/>
      <c r="D1240" s="29"/>
      <c r="E1240" s="29">
        <v>100000</v>
      </c>
      <c r="F1240" s="29">
        <f>IF(AND(F1210&gt;A1240, F1210&lt;=E1240),F1210,0)</f>
        <v>0</v>
      </c>
      <c r="G1240" s="29">
        <f>(50000/100*35)+((50/100)*(-A1240+F1240))</f>
        <v>-7500</v>
      </c>
      <c r="H1240" s="32"/>
      <c r="I1240" s="29">
        <f>J1239</f>
        <v>50000</v>
      </c>
      <c r="J1240" s="29">
        <v>75000</v>
      </c>
      <c r="K1240" s="29">
        <f>IF(AND(F1210&gt;I1240, F1210&lt;=J1240),F1210,0)</f>
        <v>0</v>
      </c>
      <c r="L1240" s="29"/>
      <c r="M1240" s="29">
        <f>(50000/100*40)+((55/100)*(-I1240+K1240))</f>
        <v>-7500.0000000000036</v>
      </c>
      <c r="O1240" s="33"/>
      <c r="Q1240" s="33"/>
      <c r="S1240" s="33"/>
      <c r="U1240" s="33"/>
      <c r="W1240" s="33"/>
      <c r="Y1240" s="33"/>
      <c r="AA1240" s="33"/>
      <c r="AC1240" s="33"/>
    </row>
    <row r="1241" spans="1:29" x14ac:dyDescent="0.2">
      <c r="A1241" s="29">
        <f>E1240</f>
        <v>100000</v>
      </c>
      <c r="B1241" s="29"/>
      <c r="C1241" s="29"/>
      <c r="D1241" s="29"/>
      <c r="E1241" s="29">
        <v>175000</v>
      </c>
      <c r="F1241" s="29">
        <f>IF(AND(F1210&gt;A1241, F1210&lt;=E1241),F1210,0)</f>
        <v>0</v>
      </c>
      <c r="G1241" s="29">
        <f>(50000/100*35)+(50000/100*50)+((60/100)*(-A1241+F1241))</f>
        <v>-17500</v>
      </c>
      <c r="H1241" s="32"/>
      <c r="I1241" s="29">
        <f>J1240</f>
        <v>75000</v>
      </c>
      <c r="J1241" s="29">
        <v>175000</v>
      </c>
      <c r="K1241" s="29">
        <f>IF(AND(F1210&gt;I1241, F1210&lt;=J1241),F1210,0)</f>
        <v>0</v>
      </c>
      <c r="L1241" s="29"/>
      <c r="M1241" s="29">
        <f>(50000/100*40)+(25000/100*55)+((65/100)*(-I1241+K1241))</f>
        <v>-15000</v>
      </c>
      <c r="O1241" s="33"/>
      <c r="Q1241" s="33"/>
      <c r="S1241" s="33"/>
      <c r="U1241" s="33"/>
      <c r="W1241" s="33"/>
      <c r="Y1241" s="33"/>
      <c r="AA1241" s="33"/>
      <c r="AC1241" s="33"/>
    </row>
    <row r="1242" spans="1:29" x14ac:dyDescent="0.2">
      <c r="A1242" s="29">
        <f>E1241</f>
        <v>175000</v>
      </c>
      <c r="B1242" s="29"/>
      <c r="C1242" s="29"/>
      <c r="D1242" s="29"/>
      <c r="E1242" s="29">
        <v>999999999</v>
      </c>
      <c r="F1242" s="29">
        <f>IF(AND(F1210&gt;A1242, F1210&lt;=E1242),F1210,0)</f>
        <v>0</v>
      </c>
      <c r="G1242" s="29">
        <f>(50000/100*35)+(50000/100*50)+(75000/100*60)+((70/100)*(-A1242+F1242))</f>
        <v>-34999.999999999985</v>
      </c>
      <c r="H1242" s="32"/>
      <c r="I1242" s="29">
        <f>J1241</f>
        <v>175000</v>
      </c>
      <c r="J1242" s="29">
        <v>999999999</v>
      </c>
      <c r="K1242" s="29">
        <f>IF(AND(F1210&gt;I1242, F1210&lt;=J1242),F1210,0)</f>
        <v>0</v>
      </c>
      <c r="L1242" s="29"/>
      <c r="M1242" s="29">
        <f>(50000/100*40)+(25000/100*55)+(100000/100*65)+((80/100)*(-I1242+K1242))</f>
        <v>-41250</v>
      </c>
      <c r="O1242" s="33"/>
      <c r="Q1242" s="33"/>
      <c r="S1242" s="33"/>
      <c r="U1242" s="33"/>
      <c r="W1242" s="33"/>
      <c r="Y1242" s="33"/>
      <c r="AA1242" s="33"/>
      <c r="AC1242" s="33"/>
    </row>
    <row r="1243" spans="1:29" x14ac:dyDescent="0.2">
      <c r="A1243" s="29"/>
      <c r="B1243" s="29"/>
      <c r="C1243" s="29"/>
      <c r="D1243" s="29"/>
      <c r="E1243" s="29"/>
      <c r="F1243" s="29"/>
      <c r="G1243" s="29"/>
      <c r="H1243" s="32"/>
      <c r="I1243" s="29"/>
      <c r="J1243" s="29"/>
      <c r="K1243" s="29"/>
      <c r="L1243" s="29"/>
      <c r="M1243" s="29"/>
      <c r="O1243" s="33"/>
      <c r="Q1243" s="33"/>
      <c r="S1243" s="33"/>
      <c r="U1243" s="33"/>
      <c r="W1243" s="33"/>
      <c r="Y1243" s="33"/>
      <c r="AA1243" s="33"/>
      <c r="AC1243" s="33"/>
    </row>
    <row r="1244" spans="1:29" x14ac:dyDescent="0.2">
      <c r="A1244" s="29"/>
      <c r="B1244" s="29"/>
      <c r="C1244" s="29"/>
      <c r="D1244" s="29"/>
      <c r="E1244" s="29"/>
      <c r="F1244" s="29"/>
      <c r="G1244" s="29"/>
      <c r="H1244" s="32"/>
      <c r="I1244" s="29"/>
      <c r="J1244" s="29"/>
      <c r="K1244" s="29"/>
      <c r="L1244" s="29"/>
      <c r="M1244" s="29"/>
      <c r="O1244" s="33"/>
      <c r="Q1244" s="33"/>
      <c r="S1244" s="33"/>
      <c r="U1244" s="33"/>
      <c r="W1244" s="33"/>
      <c r="Y1244" s="33"/>
      <c r="AA1244" s="33"/>
      <c r="AC1244" s="33"/>
    </row>
    <row r="1245" spans="1:29" x14ac:dyDescent="0.2">
      <c r="A1245" s="29"/>
      <c r="B1245" s="29"/>
      <c r="C1245" s="29"/>
      <c r="D1245" s="29"/>
      <c r="E1245" s="29"/>
      <c r="F1245" s="29"/>
      <c r="G1245" s="29"/>
      <c r="H1245" s="32"/>
      <c r="I1245" s="29"/>
      <c r="J1245" s="29"/>
      <c r="K1245" s="29"/>
      <c r="L1245" s="29"/>
      <c r="M1245" s="29"/>
      <c r="O1245" s="33"/>
      <c r="Q1245" s="33"/>
      <c r="S1245" s="33"/>
      <c r="U1245" s="33"/>
      <c r="W1245" s="33"/>
      <c r="Y1245" s="33"/>
      <c r="AA1245" s="33"/>
      <c r="AC1245" s="33"/>
    </row>
    <row r="1246" spans="1:29" x14ac:dyDescent="0.2">
      <c r="A1246" s="54" t="s">
        <v>7</v>
      </c>
      <c r="B1246" s="54"/>
      <c r="C1246" s="54"/>
      <c r="D1246" s="54"/>
      <c r="E1246" s="29"/>
      <c r="F1246" s="29"/>
      <c r="G1246" s="29">
        <f>VLOOKUP(F1210,F1239:G1242,2,FALSE)</f>
        <v>0</v>
      </c>
      <c r="H1246" s="32"/>
      <c r="I1246" s="54" t="s">
        <v>7</v>
      </c>
      <c r="J1246" s="29"/>
      <c r="K1246" s="29"/>
      <c r="L1246" s="29"/>
      <c r="M1246" s="29">
        <f>VLOOKUP(F1210,K1239:M1242,2,FALSE)</f>
        <v>0</v>
      </c>
      <c r="O1246" s="33"/>
      <c r="Q1246" s="33"/>
      <c r="S1246" s="33"/>
      <c r="U1246" s="33"/>
      <c r="W1246" s="33"/>
      <c r="Y1246" s="33"/>
      <c r="AA1246" s="33"/>
      <c r="AC1246" s="33"/>
    </row>
    <row r="1247" spans="1:29" x14ac:dyDescent="0.2">
      <c r="H1247" s="32"/>
      <c r="O1247" s="33"/>
      <c r="Q1247" s="33"/>
      <c r="S1247" s="33"/>
      <c r="U1247" s="33"/>
      <c r="W1247" s="33"/>
      <c r="Y1247" s="33"/>
      <c r="AA1247" s="33"/>
      <c r="AC1247" s="33"/>
    </row>
    <row r="1248" spans="1:29" x14ac:dyDescent="0.2">
      <c r="E1248" s="29">
        <f>E71</f>
        <v>0</v>
      </c>
      <c r="F1248" s="29"/>
      <c r="G1248" s="29"/>
      <c r="H1248" s="32"/>
      <c r="J1248" s="29">
        <f>J71</f>
        <v>0</v>
      </c>
      <c r="K1248" s="29"/>
      <c r="L1248" s="29"/>
      <c r="M1248" s="29"/>
      <c r="O1248" s="33"/>
      <c r="Q1248" s="33"/>
      <c r="S1248" s="33"/>
      <c r="U1248" s="33"/>
      <c r="W1248" s="33"/>
      <c r="Y1248" s="33"/>
      <c r="AA1248" s="33"/>
      <c r="AC1248" s="33"/>
    </row>
    <row r="1249" spans="1:30" x14ac:dyDescent="0.2">
      <c r="E1249" s="29"/>
      <c r="F1249" s="29"/>
      <c r="G1249" s="29"/>
      <c r="H1249" s="32"/>
      <c r="I1249" s="29"/>
      <c r="J1249" s="33"/>
      <c r="M1249" s="33"/>
      <c r="O1249" s="33"/>
      <c r="Q1249" s="33"/>
      <c r="S1249" s="33"/>
      <c r="U1249" s="33"/>
      <c r="W1249" s="33"/>
      <c r="Y1249" s="33"/>
      <c r="AA1249" s="33"/>
      <c r="AC1249" s="33"/>
    </row>
    <row r="1250" spans="1:30" ht="18" x14ac:dyDescent="0.25">
      <c r="E1250" s="29"/>
      <c r="F1250" s="29"/>
      <c r="G1250" s="29"/>
      <c r="H1250" s="235" t="s">
        <v>12</v>
      </c>
      <c r="I1250" s="235"/>
      <c r="J1250" s="234" t="s">
        <v>13</v>
      </c>
      <c r="K1250" s="234"/>
      <c r="L1250" s="36"/>
      <c r="M1250" s="234" t="s">
        <v>14</v>
      </c>
      <c r="N1250" s="234"/>
      <c r="O1250" s="234" t="s">
        <v>15</v>
      </c>
      <c r="P1250" s="234"/>
      <c r="Q1250" s="234" t="s">
        <v>16</v>
      </c>
      <c r="R1250" s="234"/>
      <c r="S1250" s="234" t="s">
        <v>17</v>
      </c>
      <c r="T1250" s="234"/>
      <c r="U1250" s="234" t="s">
        <v>18</v>
      </c>
      <c r="V1250" s="234"/>
      <c r="W1250" s="234" t="s">
        <v>19</v>
      </c>
      <c r="X1250" s="234"/>
      <c r="Y1250" s="234" t="s">
        <v>20</v>
      </c>
      <c r="Z1250" s="234"/>
      <c r="AA1250" s="234" t="s">
        <v>21</v>
      </c>
      <c r="AB1250" s="234"/>
      <c r="AC1250" s="234" t="s">
        <v>22</v>
      </c>
      <c r="AD1250" s="234"/>
    </row>
    <row r="1251" spans="1:30" x14ac:dyDescent="0.2">
      <c r="E1251" s="29">
        <v>0</v>
      </c>
      <c r="F1251" s="29">
        <v>7500</v>
      </c>
      <c r="G1251" s="29"/>
      <c r="H1251" s="33">
        <v>2.8500000000000001E-3</v>
      </c>
      <c r="I1251" s="29">
        <f t="shared" ref="I1251:I1257" si="3">IF((IF($F1251-($E$1235-$E1251)&gt;$E1251,($E$1235-$E1251)*H1251,($F1251-$E1251)*H1251))&lt;0,0,(IF($F1251-($E$1235-$E1251)&gt;$E1251,($E$1235-$E1251)*H1251,($F1251-$E1251)*H1251)))</f>
        <v>0</v>
      </c>
      <c r="J1251" s="33">
        <v>3.9899999999999996E-3</v>
      </c>
      <c r="K1251" s="29">
        <f t="shared" ref="K1251:K1257" si="4">IF((IF($F1251-($E$1235-$E1251)&gt;$E1251,($E$1235-$E1251)*J1251,($F1251-$E1251)*J1251))&lt;0,0,(IF($F1251-($E$1235-$E1251)&gt;$E1251,($E$1235-$E1251)*J1251,($F1251-$E1251)*J1251)))</f>
        <v>0</v>
      </c>
      <c r="L1251" s="29"/>
      <c r="M1251" s="33">
        <v>5.7000000000000002E-3</v>
      </c>
      <c r="N1251" s="29">
        <f t="shared" ref="N1251:N1257" si="5">IF((IF($F1251-($E$1235-$E1251)&gt;$E1251,($E$1235-$E1251)*M1251,($F1251-$E1251)*M1251))&lt;0,0,(IF($F1251-($E$1235-$E1251)&gt;$E1251,($E$1235-$E1251)*M1251,($F1251-$E1251)*M1251)))</f>
        <v>0</v>
      </c>
      <c r="O1251" s="33">
        <v>8.5500000000000003E-3</v>
      </c>
      <c r="P1251" s="29">
        <f t="shared" ref="P1251:P1257" si="6">IF((IF($F1251-($E$1235-$E1251)&gt;$E1251,($E$1235-$E1251)*O1251,($F1251-$E1251)*O1251))&lt;0,0,(IF($F1251-($E$1235-$E1251)&gt;$E1251,($E$1235-$E1251)*O1251,($F1251-$E1251)*O1251)))</f>
        <v>0</v>
      </c>
      <c r="Q1251" s="33">
        <v>1.14E-2</v>
      </c>
      <c r="R1251" s="29">
        <f t="shared" ref="R1251:R1257" si="7">IF((IF($F1251-($E$1235-$E1251)&gt;$E1251,($E$1235-$E1251)*Q1251,($F1251-$E1251)*Q1251))&lt;0,0,(IF($F1251-($E$1235-$E1251)&gt;$E1251,($E$1235-$E1251)*Q1251,($F1251-$E1251)*Q1251)))</f>
        <v>0</v>
      </c>
      <c r="S1251" s="33">
        <v>1.4250000000000001E-2</v>
      </c>
      <c r="T1251" s="29">
        <f t="shared" ref="T1251:T1257" si="8">IF((IF($F1251-($E$1235-$E1251)&gt;$E1251,($E$1235-$E1251)*S1251,($F1251-$E1251)*S1251))&lt;0,0,(IF($F1251-($E$1235-$E1251)&gt;$E1251,($E$1235-$E1251)*S1251,($F1251-$E1251)*S1251)))</f>
        <v>0</v>
      </c>
      <c r="U1251" s="33">
        <v>1.7100000000000001E-2</v>
      </c>
      <c r="V1251" s="29">
        <f t="shared" ref="V1251:V1257" si="9">IF((IF($F1251-($E$1235-$E1251)&gt;$E1251,($E$1235-$E1251)*U1251,($F1251-$E1251)*U1251))&lt;0,0,(IF($F1251-($E$1235-$E1251)&gt;$E1251,($E$1235-$E1251)*U1251,($F1251-$E1251)*U1251)))</f>
        <v>0</v>
      </c>
      <c r="W1251" s="33">
        <v>2.8500000000000001E-2</v>
      </c>
      <c r="X1251" s="29">
        <f t="shared" ref="X1251:X1257" si="10">IF((IF($F1251-($E$1235-$E1251)&gt;$E1251,($E$1235-$E1251)*W1251,($F1251-$E1251)*W1251))&lt;0,0,(IF($F1251-($E$1235-$E1251)&gt;$E1251,($E$1235-$E1251)*W1251,($F1251-$E1251)*W1251)))</f>
        <v>0</v>
      </c>
      <c r="Y1251" s="33">
        <v>3.4200000000000001E-2</v>
      </c>
      <c r="Z1251" s="29">
        <f t="shared" ref="Z1251:Z1257" si="11">IF((IF($F1251-($E$1235-$E1251)&gt;$E1251,($E$1235-$E1251)*Y1251,($F1251-$E1251)*Y1251))&lt;0,0,(IF($F1251-($E$1235-$E1251)&gt;$E1251,($E$1235-$E1251)*Y1251,($F1251-$E1251)*Y1251)))</f>
        <v>0</v>
      </c>
      <c r="AA1251" s="33">
        <v>4.5600000000000002E-2</v>
      </c>
      <c r="AB1251" s="29">
        <f t="shared" ref="AB1251:AB1257" si="12">IF((IF($F1251-($E$1235-$E1251)&gt;$E1251,($E$1235-$E1251)*AA1251,($F1251-$E1251)*AA1251))&lt;0,0,(IF($F1251-($E$1235-$E1251)&gt;$E1251,($E$1235-$E1251)*AA1251,($F1251-$E1251)*AA1251)))</f>
        <v>0</v>
      </c>
      <c r="AC1251" s="33">
        <v>5.7000000000000002E-2</v>
      </c>
      <c r="AD1251" s="29">
        <f t="shared" ref="AD1251:AD1257" si="13">IF((IF($F1251-($E$1235-$E1251)&gt;$E1251,($E$1235-$E1251)*AC1251,($F1251-$E1251)*AC1251))&lt;0,0,(IF($F1251-($E$1235-$E1251)&gt;$E1251,($E$1235-$E1251)*AC1251,($F1251-$E1251)*AC1251)))</f>
        <v>0</v>
      </c>
    </row>
    <row r="1252" spans="1:30" x14ac:dyDescent="0.2">
      <c r="E1252" s="29">
        <v>7500</v>
      </c>
      <c r="F1252" s="29">
        <v>17500</v>
      </c>
      <c r="G1252" s="29"/>
      <c r="H1252" s="33">
        <v>2.2799999999999999E-3</v>
      </c>
      <c r="I1252" s="29">
        <f t="shared" si="3"/>
        <v>0</v>
      </c>
      <c r="J1252" s="33">
        <v>3.4199999999999999E-3</v>
      </c>
      <c r="K1252" s="29">
        <f t="shared" si="4"/>
        <v>0</v>
      </c>
      <c r="L1252" s="29"/>
      <c r="M1252" s="33">
        <v>4.5599999999999998E-3</v>
      </c>
      <c r="N1252" s="29">
        <f t="shared" si="5"/>
        <v>0</v>
      </c>
      <c r="O1252" s="33">
        <v>6.8399999999999997E-3</v>
      </c>
      <c r="P1252" s="29">
        <f t="shared" si="6"/>
        <v>0</v>
      </c>
      <c r="Q1252" s="33">
        <v>8.5500000000000003E-3</v>
      </c>
      <c r="R1252" s="29">
        <f t="shared" si="7"/>
        <v>0</v>
      </c>
      <c r="S1252" s="33">
        <v>1.14E-2</v>
      </c>
      <c r="T1252" s="29">
        <f t="shared" si="8"/>
        <v>0</v>
      </c>
      <c r="U1252" s="33">
        <v>1.3679999999999999E-2</v>
      </c>
      <c r="V1252" s="29">
        <f t="shared" si="9"/>
        <v>0</v>
      </c>
      <c r="W1252" s="33">
        <v>1.7100000000000001E-2</v>
      </c>
      <c r="X1252" s="29">
        <f t="shared" si="10"/>
        <v>0</v>
      </c>
      <c r="Y1252" s="33">
        <v>2.5649999999999999E-2</v>
      </c>
      <c r="Z1252" s="29">
        <f t="shared" si="11"/>
        <v>0</v>
      </c>
      <c r="AA1252" s="33">
        <v>2.8500000000000001E-2</v>
      </c>
      <c r="AB1252" s="29">
        <f t="shared" si="12"/>
        <v>0</v>
      </c>
      <c r="AC1252" s="33">
        <v>5.1299999999999998E-2</v>
      </c>
      <c r="AD1252" s="29">
        <f t="shared" si="13"/>
        <v>0</v>
      </c>
    </row>
    <row r="1253" spans="1:30" x14ac:dyDescent="0.2">
      <c r="E1253" s="29">
        <v>17500</v>
      </c>
      <c r="F1253" s="29">
        <v>30000</v>
      </c>
      <c r="G1253" s="29"/>
      <c r="H1253" s="33">
        <v>1.7099999999999999E-3</v>
      </c>
      <c r="I1253" s="29">
        <f t="shared" si="3"/>
        <v>0</v>
      </c>
      <c r="J1253" s="33">
        <v>2.2799999999999999E-3</v>
      </c>
      <c r="K1253" s="29">
        <f t="shared" si="4"/>
        <v>0</v>
      </c>
      <c r="L1253" s="29"/>
      <c r="M1253" s="33">
        <v>3.4199999999999999E-3</v>
      </c>
      <c r="N1253" s="29">
        <f t="shared" si="5"/>
        <v>0</v>
      </c>
      <c r="O1253" s="33">
        <v>4.5599999999999998E-3</v>
      </c>
      <c r="P1253" s="29">
        <f t="shared" si="6"/>
        <v>0</v>
      </c>
      <c r="Q1253" s="33">
        <v>5.7000000000000002E-3</v>
      </c>
      <c r="R1253" s="29">
        <f t="shared" si="7"/>
        <v>0</v>
      </c>
      <c r="S1253" s="33">
        <v>6.8399999999999997E-3</v>
      </c>
      <c r="T1253" s="29">
        <f t="shared" si="8"/>
        <v>0</v>
      </c>
      <c r="U1253" s="33">
        <v>9.1199999999999996E-3</v>
      </c>
      <c r="V1253" s="29">
        <f t="shared" si="9"/>
        <v>0</v>
      </c>
      <c r="W1253" s="33">
        <v>1.4250000000000001E-2</v>
      </c>
      <c r="X1253" s="29">
        <f t="shared" si="10"/>
        <v>0</v>
      </c>
      <c r="Y1253" s="33">
        <v>1.7100000000000001E-2</v>
      </c>
      <c r="Z1253" s="29">
        <f t="shared" si="11"/>
        <v>0</v>
      </c>
      <c r="AA1253" s="33">
        <v>2.2800000000000001E-2</v>
      </c>
      <c r="AB1253" s="29">
        <f t="shared" si="12"/>
        <v>0</v>
      </c>
      <c r="AC1253" s="33">
        <v>4.5600000000000002E-2</v>
      </c>
      <c r="AD1253" s="29">
        <f t="shared" si="13"/>
        <v>0</v>
      </c>
    </row>
    <row r="1254" spans="1:30" x14ac:dyDescent="0.2">
      <c r="E1254" s="29">
        <v>30000</v>
      </c>
      <c r="F1254" s="29">
        <v>45495</v>
      </c>
      <c r="G1254" s="29"/>
      <c r="H1254" s="33">
        <v>1.14E-3</v>
      </c>
      <c r="I1254" s="29">
        <f t="shared" si="3"/>
        <v>0</v>
      </c>
      <c r="J1254" s="33">
        <v>1.7099999999999999E-3</v>
      </c>
      <c r="K1254" s="29">
        <f t="shared" si="4"/>
        <v>0</v>
      </c>
      <c r="L1254" s="29"/>
      <c r="M1254" s="33">
        <v>2.2799999999999999E-3</v>
      </c>
      <c r="N1254" s="29">
        <f t="shared" si="5"/>
        <v>0</v>
      </c>
      <c r="O1254" s="33">
        <v>3.4199999999999999E-3</v>
      </c>
      <c r="P1254" s="29">
        <f t="shared" si="6"/>
        <v>0</v>
      </c>
      <c r="Q1254" s="33">
        <v>4.5599999999999998E-3</v>
      </c>
      <c r="R1254" s="29">
        <f t="shared" si="7"/>
        <v>0</v>
      </c>
      <c r="S1254" s="33">
        <v>5.7000000000000002E-3</v>
      </c>
      <c r="T1254" s="29">
        <f t="shared" si="8"/>
        <v>0</v>
      </c>
      <c r="U1254" s="33">
        <v>6.8399999999999997E-3</v>
      </c>
      <c r="V1254" s="29">
        <f t="shared" si="9"/>
        <v>0</v>
      </c>
      <c r="W1254" s="33">
        <v>1.14E-2</v>
      </c>
      <c r="X1254" s="29">
        <f t="shared" si="10"/>
        <v>0</v>
      </c>
      <c r="Y1254" s="33">
        <v>1.14E-2</v>
      </c>
      <c r="Z1254" s="29">
        <f t="shared" si="11"/>
        <v>0</v>
      </c>
      <c r="AA1254" s="33">
        <v>1.7100000000000001E-2</v>
      </c>
      <c r="AB1254" s="29">
        <f t="shared" si="12"/>
        <v>0</v>
      </c>
      <c r="AC1254" s="33">
        <v>3.9899999999999998E-2</v>
      </c>
      <c r="AD1254" s="29">
        <f t="shared" si="13"/>
        <v>0</v>
      </c>
    </row>
    <row r="1255" spans="1:30" x14ac:dyDescent="0.2">
      <c r="E1255" s="29">
        <v>45495</v>
      </c>
      <c r="F1255" s="29">
        <v>64095</v>
      </c>
      <c r="G1255" s="29"/>
      <c r="H1255" s="33">
        <v>5.6999999999999998E-4</v>
      </c>
      <c r="I1255" s="29">
        <f t="shared" si="3"/>
        <v>0</v>
      </c>
      <c r="J1255" s="33">
        <v>1.14E-3</v>
      </c>
      <c r="K1255" s="29">
        <f t="shared" si="4"/>
        <v>0</v>
      </c>
      <c r="L1255" s="29"/>
      <c r="M1255" s="33">
        <v>1.14E-3</v>
      </c>
      <c r="N1255" s="29">
        <f t="shared" si="5"/>
        <v>0</v>
      </c>
      <c r="O1255" s="33">
        <v>2.2799999999999999E-3</v>
      </c>
      <c r="P1255" s="29">
        <f t="shared" si="6"/>
        <v>0</v>
      </c>
      <c r="Q1255" s="33">
        <v>2.8500000000000001E-3</v>
      </c>
      <c r="R1255" s="29">
        <f t="shared" si="7"/>
        <v>0</v>
      </c>
      <c r="S1255" s="33">
        <v>4.5599999999999998E-3</v>
      </c>
      <c r="T1255" s="29">
        <f t="shared" si="8"/>
        <v>0</v>
      </c>
      <c r="U1255" s="33">
        <v>4.5599999999999998E-3</v>
      </c>
      <c r="V1255" s="29">
        <f t="shared" si="9"/>
        <v>0</v>
      </c>
      <c r="W1255" s="33">
        <v>8.5500000000000003E-3</v>
      </c>
      <c r="X1255" s="29">
        <f t="shared" si="10"/>
        <v>0</v>
      </c>
      <c r="Y1255" s="33">
        <v>8.5500000000000003E-3</v>
      </c>
      <c r="Z1255" s="29">
        <f t="shared" si="11"/>
        <v>0</v>
      </c>
      <c r="AA1255" s="33">
        <v>1.14E-2</v>
      </c>
      <c r="AB1255" s="29">
        <f t="shared" si="12"/>
        <v>0</v>
      </c>
      <c r="AC1255" s="33">
        <v>2.8500000000000001E-2</v>
      </c>
      <c r="AD1255" s="29">
        <f t="shared" si="13"/>
        <v>0</v>
      </c>
    </row>
    <row r="1256" spans="1:30" x14ac:dyDescent="0.2">
      <c r="E1256" s="29">
        <v>64095</v>
      </c>
      <c r="F1256" s="29">
        <v>250095</v>
      </c>
      <c r="G1256" s="29"/>
      <c r="H1256" s="33">
        <v>2.2800000000000001E-4</v>
      </c>
      <c r="I1256" s="29">
        <f t="shared" si="3"/>
        <v>0</v>
      </c>
      <c r="J1256" s="33">
        <v>5.6999999999999998E-4</v>
      </c>
      <c r="K1256" s="29">
        <f t="shared" si="4"/>
        <v>0</v>
      </c>
      <c r="L1256" s="29"/>
      <c r="M1256" s="33">
        <v>5.6999999999999998E-4</v>
      </c>
      <c r="N1256" s="29">
        <f t="shared" si="5"/>
        <v>0</v>
      </c>
      <c r="O1256" s="33">
        <v>1.14E-3</v>
      </c>
      <c r="P1256" s="29">
        <f t="shared" si="6"/>
        <v>0</v>
      </c>
      <c r="Q1256" s="33">
        <v>1.14E-3</v>
      </c>
      <c r="R1256" s="29">
        <f t="shared" si="7"/>
        <v>0</v>
      </c>
      <c r="S1256" s="33">
        <v>2.2799999999999999E-3</v>
      </c>
      <c r="T1256" s="29">
        <f t="shared" si="8"/>
        <v>0</v>
      </c>
      <c r="U1256" s="33">
        <v>2.2799999999999999E-3</v>
      </c>
      <c r="V1256" s="29">
        <f t="shared" si="9"/>
        <v>0</v>
      </c>
      <c r="W1256" s="33">
        <v>5.7000000000000002E-3</v>
      </c>
      <c r="X1256" s="29">
        <f t="shared" si="10"/>
        <v>0</v>
      </c>
      <c r="Y1256" s="33">
        <v>5.7000000000000002E-3</v>
      </c>
      <c r="Z1256" s="29">
        <f t="shared" si="11"/>
        <v>0</v>
      </c>
      <c r="AA1256" s="33">
        <v>5.7000000000000002E-3</v>
      </c>
      <c r="AB1256" s="29">
        <f t="shared" si="12"/>
        <v>0</v>
      </c>
      <c r="AC1256" s="33">
        <v>1.3679999999999999E-2</v>
      </c>
      <c r="AD1256" s="29">
        <f t="shared" si="13"/>
        <v>0</v>
      </c>
    </row>
    <row r="1257" spans="1:30" x14ac:dyDescent="0.2">
      <c r="E1257" s="29">
        <v>250095</v>
      </c>
      <c r="F1257" s="29">
        <v>999999999999</v>
      </c>
      <c r="G1257" s="29"/>
      <c r="H1257" s="33">
        <v>1.1400000000000001E-4</v>
      </c>
      <c r="I1257" s="29">
        <f t="shared" si="3"/>
        <v>0</v>
      </c>
      <c r="J1257" s="33">
        <v>2.2800000000000001E-4</v>
      </c>
      <c r="K1257" s="29">
        <f t="shared" si="4"/>
        <v>0</v>
      </c>
      <c r="L1257" s="29"/>
      <c r="M1257" s="33">
        <v>2.2800000000000001E-4</v>
      </c>
      <c r="N1257" s="29">
        <f t="shared" si="5"/>
        <v>0</v>
      </c>
      <c r="O1257" s="33">
        <v>3.4200000000000002E-4</v>
      </c>
      <c r="P1257" s="29">
        <f t="shared" si="6"/>
        <v>0</v>
      </c>
      <c r="Q1257" s="33">
        <v>3.4200000000000002E-4</v>
      </c>
      <c r="R1257" s="29">
        <f t="shared" si="7"/>
        <v>0</v>
      </c>
      <c r="S1257" s="33">
        <v>4.5600000000000003E-4</v>
      </c>
      <c r="T1257" s="29">
        <f t="shared" si="8"/>
        <v>0</v>
      </c>
      <c r="U1257" s="33">
        <v>4.5600000000000003E-4</v>
      </c>
      <c r="V1257" s="29">
        <f t="shared" si="9"/>
        <v>0</v>
      </c>
      <c r="W1257" s="33">
        <v>5.6999999999999998E-4</v>
      </c>
      <c r="X1257" s="29">
        <f t="shared" si="10"/>
        <v>0</v>
      </c>
      <c r="Y1257" s="33">
        <v>5.6999999999999998E-4</v>
      </c>
      <c r="Z1257" s="29">
        <f t="shared" si="11"/>
        <v>0</v>
      </c>
      <c r="AA1257" s="33">
        <v>5.6999999999999998E-4</v>
      </c>
      <c r="AB1257" s="29">
        <f t="shared" si="12"/>
        <v>0</v>
      </c>
      <c r="AC1257" s="33">
        <v>1.14E-3</v>
      </c>
      <c r="AD1257" s="29">
        <f t="shared" si="13"/>
        <v>0</v>
      </c>
    </row>
    <row r="1258" spans="1:30" x14ac:dyDescent="0.2">
      <c r="E1258" s="29"/>
      <c r="F1258" s="29"/>
      <c r="G1258" s="29"/>
      <c r="H1258" s="33"/>
      <c r="I1258" s="29"/>
      <c r="J1258" s="33"/>
      <c r="K1258" s="29"/>
      <c r="L1258" s="29"/>
      <c r="M1258" s="33"/>
      <c r="N1258" s="29"/>
      <c r="O1258" s="33"/>
      <c r="P1258" s="29"/>
      <c r="Q1258" s="33"/>
      <c r="R1258" s="29"/>
      <c r="S1258" s="33"/>
      <c r="T1258" s="29"/>
      <c r="U1258" s="33"/>
      <c r="V1258" s="29"/>
      <c r="W1258" s="33"/>
      <c r="X1258" s="29"/>
      <c r="Y1258" s="33"/>
      <c r="Z1258" s="29"/>
      <c r="AA1258" s="33"/>
      <c r="AB1258" s="29"/>
      <c r="AC1258" s="33"/>
      <c r="AD1258" s="29"/>
    </row>
    <row r="1259" spans="1:30" x14ac:dyDescent="0.2">
      <c r="E1259" s="29"/>
      <c r="F1259" s="29"/>
      <c r="G1259" s="29"/>
      <c r="H1259" s="33"/>
      <c r="I1259" s="29"/>
      <c r="J1259" s="33"/>
      <c r="K1259" s="29"/>
      <c r="L1259" s="29"/>
      <c r="M1259" s="33"/>
      <c r="N1259" s="29"/>
      <c r="O1259" s="33"/>
      <c r="P1259" s="29"/>
      <c r="Q1259" s="33"/>
      <c r="R1259" s="29"/>
      <c r="S1259" s="33"/>
      <c r="T1259" s="29"/>
      <c r="U1259" s="33"/>
      <c r="V1259" s="29"/>
      <c r="W1259" s="33"/>
      <c r="X1259" s="29"/>
      <c r="Y1259" s="33"/>
      <c r="Z1259" s="29"/>
      <c r="AA1259" s="33"/>
      <c r="AB1259" s="29"/>
      <c r="AC1259" s="33"/>
      <c r="AD1259" s="29"/>
    </row>
    <row r="1260" spans="1:30" x14ac:dyDescent="0.2">
      <c r="A1260" s="29"/>
      <c r="B1260" s="29"/>
      <c r="C1260" s="29"/>
      <c r="D1260" s="29"/>
      <c r="E1260" s="29"/>
      <c r="F1260" s="29"/>
      <c r="G1260" s="29"/>
      <c r="H1260" s="32"/>
      <c r="I1260" s="29">
        <f>SUM(I1251:I1257)</f>
        <v>0</v>
      </c>
      <c r="J1260" s="32"/>
      <c r="K1260" s="29">
        <f>SUM(K1251:K1257)</f>
        <v>0</v>
      </c>
      <c r="L1260" s="29"/>
      <c r="M1260" s="32"/>
      <c r="N1260" s="29">
        <f>SUM(N1251:N1257)</f>
        <v>0</v>
      </c>
      <c r="O1260" s="32"/>
      <c r="P1260" s="29">
        <f>SUM(P1251:P1257)</f>
        <v>0</v>
      </c>
      <c r="Q1260" s="32"/>
      <c r="R1260" s="29">
        <f>SUM(R1251:R1257)</f>
        <v>0</v>
      </c>
      <c r="S1260" s="32"/>
      <c r="T1260" s="29">
        <f>SUM(T1251:T1257)</f>
        <v>0</v>
      </c>
      <c r="U1260" s="32"/>
      <c r="V1260" s="29">
        <f>SUM(V1251:V1257)</f>
        <v>0</v>
      </c>
      <c r="W1260" s="32"/>
      <c r="X1260" s="29">
        <f>SUM(X1251:X1257)</f>
        <v>0</v>
      </c>
      <c r="Y1260" s="32"/>
      <c r="Z1260" s="29">
        <f>SUM(Z1251:Z1257)</f>
        <v>0</v>
      </c>
      <c r="AA1260" s="32"/>
      <c r="AB1260" s="29">
        <f>SUM(AB1251:AB1257)</f>
        <v>0</v>
      </c>
      <c r="AC1260" s="32"/>
      <c r="AD1260" s="29">
        <f>SUM(AD1251:AD1257)</f>
        <v>0</v>
      </c>
    </row>
    <row r="1261" spans="1:30" x14ac:dyDescent="0.2">
      <c r="E1261" s="29"/>
      <c r="F1261" s="29"/>
      <c r="G1261" s="29"/>
      <c r="H1261" s="33"/>
      <c r="I1261" s="29"/>
      <c r="J1261" s="33"/>
      <c r="K1261" s="29"/>
      <c r="L1261" s="29"/>
      <c r="M1261" s="33"/>
      <c r="N1261" s="29"/>
      <c r="O1261" s="33"/>
      <c r="P1261" s="29"/>
      <c r="Q1261" s="33"/>
      <c r="R1261" s="29"/>
      <c r="S1261" s="33"/>
      <c r="T1261" s="29"/>
      <c r="U1261" s="33"/>
      <c r="V1261" s="29"/>
      <c r="W1261" s="33"/>
      <c r="X1261" s="29"/>
      <c r="Y1261" s="33"/>
      <c r="Z1261" s="29"/>
      <c r="AA1261" s="33"/>
      <c r="AB1261" s="29"/>
      <c r="AC1261" s="33"/>
      <c r="AD1261" s="29"/>
    </row>
    <row r="1262" spans="1:30" ht="18" x14ac:dyDescent="0.25">
      <c r="E1262" s="29"/>
      <c r="F1262" s="29"/>
      <c r="G1262" s="29"/>
      <c r="H1262" s="234" t="s">
        <v>23</v>
      </c>
      <c r="I1262" s="234"/>
      <c r="J1262" s="234" t="s">
        <v>24</v>
      </c>
      <c r="K1262" s="234"/>
      <c r="L1262" s="36"/>
      <c r="M1262" s="33"/>
      <c r="N1262" s="29"/>
      <c r="O1262" s="33"/>
      <c r="P1262" s="29"/>
      <c r="Q1262" s="33"/>
      <c r="R1262" s="29"/>
      <c r="S1262" s="33"/>
      <c r="T1262" s="29"/>
      <c r="U1262" s="33"/>
      <c r="V1262" s="29"/>
      <c r="W1262" s="33"/>
      <c r="X1262" s="29"/>
      <c r="Y1262" s="33"/>
      <c r="Z1262" s="29"/>
      <c r="AA1262" s="33"/>
      <c r="AB1262" s="29"/>
      <c r="AC1262" s="33"/>
      <c r="AD1262" s="29"/>
    </row>
    <row r="1263" spans="1:30" x14ac:dyDescent="0.2">
      <c r="E1263" s="29">
        <v>0</v>
      </c>
      <c r="F1263" s="29">
        <v>37000</v>
      </c>
      <c r="G1263" s="29"/>
      <c r="H1263" s="33">
        <v>5.7000000000000002E-3</v>
      </c>
      <c r="I1263" s="29">
        <f t="shared" ref="I1263:I1269" si="14">IF((IF($F1263-($E$1235-$E1263)&gt;$E1263,($E$1235-$E1263)*H1263,($F1263-$E1263)*H1263))&lt;0,0,(IF($F1263-($E$1235-$E1263)&gt;$E1263,($E$1235-$E1263)*H1263,($F1263-$E1263)*H1263)))</f>
        <v>0</v>
      </c>
      <c r="J1263" s="33">
        <v>8.5500000000000003E-3</v>
      </c>
      <c r="K1263" s="29">
        <f t="shared" ref="K1263:K1269" si="15">IF((IF($F1263-($E$1235-$E1263)&gt;$E1263,($E$1235-$E1263)*J1263,($F1263-$E1263)*J1263))&lt;0,0,(IF($F1263-($E$1235-$E1263)&gt;$E1263,($E$1235-$E1263)*J1263,($F1263-$E1263)*J1263)))</f>
        <v>0</v>
      </c>
      <c r="L1263" s="29"/>
      <c r="M1263" s="33"/>
      <c r="N1263" s="29"/>
      <c r="O1263" s="33"/>
      <c r="P1263" s="29"/>
      <c r="Q1263" s="33"/>
      <c r="R1263" s="29"/>
      <c r="S1263" s="33"/>
      <c r="T1263" s="29"/>
      <c r="U1263" s="33"/>
      <c r="V1263" s="29"/>
      <c r="W1263" s="33"/>
      <c r="X1263" s="29"/>
      <c r="Y1263" s="33"/>
      <c r="Z1263" s="29"/>
      <c r="AA1263" s="33"/>
      <c r="AB1263" s="29"/>
      <c r="AC1263" s="33"/>
      <c r="AD1263" s="29"/>
    </row>
    <row r="1264" spans="1:30" x14ac:dyDescent="0.2">
      <c r="E1264" s="29">
        <v>37000</v>
      </c>
      <c r="F1264" s="29">
        <v>99000</v>
      </c>
      <c r="G1264" s="29"/>
      <c r="H1264" s="33">
        <v>3.9899999999999996E-3</v>
      </c>
      <c r="I1264" s="29">
        <f t="shared" si="14"/>
        <v>0</v>
      </c>
      <c r="J1264" s="33">
        <v>5.7000000000000002E-3</v>
      </c>
      <c r="K1264" s="29">
        <f t="shared" si="15"/>
        <v>0</v>
      </c>
      <c r="L1264" s="29"/>
      <c r="M1264" s="33"/>
      <c r="N1264" s="29"/>
      <c r="O1264" s="33"/>
      <c r="P1264" s="29"/>
      <c r="Q1264" s="33"/>
      <c r="R1264" s="29"/>
      <c r="S1264" s="33"/>
      <c r="T1264" s="29"/>
      <c r="U1264" s="33"/>
      <c r="V1264" s="29"/>
      <c r="W1264" s="33"/>
      <c r="X1264" s="29"/>
      <c r="Y1264" s="33"/>
      <c r="Z1264" s="29"/>
      <c r="AA1264" s="33"/>
      <c r="AB1264" s="29"/>
      <c r="AC1264" s="33"/>
      <c r="AD1264" s="29"/>
    </row>
    <row r="1265" spans="1:30" x14ac:dyDescent="0.2">
      <c r="E1265" s="29">
        <v>99000</v>
      </c>
      <c r="F1265" s="29">
        <v>224000</v>
      </c>
      <c r="G1265" s="29"/>
      <c r="H1265" s="33">
        <v>2.8500000000000001E-3</v>
      </c>
      <c r="I1265" s="29">
        <f t="shared" si="14"/>
        <v>0</v>
      </c>
      <c r="J1265" s="33">
        <v>3.9899999999999996E-3</v>
      </c>
      <c r="K1265" s="29">
        <f t="shared" si="15"/>
        <v>0</v>
      </c>
      <c r="L1265" s="29"/>
      <c r="M1265" s="33"/>
      <c r="N1265" s="29"/>
      <c r="O1265" s="33"/>
      <c r="P1265" s="29"/>
      <c r="Q1265" s="33"/>
      <c r="R1265" s="29"/>
      <c r="S1265" s="33"/>
      <c r="T1265" s="29"/>
      <c r="U1265" s="33"/>
      <c r="V1265" s="29"/>
      <c r="W1265" s="33"/>
      <c r="X1265" s="29"/>
      <c r="Y1265" s="33"/>
      <c r="Z1265" s="29"/>
      <c r="AA1265" s="33"/>
      <c r="AB1265" s="29"/>
      <c r="AC1265" s="33"/>
      <c r="AD1265" s="29"/>
    </row>
    <row r="1266" spans="1:30" x14ac:dyDescent="0.2">
      <c r="E1266" s="29">
        <v>224000</v>
      </c>
      <c r="F1266" s="29">
        <v>534000</v>
      </c>
      <c r="G1266" s="29"/>
      <c r="H1266" s="33">
        <v>1.7099999999999999E-3</v>
      </c>
      <c r="I1266" s="29">
        <f t="shared" si="14"/>
        <v>0</v>
      </c>
      <c r="J1266" s="33">
        <v>2.2799999999999999E-3</v>
      </c>
      <c r="K1266" s="29">
        <f t="shared" si="15"/>
        <v>0</v>
      </c>
      <c r="L1266" s="29"/>
      <c r="M1266" s="33"/>
      <c r="N1266" s="29"/>
      <c r="O1266" s="33"/>
      <c r="P1266" s="29"/>
      <c r="Q1266" s="33"/>
      <c r="R1266" s="29"/>
      <c r="S1266" s="33"/>
      <c r="T1266" s="29"/>
      <c r="U1266" s="33"/>
      <c r="V1266" s="29"/>
      <c r="W1266" s="33"/>
      <c r="X1266" s="29"/>
      <c r="Y1266" s="33"/>
      <c r="Z1266" s="29"/>
      <c r="AA1266" s="33"/>
      <c r="AB1266" s="29"/>
      <c r="AC1266" s="33"/>
      <c r="AD1266" s="29"/>
    </row>
    <row r="1267" spans="1:30" x14ac:dyDescent="0.2">
      <c r="E1267" s="29">
        <v>534000</v>
      </c>
      <c r="F1267" s="29">
        <v>1784000</v>
      </c>
      <c r="G1267" s="29"/>
      <c r="H1267" s="33">
        <v>5.6999999999999998E-4</v>
      </c>
      <c r="I1267" s="29">
        <f t="shared" si="14"/>
        <v>0</v>
      </c>
      <c r="J1267" s="33">
        <v>1.14E-3</v>
      </c>
      <c r="K1267" s="29">
        <f t="shared" si="15"/>
        <v>0</v>
      </c>
      <c r="L1267" s="29"/>
      <c r="M1267" s="33"/>
      <c r="N1267" s="29"/>
      <c r="O1267" s="33"/>
      <c r="P1267" s="29"/>
      <c r="Q1267" s="33"/>
      <c r="R1267" s="29"/>
      <c r="S1267" s="33"/>
      <c r="T1267" s="29"/>
      <c r="U1267" s="33"/>
      <c r="V1267" s="29"/>
      <c r="W1267" s="33"/>
      <c r="X1267" s="29"/>
      <c r="Y1267" s="33"/>
      <c r="Z1267" s="29"/>
      <c r="AA1267" s="33"/>
      <c r="AB1267" s="29"/>
      <c r="AC1267" s="33"/>
      <c r="AD1267" s="29"/>
    </row>
    <row r="1268" spans="1:30" x14ac:dyDescent="0.2">
      <c r="E1268" s="29">
        <v>1784000</v>
      </c>
      <c r="F1268" s="29">
        <v>3333500</v>
      </c>
      <c r="G1268" s="29"/>
      <c r="H1268" s="33">
        <v>2.2800000000000001E-4</v>
      </c>
      <c r="I1268" s="29">
        <f t="shared" si="14"/>
        <v>0</v>
      </c>
      <c r="J1268" s="33">
        <v>4.5600000000000003E-4</v>
      </c>
      <c r="K1268" s="29">
        <f t="shared" si="15"/>
        <v>0</v>
      </c>
      <c r="L1268" s="29"/>
      <c r="M1268" s="33"/>
      <c r="N1268" s="29"/>
      <c r="O1268" s="33"/>
      <c r="P1268" s="29"/>
      <c r="Q1268" s="33"/>
      <c r="R1268" s="29"/>
      <c r="S1268" s="33"/>
      <c r="T1268" s="29"/>
      <c r="U1268" s="33"/>
      <c r="V1268" s="29"/>
      <c r="W1268" s="33"/>
      <c r="X1268" s="29"/>
      <c r="Y1268" s="33"/>
      <c r="Z1268" s="29"/>
      <c r="AA1268" s="33"/>
      <c r="AB1268" s="29"/>
      <c r="AC1268" s="33"/>
      <c r="AD1268" s="29"/>
    </row>
    <row r="1269" spans="1:30" x14ac:dyDescent="0.2">
      <c r="E1269" s="29">
        <v>3333500</v>
      </c>
      <c r="F1269" s="29">
        <v>999999999999</v>
      </c>
      <c r="G1269" s="29"/>
      <c r="H1269" s="33">
        <v>1.1400000000000001E-4</v>
      </c>
      <c r="I1269" s="29">
        <f t="shared" si="14"/>
        <v>0</v>
      </c>
      <c r="J1269" s="33">
        <v>2.2800000000000001E-4</v>
      </c>
      <c r="K1269" s="29">
        <f t="shared" si="15"/>
        <v>0</v>
      </c>
      <c r="L1269" s="29"/>
      <c r="M1269" s="33"/>
      <c r="N1269" s="29"/>
      <c r="O1269" s="33"/>
      <c r="P1269" s="29"/>
      <c r="Q1269" s="33"/>
      <c r="R1269" s="29"/>
      <c r="S1269" s="33"/>
      <c r="T1269" s="29"/>
      <c r="U1269" s="33"/>
      <c r="V1269" s="29"/>
      <c r="W1269" s="33"/>
      <c r="X1269" s="29"/>
      <c r="Y1269" s="33"/>
      <c r="Z1269" s="29"/>
      <c r="AA1269" s="33"/>
      <c r="AB1269" s="29"/>
      <c r="AC1269" s="33"/>
      <c r="AD1269" s="29"/>
    </row>
    <row r="1270" spans="1:30" x14ac:dyDescent="0.2">
      <c r="A1270" s="29"/>
      <c r="B1270" s="29"/>
      <c r="C1270" s="29"/>
      <c r="D1270" s="29"/>
      <c r="E1270" s="29"/>
      <c r="F1270" s="29"/>
      <c r="G1270" s="29"/>
      <c r="H1270" s="32"/>
      <c r="I1270" s="29">
        <f>SUM(I1263:I1269)</f>
        <v>0</v>
      </c>
      <c r="J1270" s="32"/>
      <c r="K1270" s="29">
        <f>SUM(K1263:K1269)</f>
        <v>0</v>
      </c>
      <c r="L1270" s="29"/>
      <c r="M1270" s="32"/>
      <c r="N1270" s="29"/>
      <c r="O1270" s="32"/>
      <c r="P1270" s="29"/>
      <c r="Q1270" s="32"/>
      <c r="R1270" s="29"/>
      <c r="S1270" s="32"/>
      <c r="T1270" s="29"/>
      <c r="U1270" s="32"/>
      <c r="V1270" s="29"/>
      <c r="W1270" s="32"/>
      <c r="X1270" s="29"/>
      <c r="Y1270" s="32"/>
      <c r="Z1270" s="29"/>
      <c r="AA1270" s="32"/>
      <c r="AB1270" s="29"/>
      <c r="AC1270" s="32"/>
      <c r="AD1270" s="29"/>
    </row>
  </sheetData>
  <mergeCells count="26">
    <mergeCell ref="AF102:AG102"/>
    <mergeCell ref="J114:K114"/>
    <mergeCell ref="N114:O114"/>
    <mergeCell ref="J102:K102"/>
    <mergeCell ref="N102:O102"/>
    <mergeCell ref="P102:Q102"/>
    <mergeCell ref="R102:S102"/>
    <mergeCell ref="T102:U102"/>
    <mergeCell ref="V102:W102"/>
    <mergeCell ref="X102:Y102"/>
    <mergeCell ref="Z102:AA102"/>
    <mergeCell ref="AB102:AC102"/>
    <mergeCell ref="AD102:AE102"/>
    <mergeCell ref="U1250:V1250"/>
    <mergeCell ref="W1250:X1250"/>
    <mergeCell ref="Y1250:Z1250"/>
    <mergeCell ref="AA1250:AB1250"/>
    <mergeCell ref="AC1250:AD1250"/>
    <mergeCell ref="Q1250:R1250"/>
    <mergeCell ref="S1250:T1250"/>
    <mergeCell ref="H1262:I1262"/>
    <mergeCell ref="J1262:K1262"/>
    <mergeCell ref="H1250:I1250"/>
    <mergeCell ref="J1250:K1250"/>
    <mergeCell ref="M1250:N1250"/>
    <mergeCell ref="O1250:P1250"/>
  </mergeCells>
  <dataValidations count="4">
    <dataValidation type="list" allowBlank="1" showInputMessage="1" showErrorMessage="1" sqref="E20 E22 E50 E25 E30 E35 E40 E45 E57 E52 E27 E32 E37 E42 E47 E55 E60 E62">
      <formula1>$M$115:$M$118</formula1>
    </dataValidation>
    <dataValidation type="list" allowBlank="1" showInputMessage="1" showErrorMessage="1" sqref="F20 F25 F30 F35 F40 F45 F50 F55 F60">
      <formula1>$M$106:$M$110</formula1>
    </dataValidation>
    <dataValidation type="list" allowBlank="1" showInputMessage="1" showErrorMessage="1" sqref="I20 I25 I30 I35 I40 I45 I50 I55 I60 E9">
      <formula1>$M$102:$M$103</formula1>
    </dataValidation>
    <dataValidation type="list" allowBlank="1" showInputMessage="1" showErrorMessage="1" sqref="E17">
      <formula1>$M$112:$M$113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DONBIB</vt:lpstr>
      <vt:lpstr>Blad1</vt:lpstr>
      <vt:lpstr>DONBIB!Afdrukbereik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2012-08-13T15:54:54Z</dcterms:created>
  <dcterms:modified xsi:type="dcterms:W3CDTF">2014-11-15T21:22:26Z</dcterms:modified>
</cp:coreProperties>
</file>