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BRU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OVBRU!$A$1:$G$38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H36" i="1" l="1"/>
  <c r="H37" i="1"/>
  <c r="A44" i="1"/>
  <c r="I44" i="1"/>
  <c r="A45" i="1"/>
  <c r="I45" i="1"/>
  <c r="A46" i="1"/>
  <c r="A47" i="1"/>
  <c r="A48" i="1"/>
  <c r="A49" i="1"/>
  <c r="A50" i="1"/>
  <c r="G50" i="1"/>
  <c r="A51" i="1"/>
  <c r="G51" i="1"/>
  <c r="A52" i="1"/>
  <c r="A53" i="1"/>
  <c r="A54" i="1"/>
  <c r="A55" i="1"/>
  <c r="A56" i="1"/>
  <c r="A57" i="1"/>
  <c r="A58" i="1"/>
  <c r="A59" i="1"/>
  <c r="E59" i="1"/>
  <c r="E64" i="1" s="1"/>
  <c r="A60" i="1"/>
  <c r="E60" i="1"/>
  <c r="A61" i="1"/>
  <c r="E61" i="1"/>
  <c r="A62" i="1"/>
  <c r="E62" i="1"/>
  <c r="A63" i="1"/>
  <c r="A64" i="1"/>
  <c r="A65" i="1"/>
  <c r="C65" i="1"/>
  <c r="D65" i="1"/>
  <c r="D70" i="1" s="1"/>
  <c r="A66" i="1"/>
  <c r="C66" i="1"/>
  <c r="D66" i="1"/>
  <c r="A67" i="1"/>
  <c r="D67" i="1"/>
  <c r="E67" i="1"/>
  <c r="A68" i="1"/>
  <c r="D68" i="1"/>
  <c r="A69" i="1"/>
  <c r="G71" i="1"/>
  <c r="G72" i="1"/>
  <c r="D73" i="1"/>
  <c r="G67" i="1"/>
  <c r="G73" i="1"/>
  <c r="G74" i="1"/>
  <c r="G75" i="1"/>
  <c r="A76" i="1"/>
  <c r="D76" i="1" s="1"/>
  <c r="G76" i="1"/>
  <c r="A77" i="1"/>
  <c r="D77" i="1"/>
  <c r="I77" i="1"/>
  <c r="G77" i="1"/>
  <c r="A78" i="1"/>
  <c r="D78" i="1"/>
  <c r="I78" i="1"/>
  <c r="G78" i="1"/>
  <c r="A79" i="1"/>
  <c r="D79" i="1"/>
  <c r="I79" i="1"/>
  <c r="G79" i="1"/>
  <c r="A80" i="1"/>
  <c r="D80" i="1"/>
  <c r="G80" i="1"/>
  <c r="A81" i="1"/>
  <c r="D81" i="1"/>
  <c r="D99" i="1" s="1"/>
  <c r="G81" i="1"/>
  <c r="A82" i="1"/>
  <c r="D82" i="1"/>
  <c r="G82" i="1"/>
  <c r="A83" i="1"/>
  <c r="D83" i="1"/>
  <c r="I83" i="1"/>
  <c r="G83" i="1"/>
  <c r="A84" i="1"/>
  <c r="D84" i="1"/>
  <c r="G84" i="1"/>
  <c r="A85" i="1"/>
  <c r="D85" i="1"/>
  <c r="G85" i="1"/>
  <c r="A86" i="1"/>
  <c r="D86" i="1"/>
  <c r="D104" i="1" s="1"/>
  <c r="A87" i="1"/>
  <c r="D87" i="1"/>
  <c r="I87" i="1" s="1"/>
  <c r="A88" i="1"/>
  <c r="D88" i="1"/>
  <c r="D106" i="1"/>
  <c r="I88" i="1"/>
  <c r="A89" i="1"/>
  <c r="D89" i="1"/>
  <c r="I89" i="1"/>
  <c r="A90" i="1"/>
  <c r="D90" i="1"/>
  <c r="I90" i="1" s="1"/>
  <c r="G90" i="1"/>
  <c r="G92" i="1" s="1"/>
  <c r="G94" i="1" s="1"/>
  <c r="G96" i="1" s="1"/>
  <c r="A91" i="1"/>
  <c r="D91" i="1"/>
  <c r="D109" i="1" s="1"/>
  <c r="I94" i="1"/>
  <c r="D95" i="1"/>
  <c r="I96" i="1"/>
  <c r="D97" i="1"/>
  <c r="D98" i="1"/>
  <c r="D100" i="1"/>
  <c r="D107" i="1"/>
  <c r="C116" i="1"/>
  <c r="C118" i="1" s="1"/>
  <c r="C117" i="1"/>
  <c r="G117" i="1"/>
  <c r="G118" i="1"/>
  <c r="G119" i="1"/>
  <c r="I125" i="1" s="1"/>
  <c r="G120" i="1"/>
  <c r="G121" i="1"/>
  <c r="A122" i="1"/>
  <c r="D122" i="1" s="1"/>
  <c r="G122" i="1"/>
  <c r="A123" i="1"/>
  <c r="D123" i="1"/>
  <c r="I123" i="1" s="1"/>
  <c r="G123" i="1"/>
  <c r="A124" i="1"/>
  <c r="D124" i="1"/>
  <c r="I124" i="1" s="1"/>
  <c r="G124" i="1"/>
  <c r="A125" i="1"/>
  <c r="D125" i="1"/>
  <c r="G125" i="1"/>
  <c r="A126" i="1"/>
  <c r="D126" i="1"/>
  <c r="D144" i="1" s="1"/>
  <c r="G126" i="1"/>
  <c r="A127" i="1"/>
  <c r="D127" i="1"/>
  <c r="G127" i="1"/>
  <c r="A128" i="1"/>
  <c r="D128" i="1"/>
  <c r="I128" i="1"/>
  <c r="G128" i="1"/>
  <c r="A129" i="1"/>
  <c r="D129" i="1"/>
  <c r="I129" i="1"/>
  <c r="G129" i="1"/>
  <c r="A130" i="1"/>
  <c r="D130" i="1"/>
  <c r="I130" i="1"/>
  <c r="G130" i="1"/>
  <c r="A131" i="1"/>
  <c r="D131" i="1" s="1"/>
  <c r="G131" i="1"/>
  <c r="A132" i="1"/>
  <c r="D132" i="1"/>
  <c r="D150" i="1" s="1"/>
  <c r="A133" i="1"/>
  <c r="D133" i="1"/>
  <c r="I133" i="1" s="1"/>
  <c r="A134" i="1"/>
  <c r="D134" i="1"/>
  <c r="D152" i="1" s="1"/>
  <c r="A135" i="1"/>
  <c r="D135" i="1"/>
  <c r="D153" i="1" s="1"/>
  <c r="A136" i="1"/>
  <c r="D136" i="1"/>
  <c r="D154" i="1"/>
  <c r="G136" i="1"/>
  <c r="G138" i="1" s="1"/>
  <c r="G140" i="1" s="1"/>
  <c r="G142" i="1" s="1"/>
  <c r="I136" i="1"/>
  <c r="A137" i="1"/>
  <c r="D137" i="1"/>
  <c r="D155" i="1" s="1"/>
  <c r="I140" i="1"/>
  <c r="I142" i="1"/>
  <c r="D143" i="1"/>
  <c r="D145" i="1"/>
  <c r="D147" i="1"/>
  <c r="C162" i="1"/>
  <c r="C164" i="1" s="1"/>
  <c r="C163" i="1"/>
  <c r="G167" i="1"/>
  <c r="G168" i="1"/>
  <c r="G169" i="1"/>
  <c r="G170" i="1"/>
  <c r="G171" i="1"/>
  <c r="A172" i="1"/>
  <c r="D172" i="1" s="1"/>
  <c r="G172" i="1"/>
  <c r="A173" i="1"/>
  <c r="D173" i="1"/>
  <c r="I173" i="1"/>
  <c r="G173" i="1"/>
  <c r="A174" i="1"/>
  <c r="D174" i="1"/>
  <c r="G174" i="1"/>
  <c r="A175" i="1"/>
  <c r="D175" i="1"/>
  <c r="D193" i="1" s="1"/>
  <c r="G175" i="1"/>
  <c r="A176" i="1"/>
  <c r="D176" i="1"/>
  <c r="D194" i="1" s="1"/>
  <c r="G176" i="1"/>
  <c r="A177" i="1"/>
  <c r="D177" i="1"/>
  <c r="I177" i="1" s="1"/>
  <c r="G177" i="1"/>
  <c r="A178" i="1"/>
  <c r="D178" i="1"/>
  <c r="I178" i="1"/>
  <c r="G178" i="1"/>
  <c r="A179" i="1"/>
  <c r="D179" i="1"/>
  <c r="G179" i="1"/>
  <c r="A180" i="1"/>
  <c r="D180" i="1"/>
  <c r="I180" i="1" s="1"/>
  <c r="G180" i="1"/>
  <c r="A181" i="1"/>
  <c r="D181" i="1"/>
  <c r="I181" i="1" s="1"/>
  <c r="D199" i="1" s="1"/>
  <c r="G181" i="1"/>
  <c r="A182" i="1"/>
  <c r="D182" i="1"/>
  <c r="D200" i="1" s="1"/>
  <c r="A183" i="1"/>
  <c r="D183" i="1"/>
  <c r="D201" i="1" s="1"/>
  <c r="I183" i="1"/>
  <c r="A184" i="1"/>
  <c r="D184" i="1"/>
  <c r="D202" i="1" s="1"/>
  <c r="A185" i="1"/>
  <c r="D185" i="1"/>
  <c r="I185" i="1" s="1"/>
  <c r="A186" i="1"/>
  <c r="D186" i="1"/>
  <c r="I186" i="1" s="1"/>
  <c r="G186" i="1"/>
  <c r="G188" i="1" s="1"/>
  <c r="G190" i="1" s="1"/>
  <c r="G192" i="1" s="1"/>
  <c r="A187" i="1"/>
  <c r="D187" i="1"/>
  <c r="D205" i="1" s="1"/>
  <c r="I190" i="1"/>
  <c r="D191" i="1"/>
  <c r="I192" i="1"/>
  <c r="D197" i="1"/>
  <c r="C212" i="1"/>
  <c r="C214" i="1" s="1"/>
  <c r="C213" i="1"/>
  <c r="G217" i="1"/>
  <c r="G218" i="1"/>
  <c r="G219" i="1"/>
  <c r="G220" i="1"/>
  <c r="G221" i="1"/>
  <c r="A222" i="1"/>
  <c r="D222" i="1" s="1"/>
  <c r="G222" i="1"/>
  <c r="A223" i="1"/>
  <c r="D223" i="1"/>
  <c r="I223" i="1"/>
  <c r="G223" i="1"/>
  <c r="A224" i="1"/>
  <c r="D224" i="1"/>
  <c r="G224" i="1"/>
  <c r="A225" i="1"/>
  <c r="D225" i="1"/>
  <c r="I225" i="1" s="1"/>
  <c r="G225" i="1"/>
  <c r="A226" i="1"/>
  <c r="D226" i="1"/>
  <c r="I226" i="1" s="1"/>
  <c r="G226" i="1"/>
  <c r="A227" i="1"/>
  <c r="D227" i="1"/>
  <c r="I227" i="1"/>
  <c r="G227" i="1"/>
  <c r="A228" i="1"/>
  <c r="D228" i="1"/>
  <c r="I228" i="1"/>
  <c r="G228" i="1"/>
  <c r="A229" i="1"/>
  <c r="D229" i="1"/>
  <c r="I229" i="1"/>
  <c r="G229" i="1"/>
  <c r="A230" i="1"/>
  <c r="D230" i="1"/>
  <c r="I230" i="1" s="1"/>
  <c r="G230" i="1"/>
  <c r="I236" i="1" s="1"/>
  <c r="A231" i="1"/>
  <c r="D231" i="1" s="1"/>
  <c r="G231" i="1"/>
  <c r="A232" i="1"/>
  <c r="D232" i="1"/>
  <c r="I232" i="1" s="1"/>
  <c r="A233" i="1"/>
  <c r="D233" i="1"/>
  <c r="I233" i="1" s="1"/>
  <c r="A234" i="1"/>
  <c r="D234" i="1"/>
  <c r="D252" i="1" s="1"/>
  <c r="A235" i="1"/>
  <c r="D235" i="1"/>
  <c r="D253" i="1" s="1"/>
  <c r="A236" i="1"/>
  <c r="D236" i="1"/>
  <c r="G236" i="1"/>
  <c r="A237" i="1"/>
  <c r="D237" i="1"/>
  <c r="D255" i="1" s="1"/>
  <c r="G238" i="1"/>
  <c r="G240" i="1" s="1"/>
  <c r="G242" i="1" s="1"/>
  <c r="I240" i="1"/>
  <c r="I242" i="1"/>
  <c r="D243" i="1"/>
  <c r="D254" i="1"/>
  <c r="C262" i="1"/>
  <c r="C263" i="1"/>
  <c r="C264" i="1"/>
  <c r="C267" i="1"/>
  <c r="C282" i="1" s="1"/>
  <c r="E282" i="1" s="1"/>
  <c r="G282" i="1" s="1"/>
  <c r="A277" i="1"/>
  <c r="A278" i="1"/>
  <c r="A279" i="1"/>
  <c r="C279" i="1" s="1"/>
  <c r="E279" i="1" s="1"/>
  <c r="G279" i="1" s="1"/>
  <c r="A280" i="1"/>
  <c r="C280" i="1"/>
  <c r="E280" i="1" s="1"/>
  <c r="G280" i="1" s="1"/>
  <c r="A281" i="1"/>
  <c r="C281" i="1" s="1"/>
  <c r="E281" i="1" s="1"/>
  <c r="G281" i="1" s="1"/>
  <c r="A282" i="1"/>
  <c r="A290" i="1"/>
  <c r="A291" i="1"/>
  <c r="C291" i="1" s="1"/>
  <c r="E291" i="1" s="1"/>
  <c r="G291" i="1" s="1"/>
  <c r="A292" i="1"/>
  <c r="C292" i="1" s="1"/>
  <c r="E292" i="1" s="1"/>
  <c r="G292" i="1" s="1"/>
  <c r="A293" i="1"/>
  <c r="C293" i="1" s="1"/>
  <c r="E293" i="1" s="1"/>
  <c r="G293" i="1" s="1"/>
  <c r="A294" i="1"/>
  <c r="C294" i="1" s="1"/>
  <c r="E294" i="1" s="1"/>
  <c r="G294" i="1" s="1"/>
  <c r="A295" i="1"/>
  <c r="A303" i="1"/>
  <c r="A304" i="1"/>
  <c r="C304" i="1"/>
  <c r="E304" i="1" s="1"/>
  <c r="G304" i="1" s="1"/>
  <c r="A305" i="1"/>
  <c r="C305" i="1"/>
  <c r="E305" i="1" s="1"/>
  <c r="G305" i="1" s="1"/>
  <c r="A306" i="1"/>
  <c r="A307" i="1"/>
  <c r="A308" i="1"/>
  <c r="C308" i="1"/>
  <c r="E308" i="1" s="1"/>
  <c r="G308" i="1" s="1"/>
  <c r="C315" i="1"/>
  <c r="E315" i="1" s="1"/>
  <c r="G315" i="1" s="1"/>
  <c r="A316" i="1"/>
  <c r="A317" i="1"/>
  <c r="A318" i="1"/>
  <c r="A319" i="1"/>
  <c r="C319" i="1" s="1"/>
  <c r="E319" i="1" s="1"/>
  <c r="G319" i="1" s="1"/>
  <c r="A320" i="1"/>
  <c r="C320" i="1" s="1"/>
  <c r="E320" i="1" s="1"/>
  <c r="G320" i="1" s="1"/>
  <c r="A321" i="1"/>
  <c r="C321" i="1" s="1"/>
  <c r="E321" i="1" s="1"/>
  <c r="G321" i="1" s="1"/>
  <c r="D241" i="1"/>
  <c r="D247" i="1"/>
  <c r="I187" i="1"/>
  <c r="I179" i="1"/>
  <c r="I175" i="1"/>
  <c r="I127" i="1"/>
  <c r="D96" i="1"/>
  <c r="I86" i="1"/>
  <c r="I82" i="1"/>
  <c r="I224" i="1"/>
  <c r="D101" i="1"/>
  <c r="I84" i="1"/>
  <c r="I80" i="1"/>
  <c r="D204" i="1"/>
  <c r="I174" i="1"/>
  <c r="I85" i="1"/>
  <c r="D103" i="1" s="1"/>
  <c r="D245" i="1"/>
  <c r="D248" i="1"/>
  <c r="D244" i="1"/>
  <c r="D242" i="1"/>
  <c r="D198" i="1"/>
  <c r="D192" i="1"/>
  <c r="I182" i="1"/>
  <c r="D148" i="1"/>
  <c r="D142" i="1"/>
  <c r="D102" i="1"/>
  <c r="D246" i="1"/>
  <c r="D196" i="1"/>
  <c r="D146" i="1"/>
  <c r="D195" i="1"/>
  <c r="I76" i="1" l="1"/>
  <c r="G70" i="1"/>
  <c r="D94" i="1"/>
  <c r="D111" i="1" s="1"/>
  <c r="G88" i="1" s="1"/>
  <c r="I172" i="1"/>
  <c r="D190" i="1"/>
  <c r="G166" i="1"/>
  <c r="D188" i="1"/>
  <c r="C67" i="1" s="1"/>
  <c r="I122" i="1"/>
  <c r="G116" i="1"/>
  <c r="D140" i="1"/>
  <c r="I222" i="1"/>
  <c r="D240" i="1"/>
  <c r="G216" i="1"/>
  <c r="I126" i="1"/>
  <c r="C317" i="1"/>
  <c r="E317" i="1" s="1"/>
  <c r="G317" i="1" s="1"/>
  <c r="I234" i="1"/>
  <c r="C316" i="1"/>
  <c r="E316" i="1" s="1"/>
  <c r="G316" i="1" s="1"/>
  <c r="C295" i="1"/>
  <c r="E295" i="1" s="1"/>
  <c r="G295" i="1" s="1"/>
  <c r="C276" i="1"/>
  <c r="E276" i="1" s="1"/>
  <c r="E284" i="1" s="1"/>
  <c r="I235" i="1"/>
  <c r="I184" i="1"/>
  <c r="D108" i="1"/>
  <c r="I176" i="1"/>
  <c r="I134" i="1"/>
  <c r="I91" i="1"/>
  <c r="K46" i="1"/>
  <c r="I48" i="1" s="1"/>
  <c r="G14" i="1" s="1"/>
  <c r="G26" i="1" s="1"/>
  <c r="C307" i="1"/>
  <c r="E307" i="1" s="1"/>
  <c r="G307" i="1" s="1"/>
  <c r="C303" i="1"/>
  <c r="E303" i="1" s="1"/>
  <c r="G303" i="1" s="1"/>
  <c r="G310" i="1" s="1"/>
  <c r="C290" i="1"/>
  <c r="E290" i="1" s="1"/>
  <c r="G290" i="1" s="1"/>
  <c r="C278" i="1"/>
  <c r="E278" i="1" s="1"/>
  <c r="G278" i="1" s="1"/>
  <c r="D141" i="1"/>
  <c r="C44" i="1"/>
  <c r="E41" i="1" s="1"/>
  <c r="C13" i="1" s="1"/>
  <c r="C318" i="1"/>
  <c r="E318" i="1" s="1"/>
  <c r="G318" i="1" s="1"/>
  <c r="C289" i="1"/>
  <c r="E289" i="1" s="1"/>
  <c r="G289" i="1" s="1"/>
  <c r="G297" i="1" s="1"/>
  <c r="D37" i="1" s="1"/>
  <c r="D105" i="1"/>
  <c r="C306" i="1"/>
  <c r="E306" i="1" s="1"/>
  <c r="G306" i="1" s="1"/>
  <c r="C302" i="1"/>
  <c r="E302" i="1" s="1"/>
  <c r="G302" i="1" s="1"/>
  <c r="C277" i="1"/>
  <c r="E277" i="1" s="1"/>
  <c r="G277" i="1" s="1"/>
  <c r="I131" i="1"/>
  <c r="D149" i="1"/>
  <c r="G323" i="1"/>
  <c r="I231" i="1"/>
  <c r="D249" i="1" s="1"/>
  <c r="D257" i="1" s="1"/>
  <c r="G234" i="1" s="1"/>
  <c r="D238" i="1"/>
  <c r="C68" i="1" s="1"/>
  <c r="C34" i="1"/>
  <c r="D34" i="1" s="1"/>
  <c r="D35" i="1" s="1"/>
  <c r="C15" i="1"/>
  <c r="D138" i="1"/>
  <c r="I137" i="1"/>
  <c r="I135" i="1"/>
  <c r="I237" i="1"/>
  <c r="I132" i="1"/>
  <c r="D203" i="1"/>
  <c r="D207" i="1" s="1"/>
  <c r="G184" i="1" s="1"/>
  <c r="D251" i="1"/>
  <c r="D250" i="1"/>
  <c r="I81" i="1"/>
  <c r="D92" i="1"/>
  <c r="D151" i="1"/>
  <c r="D39" i="1" l="1"/>
  <c r="H34" i="1" s="1"/>
  <c r="H38" i="1" s="1"/>
  <c r="H41" i="1" s="1"/>
  <c r="H43" i="1" s="1"/>
  <c r="C20" i="1" s="1"/>
  <c r="G276" i="1"/>
  <c r="G284" i="1" s="1"/>
  <c r="D157" i="1"/>
  <c r="G134" i="1" s="1"/>
  <c r="C70" i="1"/>
</calcChain>
</file>

<file path=xl/comments1.xml><?xml version="1.0" encoding="utf-8"?>
<comments xmlns="http://schemas.openxmlformats.org/spreadsheetml/2006/main">
  <authors>
    <author>Jo Hermans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Tenzij anders bedongen, lopen de 6 weken voor betaling prijs vanaf dan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Betaling kosten binnen de 5 dagen vanaf dan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</rPr>
          <t xml:space="preserve">- zuivere aankoop (geen ruil,...)
- volle eigendom van een gebouwd onroerend goed (woning of appartement in aanbouw, GEEN BOUWGROND)
- geen eigenaar van de geheelheid van een andere woning
- vestigen van een hoofdverblijfplaats in de woning (2j.) of het appartement in aanbouw (3j.) en behoud hoofdverblijf in het aangekochte goed gedurende 5 jaar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<sst xmlns="http://schemas.openxmlformats.org/spreadsheetml/2006/main" count="68" uniqueCount="45">
  <si>
    <t>Dossier</t>
  </si>
  <si>
    <t>Koper</t>
  </si>
  <si>
    <t>Ligging van het goed</t>
  </si>
  <si>
    <t>Prijs:</t>
  </si>
  <si>
    <t>Werkelijke kost na</t>
  </si>
  <si>
    <t>Kost volgens percentage:</t>
  </si>
  <si>
    <t>Instelpremie:</t>
  </si>
  <si>
    <t>Totaal:</t>
  </si>
  <si>
    <t>Afrekening koper</t>
  </si>
  <si>
    <t>Décompte acquéreur</t>
  </si>
  <si>
    <t>OV notarishuis</t>
  </si>
  <si>
    <t>OV in café</t>
  </si>
  <si>
    <t>Recht van hoger bod afgeschaft in notarishuis</t>
  </si>
  <si>
    <t>Recht van hoger bod afgeschaft in café</t>
  </si>
  <si>
    <t>ja</t>
  </si>
  <si>
    <t>neen</t>
  </si>
  <si>
    <t>Verhoogd abattement?</t>
  </si>
  <si>
    <t>Toepasselijk percentage:</t>
  </si>
  <si>
    <t>Bekrachtiging:</t>
  </si>
  <si>
    <t>Borgstelling:</t>
  </si>
  <si>
    <t>Meting:</t>
  </si>
  <si>
    <t>Publiciteit (tot eind 2017):</t>
  </si>
  <si>
    <t>Abattement?</t>
  </si>
  <si>
    <t>Datum toewijzing</t>
  </si>
  <si>
    <t>OPENBARE VERKOOP BRUSSELS GEWEST</t>
  </si>
  <si>
    <t>Zoek het op</t>
  </si>
  <si>
    <t>Definitieve toewijs na hoger bod?</t>
  </si>
  <si>
    <t>toep. abattement</t>
  </si>
  <si>
    <t>Toewijzing definitief geworden op</t>
  </si>
  <si>
    <t>VERKOOPPRIJS</t>
  </si>
  <si>
    <t>WETTELIJKE KOSTEN VOOR DE REGISTRATIERECHTEN</t>
  </si>
  <si>
    <t>Registratie 10 PROCENT</t>
  </si>
  <si>
    <t>OPENBARE VERKOOP</t>
  </si>
  <si>
    <t>WK</t>
  </si>
  <si>
    <t xml:space="preserve">van  </t>
  </si>
  <si>
    <t xml:space="preserve">tot </t>
  </si>
  <si>
    <t>Registratie 12,50 PROCENT</t>
  </si>
  <si>
    <t>Registratie 6 PROCENT</t>
  </si>
  <si>
    <t>Registratie 5 PROCENT</t>
  </si>
  <si>
    <t>Kostenpercentage bij -30000 €?</t>
  </si>
  <si>
    <t>Overeengekomen kosten:</t>
  </si>
  <si>
    <t>Basis registratie:</t>
  </si>
  <si>
    <t>Wettelijke kosten:</t>
  </si>
  <si>
    <t>Verschil:</t>
  </si>
  <si>
    <t>Werkelijke registratierechten: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</si>
</sst>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 &quot;€&quot;\ * #,##0.00_ ;_ &quot;€&quot;\ * \-#,##0.00_ ;_ &quot;€&quot;\ * &quot;-&quot;??_ ;_ @_ "/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.00\ &quot;€&quot;"/>
    <numFmt numFmtId="167" formatCode="#,##0_ ;\-#,##0\ "/>
    <numFmt numFmtId="168" formatCode="#.##000"/>
    <numFmt numFmtId="169" formatCode="_-* #,##0\ _F_B_-;\-* #,##0\ _F_B_-;_-* &quot;-&quot;\ _F_B_-;_-@_-"/>
    <numFmt numFmtId="170" formatCode="\$#,#00"/>
    <numFmt numFmtId="171" formatCode="_-* #,##0\ &quot;FB&quot;_-;\-* #,##0\ &quot;FB&quot;_-;_-* &quot;-&quot;\ &quot;FB&quot;_-;_-@_-"/>
    <numFmt numFmtId="172" formatCode="m\o\n\t\h\ d\,\ \y\y\y\y"/>
    <numFmt numFmtId="173" formatCode="#,#00"/>
    <numFmt numFmtId="174" formatCode="#,"/>
    <numFmt numFmtId="175" formatCode="%#,#00"/>
    <numFmt numFmtId="176" formatCode="d/mm/yy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6"/>
      <color theme="0"/>
      <name val="Arial"/>
      <family val="2"/>
    </font>
    <font>
      <b/>
      <u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0000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8" fontId="4" fillId="0" borderId="0">
      <protection locked="0"/>
    </xf>
    <xf numFmtId="169" fontId="1" fillId="0" borderId="0" applyFont="0" applyFill="0" applyBorder="0" applyAlignment="0" applyProtection="0"/>
    <xf numFmtId="170" fontId="4" fillId="0" borderId="0">
      <protection locked="0"/>
    </xf>
    <xf numFmtId="171" fontId="1" fillId="0" borderId="0" applyFont="0" applyFill="0" applyBorder="0" applyAlignment="0" applyProtection="0"/>
    <xf numFmtId="172" fontId="4" fillId="0" borderId="0">
      <protection locked="0"/>
    </xf>
    <xf numFmtId="173" fontId="4" fillId="0" borderId="0">
      <protection locked="0"/>
    </xf>
    <xf numFmtId="174" fontId="5" fillId="0" borderId="0">
      <protection locked="0"/>
    </xf>
    <xf numFmtId="174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5" fontId="4" fillId="0" borderId="0">
      <protection locked="0"/>
    </xf>
    <xf numFmtId="0" fontId="6" fillId="0" borderId="0"/>
    <xf numFmtId="0" fontId="11" fillId="0" borderId="0"/>
    <xf numFmtId="0" fontId="1" fillId="0" borderId="0"/>
    <xf numFmtId="0" fontId="11" fillId="0" borderId="0"/>
    <xf numFmtId="174" fontId="4" fillId="0" borderId="1">
      <protection locked="0"/>
    </xf>
    <xf numFmtId="0" fontId="15" fillId="0" borderId="4" applyNumberFormat="0" applyFill="0" applyAlignment="0" applyProtection="0"/>
  </cellStyleXfs>
  <cellXfs count="53">
    <xf numFmtId="0" fontId="0" fillId="0" borderId="0" xfId="0"/>
    <xf numFmtId="0" fontId="0" fillId="2" borderId="0" xfId="0" applyFill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0" fontId="3" fillId="2" borderId="0" xfId="9" applyFill="1" applyBorder="1" applyAlignment="1" applyProtection="1">
      <alignment horizontal="left"/>
      <protection hidden="1"/>
    </xf>
    <xf numFmtId="165" fontId="0" fillId="2" borderId="0" xfId="0" applyNumberFormat="1" applyFill="1" applyProtection="1">
      <protection hidden="1"/>
    </xf>
    <xf numFmtId="166" fontId="0" fillId="2" borderId="0" xfId="0" applyNumberFormat="1" applyFill="1" applyProtection="1">
      <protection hidden="1"/>
    </xf>
    <xf numFmtId="10" fontId="0" fillId="2" borderId="0" xfId="0" applyNumberFormat="1" applyFill="1" applyProtection="1"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7" fillId="2" borderId="0" xfId="0" applyFont="1" applyFill="1" applyProtection="1">
      <protection hidden="1"/>
    </xf>
    <xf numFmtId="0" fontId="3" fillId="2" borderId="0" xfId="9" applyFill="1" applyAlignment="1" applyProtection="1">
      <protection hidden="1"/>
    </xf>
    <xf numFmtId="164" fontId="0" fillId="2" borderId="0" xfId="0" applyNumberFormat="1" applyFill="1" applyProtection="1">
      <protection hidden="1"/>
    </xf>
    <xf numFmtId="0" fontId="2" fillId="2" borderId="0" xfId="0" applyFont="1" applyFill="1" applyAlignment="1" applyProtection="1">
      <alignment horizontal="justify"/>
      <protection hidden="1"/>
    </xf>
    <xf numFmtId="10" fontId="2" fillId="2" borderId="0" xfId="0" applyNumberFormat="1" applyFont="1" applyFill="1" applyAlignment="1" applyProtection="1">
      <alignment horizontal="justify"/>
      <protection hidden="1"/>
    </xf>
    <xf numFmtId="4" fontId="1" fillId="2" borderId="0" xfId="0" applyNumberFormat="1" applyFont="1" applyFill="1" applyBorder="1" applyProtection="1">
      <protection locked="0"/>
    </xf>
    <xf numFmtId="44" fontId="7" fillId="2" borderId="0" xfId="0" applyNumberFormat="1" applyFont="1" applyFill="1" applyBorder="1" applyProtection="1">
      <protection locked="0"/>
    </xf>
    <xf numFmtId="10" fontId="1" fillId="2" borderId="0" xfId="0" applyNumberFormat="1" applyFont="1" applyFill="1" applyBorder="1" applyProtection="1">
      <protection locked="0"/>
    </xf>
    <xf numFmtId="0" fontId="0" fillId="3" borderId="0" xfId="0" applyFill="1" applyBorder="1"/>
    <xf numFmtId="0" fontId="0" fillId="3" borderId="0" xfId="0" applyFill="1"/>
    <xf numFmtId="4" fontId="7" fillId="2" borderId="0" xfId="0" applyNumberFormat="1" applyFont="1" applyFill="1" applyBorder="1" applyProtection="1">
      <protection locked="0"/>
    </xf>
    <xf numFmtId="4" fontId="10" fillId="2" borderId="0" xfId="0" applyNumberFormat="1" applyFont="1" applyFill="1" applyBorder="1" applyProtection="1">
      <protection locked="0"/>
    </xf>
    <xf numFmtId="0" fontId="7" fillId="3" borderId="0" xfId="0" applyFont="1" applyFill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/>
      <protection locked="0"/>
    </xf>
    <xf numFmtId="4" fontId="1" fillId="2" borderId="0" xfId="0" applyNumberFormat="1" applyFont="1" applyFill="1" applyBorder="1" applyAlignment="1" applyProtection="1">
      <alignment horizontal="center"/>
      <protection locked="0"/>
    </xf>
    <xf numFmtId="4" fontId="0" fillId="3" borderId="0" xfId="0" applyNumberFormat="1" applyFill="1" applyBorder="1"/>
    <xf numFmtId="4" fontId="7" fillId="3" borderId="0" xfId="0" applyNumberFormat="1" applyFont="1" applyFill="1"/>
    <xf numFmtId="4" fontId="0" fillId="3" borderId="0" xfId="0" applyNumberFormat="1" applyFill="1"/>
    <xf numFmtId="4" fontId="0" fillId="2" borderId="0" xfId="0" applyNumberFormat="1" applyFill="1" applyProtection="1">
      <protection hidden="1"/>
    </xf>
    <xf numFmtId="0" fontId="12" fillId="4" borderId="2" xfId="0" applyFont="1" applyFill="1" applyBorder="1" applyProtection="1">
      <protection hidden="1"/>
    </xf>
    <xf numFmtId="0" fontId="13" fillId="4" borderId="2" xfId="0" applyFont="1" applyFill="1" applyBorder="1" applyProtection="1">
      <protection hidden="1"/>
    </xf>
    <xf numFmtId="0" fontId="14" fillId="4" borderId="2" xfId="0" applyFont="1" applyFill="1" applyBorder="1" applyProtection="1">
      <protection hidden="1"/>
    </xf>
    <xf numFmtId="49" fontId="1" fillId="5" borderId="0" xfId="13" applyNumberFormat="1" applyFont="1" applyFill="1" applyBorder="1" applyAlignment="1" applyProtection="1">
      <alignment horizontal="left"/>
      <protection locked="0" hidden="1"/>
    </xf>
    <xf numFmtId="0" fontId="1" fillId="6" borderId="0" xfId="13" applyFont="1" applyFill="1" applyBorder="1" applyAlignment="1" applyProtection="1">
      <alignment horizontal="left"/>
      <protection locked="0" hidden="1"/>
    </xf>
    <xf numFmtId="0" fontId="1" fillId="7" borderId="0" xfId="13" applyFont="1" applyFill="1" applyBorder="1" applyAlignment="1" applyProtection="1">
      <alignment horizontal="left"/>
      <protection locked="0" hidden="1"/>
    </xf>
    <xf numFmtId="0" fontId="1" fillId="7" borderId="0" xfId="13" applyFill="1" applyBorder="1" applyAlignment="1" applyProtection="1">
      <alignment horizontal="left"/>
      <protection hidden="1"/>
    </xf>
    <xf numFmtId="0" fontId="1" fillId="6" borderId="0" xfId="13" applyFill="1" applyBorder="1" applyAlignment="1" applyProtection="1">
      <alignment horizontal="center"/>
      <protection locked="0" hidden="1"/>
    </xf>
    <xf numFmtId="10" fontId="0" fillId="8" borderId="0" xfId="0" applyNumberFormat="1" applyFill="1" applyProtection="1">
      <protection locked="0"/>
    </xf>
    <xf numFmtId="164" fontId="0" fillId="9" borderId="0" xfId="0" applyNumberFormat="1" applyFill="1" applyAlignment="1" applyProtection="1">
      <alignment horizontal="center"/>
      <protection locked="0" hidden="1"/>
    </xf>
    <xf numFmtId="10" fontId="0" fillId="5" borderId="0" xfId="0" applyNumberFormat="1" applyFill="1" applyProtection="1">
      <protection hidden="1"/>
    </xf>
    <xf numFmtId="165" fontId="0" fillId="5" borderId="0" xfId="0" applyNumberFormat="1" applyFill="1" applyProtection="1">
      <protection hidden="1"/>
    </xf>
    <xf numFmtId="167" fontId="0" fillId="5" borderId="0" xfId="0" applyNumberFormat="1" applyFill="1" applyAlignment="1" applyProtection="1">
      <alignment horizontal="center"/>
      <protection locked="0" hidden="1"/>
    </xf>
    <xf numFmtId="166" fontId="0" fillId="10" borderId="0" xfId="0" applyNumberFormat="1" applyFill="1" applyProtection="1">
      <protection hidden="1"/>
    </xf>
    <xf numFmtId="166" fontId="0" fillId="5" borderId="0" xfId="0" applyNumberFormat="1" applyFill="1" applyProtection="1">
      <protection locked="0" hidden="1"/>
    </xf>
    <xf numFmtId="165" fontId="0" fillId="5" borderId="0" xfId="0" applyNumberFormat="1" applyFill="1" applyProtection="1">
      <protection locked="0" hidden="1"/>
    </xf>
    <xf numFmtId="166" fontId="0" fillId="11" borderId="0" xfId="0" applyNumberFormat="1" applyFill="1" applyProtection="1">
      <protection locked="0" hidden="1"/>
    </xf>
    <xf numFmtId="166" fontId="0" fillId="12" borderId="3" xfId="0" applyNumberFormat="1" applyFill="1" applyBorder="1" applyProtection="1">
      <protection hidden="1"/>
    </xf>
    <xf numFmtId="165" fontId="0" fillId="13" borderId="0" xfId="0" applyNumberFormat="1" applyFill="1" applyProtection="1">
      <protection hidden="1"/>
    </xf>
    <xf numFmtId="0" fontId="0" fillId="6" borderId="0" xfId="0" applyFill="1" applyProtection="1">
      <protection hidden="1"/>
    </xf>
    <xf numFmtId="176" fontId="1" fillId="5" borderId="0" xfId="13" applyNumberFormat="1" applyFill="1" applyBorder="1" applyAlignment="1" applyProtection="1">
      <alignment horizontal="left"/>
      <protection locked="0" hidden="1"/>
    </xf>
    <xf numFmtId="49" fontId="1" fillId="5" borderId="0" xfId="13" applyNumberFormat="1" applyFont="1" applyFill="1" applyBorder="1" applyAlignment="1" applyProtection="1">
      <alignment horizontal="left"/>
      <protection hidden="1"/>
    </xf>
    <xf numFmtId="0" fontId="1" fillId="6" borderId="0" xfId="13" applyFont="1" applyFill="1" applyBorder="1" applyAlignment="1" applyProtection="1">
      <alignment horizontal="lef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imes-renovation.be/emb_carte.php?Nlg=nl" TargetMode="External"/><Relationship Id="rId2" Type="http://schemas.openxmlformats.org/officeDocument/2006/relationships/hyperlink" Target="OVBRUDECACQ.xlsx" TargetMode="External"/><Relationship Id="rId1" Type="http://schemas.openxmlformats.org/officeDocument/2006/relationships/hyperlink" Target="OVBRUAFKOP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2"/>
  <sheetViews>
    <sheetView tabSelected="1" workbookViewId="0">
      <selection activeCell="C3" sqref="C3"/>
    </sheetView>
  </sheetViews>
  <sheetFormatPr defaultRowHeight="12.75" x14ac:dyDescent="0.2"/>
  <cols>
    <col min="1" max="1" width="29.140625" style="1" customWidth="1"/>
    <col min="2" max="2" width="1" style="1" customWidth="1"/>
    <col min="3" max="3" width="14.28515625" style="1" customWidth="1"/>
    <col min="4" max="4" width="19.7109375" style="1" customWidth="1"/>
    <col min="5" max="5" width="21.7109375" style="1" customWidth="1"/>
    <col min="6" max="6" width="10.85546875" style="1" customWidth="1"/>
    <col min="7" max="7" width="14.5703125" style="1" customWidth="1"/>
    <col min="8" max="8" width="11.85546875" style="1" bestFit="1" customWidth="1"/>
    <col min="9" max="9" width="11.7109375" style="1" customWidth="1"/>
    <col min="10" max="10" width="11.85546875" style="1" bestFit="1" customWidth="1"/>
    <col min="11" max="11" width="13.28515625" style="1" customWidth="1"/>
    <col min="12" max="16384" width="9.140625" style="1"/>
  </cols>
  <sheetData>
    <row r="1" spans="1:11" ht="24" customHeight="1" thickTop="1" x14ac:dyDescent="0.3">
      <c r="A1" s="30" t="s">
        <v>24</v>
      </c>
      <c r="B1" s="31"/>
      <c r="C1" s="32"/>
      <c r="D1" s="32"/>
    </row>
    <row r="3" spans="1:11" x14ac:dyDescent="0.2">
      <c r="A3" s="2" t="s">
        <v>0</v>
      </c>
      <c r="B3" s="2"/>
      <c r="C3" s="33"/>
      <c r="D3" s="51"/>
    </row>
    <row r="4" spans="1:11" x14ac:dyDescent="0.2">
      <c r="A4" s="2" t="s">
        <v>1</v>
      </c>
      <c r="B4" s="2"/>
      <c r="C4" s="34"/>
      <c r="D4" s="52"/>
    </row>
    <row r="5" spans="1:11" x14ac:dyDescent="0.2">
      <c r="A5" s="2" t="s">
        <v>2</v>
      </c>
      <c r="B5" s="2"/>
      <c r="C5" s="35"/>
      <c r="D5" s="36"/>
    </row>
    <row r="6" spans="1:11" x14ac:dyDescent="0.2">
      <c r="A6" s="2" t="s">
        <v>23</v>
      </c>
      <c r="B6" s="2"/>
      <c r="C6" s="50">
        <v>41944</v>
      </c>
      <c r="D6" s="3"/>
    </row>
    <row r="7" spans="1:11" x14ac:dyDescent="0.2">
      <c r="A7" s="2" t="s">
        <v>28</v>
      </c>
      <c r="B7" s="2"/>
      <c r="C7" s="50">
        <v>41959</v>
      </c>
      <c r="D7" s="3"/>
    </row>
    <row r="8" spans="1:11" x14ac:dyDescent="0.2">
      <c r="A8" s="2" t="s">
        <v>26</v>
      </c>
      <c r="B8" s="2"/>
      <c r="C8" s="37" t="s">
        <v>14</v>
      </c>
    </row>
    <row r="9" spans="1:11" x14ac:dyDescent="0.2">
      <c r="A9" s="2" t="s">
        <v>39</v>
      </c>
      <c r="C9" s="38">
        <v>0.33</v>
      </c>
    </row>
    <row r="10" spans="1:11" x14ac:dyDescent="0.2">
      <c r="A10" s="1" t="s">
        <v>3</v>
      </c>
      <c r="C10" s="39">
        <v>0</v>
      </c>
      <c r="E10" s="4" t="s">
        <v>22</v>
      </c>
      <c r="F10" s="4"/>
      <c r="G10" s="42" t="s">
        <v>15</v>
      </c>
    </row>
    <row r="11" spans="1:11" x14ac:dyDescent="0.2">
      <c r="E11" s="1" t="s">
        <v>16</v>
      </c>
      <c r="F11" s="5" t="s">
        <v>25</v>
      </c>
      <c r="G11" s="42" t="s">
        <v>15</v>
      </c>
    </row>
    <row r="12" spans="1:11" x14ac:dyDescent="0.2">
      <c r="A12" s="6"/>
      <c r="B12" s="6"/>
      <c r="D12" s="6"/>
      <c r="G12" s="6"/>
      <c r="H12" s="7"/>
      <c r="I12" s="7"/>
    </row>
    <row r="13" spans="1:11" x14ac:dyDescent="0.2">
      <c r="A13" s="6" t="s">
        <v>17</v>
      </c>
      <c r="B13" s="6"/>
      <c r="C13" s="40">
        <f>IF(C8="neen",E41,E41+1%)</f>
        <v>0.34</v>
      </c>
      <c r="D13" s="6"/>
      <c r="E13" s="1" t="s">
        <v>4</v>
      </c>
      <c r="G13" s="6"/>
      <c r="H13" s="7"/>
      <c r="I13" s="7"/>
    </row>
    <row r="14" spans="1:11" x14ac:dyDescent="0.2">
      <c r="E14" s="1" t="s">
        <v>27</v>
      </c>
      <c r="G14" s="43">
        <f>I48</f>
        <v>0</v>
      </c>
      <c r="I14" s="9"/>
      <c r="J14" s="10"/>
      <c r="K14" s="10"/>
    </row>
    <row r="15" spans="1:11" ht="15" customHeight="1" x14ac:dyDescent="0.2">
      <c r="A15" s="1" t="s">
        <v>5</v>
      </c>
      <c r="C15" s="41">
        <f>C10*C13</f>
        <v>0</v>
      </c>
      <c r="G15" s="6"/>
      <c r="I15" s="9"/>
    </row>
    <row r="16" spans="1:11" ht="15" customHeight="1" x14ac:dyDescent="0.2">
      <c r="C16" s="7"/>
      <c r="E16" s="1" t="s">
        <v>21</v>
      </c>
      <c r="G16" s="44">
        <v>0</v>
      </c>
    </row>
    <row r="17" spans="1:7" ht="15" customHeight="1" x14ac:dyDescent="0.2">
      <c r="G17" s="6"/>
    </row>
    <row r="18" spans="1:7" ht="15" customHeight="1" x14ac:dyDescent="0.2">
      <c r="E18" s="1" t="s">
        <v>20</v>
      </c>
      <c r="G18" s="45">
        <v>0</v>
      </c>
    </row>
    <row r="19" spans="1:7" ht="15" customHeight="1" x14ac:dyDescent="0.2">
      <c r="G19" s="6"/>
    </row>
    <row r="20" spans="1:7" ht="15" customHeight="1" x14ac:dyDescent="0.2">
      <c r="A20" s="49" t="s">
        <v>44</v>
      </c>
      <c r="C20" s="48">
        <f>H43</f>
        <v>50</v>
      </c>
      <c r="E20" s="1" t="s">
        <v>19</v>
      </c>
      <c r="G20" s="45">
        <v>0</v>
      </c>
    </row>
    <row r="21" spans="1:7" ht="15" customHeight="1" x14ac:dyDescent="0.2">
      <c r="G21" s="6"/>
    </row>
    <row r="22" spans="1:7" ht="15" customHeight="1" x14ac:dyDescent="0.2">
      <c r="E22" s="1" t="s">
        <v>18</v>
      </c>
      <c r="G22" s="45">
        <v>0</v>
      </c>
    </row>
    <row r="23" spans="1:7" ht="15" customHeight="1" x14ac:dyDescent="0.2">
      <c r="G23" s="7"/>
    </row>
    <row r="24" spans="1:7" ht="15" customHeight="1" x14ac:dyDescent="0.2">
      <c r="E24" s="1" t="s">
        <v>6</v>
      </c>
      <c r="G24" s="46">
        <v>0</v>
      </c>
    </row>
    <row r="25" spans="1:7" ht="15" customHeight="1" thickBot="1" x14ac:dyDescent="0.25">
      <c r="G25" s="7"/>
    </row>
    <row r="26" spans="1:7" ht="15" customHeight="1" thickTop="1" thickBot="1" x14ac:dyDescent="0.25">
      <c r="E26" s="11" t="s">
        <v>7</v>
      </c>
      <c r="F26" s="11"/>
      <c r="G26" s="47">
        <f>SUM(G14:G22)-G24</f>
        <v>0</v>
      </c>
    </row>
    <row r="27" spans="1:7" ht="15" customHeight="1" thickTop="1" x14ac:dyDescent="0.2"/>
    <row r="28" spans="1:7" ht="15" customHeight="1" x14ac:dyDescent="0.2">
      <c r="E28" s="12" t="s">
        <v>8</v>
      </c>
    </row>
    <row r="29" spans="1:7" ht="15" customHeight="1" x14ac:dyDescent="0.2">
      <c r="E29" s="12" t="s">
        <v>9</v>
      </c>
    </row>
    <row r="30" spans="1:7" ht="15" customHeight="1" x14ac:dyDescent="0.2"/>
    <row r="31" spans="1:7" ht="15" customHeight="1" x14ac:dyDescent="0.2"/>
    <row r="32" spans="1:7" ht="15" customHeight="1" x14ac:dyDescent="0.2"/>
    <row r="33" spans="1:11" ht="15" hidden="1" customHeight="1" x14ac:dyDescent="0.2"/>
    <row r="34" spans="1:11" ht="15" hidden="1" customHeight="1" x14ac:dyDescent="0.2">
      <c r="A34" s="1" t="s">
        <v>40</v>
      </c>
      <c r="C34" s="8">
        <f>C13</f>
        <v>0.34</v>
      </c>
      <c r="D34" s="6">
        <f>C10*C34</f>
        <v>0</v>
      </c>
      <c r="F34" s="1" t="s">
        <v>41</v>
      </c>
      <c r="H34" s="13">
        <f>C10+D39</f>
        <v>0</v>
      </c>
    </row>
    <row r="35" spans="1:11" ht="15" hidden="1" customHeight="1" x14ac:dyDescent="0.2">
      <c r="D35" s="6">
        <f>D34+G16+G18</f>
        <v>0</v>
      </c>
    </row>
    <row r="36" spans="1:11" ht="15" hidden="1" customHeight="1" x14ac:dyDescent="0.2">
      <c r="H36" s="6">
        <f>IF(AND(G10="ja",G11="ja"),(H34-75000)*12.5%,0)</f>
        <v>0</v>
      </c>
    </row>
    <row r="37" spans="1:11" ht="15" hidden="1" customHeight="1" x14ac:dyDescent="0.2">
      <c r="A37" s="1" t="s">
        <v>42</v>
      </c>
      <c r="D37" s="6">
        <f>G297</f>
        <v>0</v>
      </c>
      <c r="H37" s="6">
        <f>IF(AND(G10="ja",G11="neen"),(H34-60000)*12.5%,0)</f>
        <v>0</v>
      </c>
    </row>
    <row r="38" spans="1:11" ht="15" hidden="1" customHeight="1" x14ac:dyDescent="0.2">
      <c r="H38" s="6">
        <f>IF(G10="neen",H34*12.5%,0)</f>
        <v>0</v>
      </c>
    </row>
    <row r="39" spans="1:11" ht="15" hidden="1" customHeight="1" x14ac:dyDescent="0.2">
      <c r="A39" s="1" t="s">
        <v>43</v>
      </c>
      <c r="D39" s="6">
        <f>D35-D37</f>
        <v>0</v>
      </c>
      <c r="H39" s="6"/>
    </row>
    <row r="40" spans="1:11" ht="15" hidden="1" customHeight="1" x14ac:dyDescent="0.2">
      <c r="D40" s="6"/>
    </row>
    <row r="41" spans="1:11" ht="15" hidden="1" customHeight="1" x14ac:dyDescent="0.25">
      <c r="A41" s="14"/>
      <c r="B41" s="14"/>
      <c r="E41" s="8">
        <f>C44</f>
        <v>0.33</v>
      </c>
      <c r="F41" s="8"/>
      <c r="H41" s="6">
        <f>SUM(H36:H38)</f>
        <v>0</v>
      </c>
    </row>
    <row r="42" spans="1:11" ht="15" hidden="1" customHeight="1" x14ac:dyDescent="0.25">
      <c r="A42" s="14"/>
      <c r="B42" s="14"/>
    </row>
    <row r="43" spans="1:11" ht="15" hidden="1" customHeight="1" x14ac:dyDescent="0.25">
      <c r="A43" s="14"/>
      <c r="B43" s="14"/>
      <c r="H43" s="6">
        <f>IF(H41&gt;50,H41,50)</f>
        <v>50</v>
      </c>
    </row>
    <row r="44" spans="1:11" ht="15" hidden="1" customHeight="1" x14ac:dyDescent="0.25">
      <c r="A44" s="15">
        <f>IF(C10&lt;=30000,C9,0)</f>
        <v>0.33</v>
      </c>
      <c r="B44" s="14"/>
      <c r="C44" s="8">
        <f>SUM(A44:A69)</f>
        <v>0.33</v>
      </c>
      <c r="I44" s="6">
        <f>IF(AND(G10="ja",G11="neen"),C15-7500,0)</f>
        <v>0</v>
      </c>
      <c r="J44" s="6"/>
    </row>
    <row r="45" spans="1:11" ht="15.75" hidden="1" x14ac:dyDescent="0.25">
      <c r="A45" s="15">
        <f>IF(AND(C10&gt;30000,C10&lt;=40000),31.5%,0)</f>
        <v>0</v>
      </c>
      <c r="B45" s="15"/>
      <c r="I45" s="6">
        <f>(IF(AND(G10="ja",G11="ja"),C15-9375,0))</f>
        <v>0</v>
      </c>
      <c r="J45" s="6"/>
    </row>
    <row r="46" spans="1:11" ht="15.75" hidden="1" x14ac:dyDescent="0.25">
      <c r="A46" s="15">
        <f>IF(AND(C10&gt;40000,C10&lt;=50000),28%,0)</f>
        <v>0</v>
      </c>
      <c r="B46" s="15"/>
      <c r="I46" s="6"/>
      <c r="J46" s="6"/>
      <c r="K46" s="6">
        <f>SUM(I44:I45)</f>
        <v>0</v>
      </c>
    </row>
    <row r="47" spans="1:11" ht="15.75" hidden="1" x14ac:dyDescent="0.25">
      <c r="A47" s="15">
        <f>IF(AND(C10&gt;50000,C10&lt;=60000),24.5%,0)</f>
        <v>0</v>
      </c>
      <c r="B47" s="15"/>
    </row>
    <row r="48" spans="1:11" ht="15.75" hidden="1" x14ac:dyDescent="0.25">
      <c r="A48" s="15">
        <f>IF(AND(C10&gt;60000,C10&lt;=70000),23.5%,0)</f>
        <v>0</v>
      </c>
      <c r="B48" s="15"/>
      <c r="I48" s="1">
        <f>IF(K46&gt;0,K46,C15)</f>
        <v>0</v>
      </c>
    </row>
    <row r="49" spans="1:7" ht="15.75" hidden="1" x14ac:dyDescent="0.25">
      <c r="A49" s="15">
        <f>IF(AND(C10&gt;70000,C10&lt;=80000),23%,0)</f>
        <v>0</v>
      </c>
      <c r="B49" s="15"/>
    </row>
    <row r="50" spans="1:7" ht="15.75" hidden="1" x14ac:dyDescent="0.25">
      <c r="A50" s="15">
        <f>IF(AND(C10&gt;80000,C10&lt;=90000),22%,0)</f>
        <v>0</v>
      </c>
      <c r="B50" s="15"/>
      <c r="G50" s="1" t="e">
        <f>IF(AND(#REF!="ja",G10="ja"),-750,-1500)</f>
        <v>#REF!</v>
      </c>
    </row>
    <row r="51" spans="1:7" ht="15.75" hidden="1" x14ac:dyDescent="0.25">
      <c r="A51" s="15">
        <f>IF(AND(C10&gt;90000,C10&lt;=100000),21.5%,0)</f>
        <v>0</v>
      </c>
      <c r="B51" s="15"/>
      <c r="G51" s="1">
        <f>IF(AND(G10="ja",G11="ja"),-1000,0)</f>
        <v>0</v>
      </c>
    </row>
    <row r="52" spans="1:7" ht="15.75" hidden="1" x14ac:dyDescent="0.25">
      <c r="A52" s="15">
        <f>IF(AND(C10&gt;100000,C10&lt;=110000),21%,0)</f>
        <v>0</v>
      </c>
      <c r="B52" s="15"/>
    </row>
    <row r="53" spans="1:7" ht="15.75" hidden="1" x14ac:dyDescent="0.25">
      <c r="A53" s="15">
        <f>IF(AND(C10&gt;110000,C10&lt;=125000),20.75%,0)</f>
        <v>0</v>
      </c>
      <c r="B53" s="15"/>
    </row>
    <row r="54" spans="1:7" ht="15.75" hidden="1" x14ac:dyDescent="0.25">
      <c r="A54" s="15">
        <f>IF(AND(C10&gt;125000,C10&lt;=150000),20%,0)</f>
        <v>0</v>
      </c>
      <c r="B54" s="15"/>
    </row>
    <row r="55" spans="1:7" ht="15.75" hidden="1" x14ac:dyDescent="0.25">
      <c r="A55" s="15">
        <f>IF(AND(C10&gt;150000,C10&lt;=175000),19.75%,0)</f>
        <v>0</v>
      </c>
      <c r="B55" s="15"/>
    </row>
    <row r="56" spans="1:7" ht="15.75" hidden="1" x14ac:dyDescent="0.25">
      <c r="A56" s="15">
        <f>IF(AND(C10&gt;175000,C10&lt;=200000),19.25%,0)</f>
        <v>0</v>
      </c>
      <c r="B56" s="15"/>
    </row>
    <row r="57" spans="1:7" ht="15.75" hidden="1" x14ac:dyDescent="0.25">
      <c r="A57" s="15">
        <f>IF(AND(C10&gt;200000,C10&lt;=225000),18.5%,0)</f>
        <v>0</v>
      </c>
      <c r="B57" s="15"/>
    </row>
    <row r="58" spans="1:7" ht="15.75" hidden="1" x14ac:dyDescent="0.25">
      <c r="A58" s="15">
        <f>IF(AND(C10&gt;225000,C10&lt;=250000),18%,0)</f>
        <v>0</v>
      </c>
      <c r="B58" s="15"/>
    </row>
    <row r="59" spans="1:7" ht="15.75" hidden="1" x14ac:dyDescent="0.25">
      <c r="A59" s="15">
        <f>IF(AND(C10&gt;250000,C10&lt;=275000),17.5%,0)</f>
        <v>0</v>
      </c>
      <c r="B59" s="15"/>
      <c r="E59" s="7" t="e">
        <f>IF(AND(#REF!="ja",C8="neen"),D111,0)</f>
        <v>#REF!</v>
      </c>
      <c r="F59" s="7"/>
    </row>
    <row r="60" spans="1:7" ht="15.75" hidden="1" x14ac:dyDescent="0.25">
      <c r="A60" s="15">
        <f>IF(AND(C10&gt;275000,C10&lt;=300000),17.25%,0)</f>
        <v>0</v>
      </c>
      <c r="B60" s="15"/>
      <c r="E60" s="1" t="e">
        <f>IF(AND(#REF!="neen",C8="neen"),D157,0)</f>
        <v>#REF!</v>
      </c>
    </row>
    <row r="61" spans="1:7" ht="15.75" hidden="1" x14ac:dyDescent="0.25">
      <c r="A61" s="15">
        <f>IF(AND(C10&gt;300000,C10&lt;=325000),16.75%,0)</f>
        <v>0</v>
      </c>
      <c r="B61" s="15"/>
      <c r="E61" s="1" t="e">
        <f>IF(AND(#REF!="ja",C8="ja"),D207,0)</f>
        <v>#REF!</v>
      </c>
    </row>
    <row r="62" spans="1:7" ht="13.5" hidden="1" customHeight="1" x14ac:dyDescent="0.25">
      <c r="A62" s="15">
        <f>IF(AND(C10&gt;325000,C10&lt;=375000),16.5%,0)</f>
        <v>0</v>
      </c>
      <c r="B62" s="15"/>
      <c r="E62" s="1" t="e">
        <f>IF(AND(#REF!="neen",C8="ja"),D257,0)</f>
        <v>#REF!</v>
      </c>
    </row>
    <row r="63" spans="1:7" ht="15.75" hidden="1" x14ac:dyDescent="0.25">
      <c r="A63" s="15">
        <f>IF(AND(C10&gt;375000,C10&lt;=400000),16%,0)</f>
        <v>0</v>
      </c>
      <c r="B63" s="15"/>
    </row>
    <row r="64" spans="1:7" ht="13.5" hidden="1" customHeight="1" x14ac:dyDescent="0.25">
      <c r="A64" s="15">
        <f>IF(AND(C10&gt;400000,C10&lt;=425000),15.75%,0)</f>
        <v>0</v>
      </c>
      <c r="B64" s="15"/>
      <c r="E64" s="7" t="e">
        <f>SUM(E59:E62)</f>
        <v>#REF!</v>
      </c>
      <c r="F64" s="7"/>
    </row>
    <row r="65" spans="1:12" ht="15.75" hidden="1" x14ac:dyDescent="0.25">
      <c r="A65" s="15">
        <f>IF(AND(C10&gt;425000,C10&lt;=500000),15.5%,0)</f>
        <v>0</v>
      </c>
      <c r="B65" s="15"/>
      <c r="C65" s="1">
        <f>IF(C8="neen",D92,0)</f>
        <v>0</v>
      </c>
      <c r="D65" s="1" t="e">
        <f>IF(AND(#REF!="ja",C8="neen"),G96,0)</f>
        <v>#REF!</v>
      </c>
      <c r="H65" s="1" t="s">
        <v>14</v>
      </c>
      <c r="I65" s="1" t="s">
        <v>14</v>
      </c>
      <c r="J65" s="1" t="s">
        <v>14</v>
      </c>
      <c r="K65" s="1" t="s">
        <v>14</v>
      </c>
      <c r="L65" s="1" t="s">
        <v>14</v>
      </c>
    </row>
    <row r="66" spans="1:12" ht="15.75" hidden="1" x14ac:dyDescent="0.25">
      <c r="A66" s="15">
        <f>IF(AND(C10&gt;500000,C10&lt;=550000),15.25%,0)</f>
        <v>0</v>
      </c>
      <c r="B66" s="15"/>
      <c r="C66" s="1">
        <f>IF(C8="neen",D138,0)</f>
        <v>0</v>
      </c>
      <c r="D66" s="1" t="e">
        <f>IF(AND(#REF!="neen",C8="neen"),G142,0)</f>
        <v>#REF!</v>
      </c>
      <c r="H66" s="1" t="s">
        <v>15</v>
      </c>
      <c r="I66" s="1" t="s">
        <v>15</v>
      </c>
      <c r="J66" s="1" t="s">
        <v>15</v>
      </c>
      <c r="K66" s="1" t="s">
        <v>15</v>
      </c>
      <c r="L66" s="1" t="s">
        <v>15</v>
      </c>
    </row>
    <row r="67" spans="1:12" ht="15.75" hidden="1" x14ac:dyDescent="0.25">
      <c r="A67" s="15">
        <f>IF(AND(C10&gt;550000,C10&lt;=600000),15%,0)</f>
        <v>0</v>
      </c>
      <c r="B67" s="15"/>
      <c r="C67" s="1">
        <f>IF(C8="ja",D188,0)</f>
        <v>0</v>
      </c>
      <c r="D67" s="1" t="e">
        <f>IF(AND(#REF!="ja",C8="ja"),G192,0)</f>
        <v>#REF!</v>
      </c>
      <c r="E67" s="1" t="e">
        <f>IF(AND(G10="ja",#REF!="neen"),-1500,0)</f>
        <v>#REF!</v>
      </c>
      <c r="G67" s="1" t="e">
        <f>SUM(D73:E73)</f>
        <v>#REF!</v>
      </c>
    </row>
    <row r="68" spans="1:12" ht="15.75" hidden="1" x14ac:dyDescent="0.25">
      <c r="A68" s="15">
        <f>IF(AND(C10&gt;600000,C10&lt;=750000),14.75%,0)</f>
        <v>0</v>
      </c>
      <c r="B68" s="15"/>
      <c r="C68" s="1">
        <f>IF(C8="ja",D238,0)</f>
        <v>0</v>
      </c>
      <c r="D68" s="1" t="e">
        <f>IF(AND(#REF!="neen",C8="ja"),G242,0)</f>
        <v>#REF!</v>
      </c>
    </row>
    <row r="69" spans="1:12" ht="15.75" hidden="1" x14ac:dyDescent="0.25">
      <c r="A69" s="15">
        <f>IF(C10&gt;750000,14.5%,0)</f>
        <v>0</v>
      </c>
      <c r="B69" s="15"/>
    </row>
    <row r="70" spans="1:12" ht="15.75" hidden="1" x14ac:dyDescent="0.25">
      <c r="A70" s="14"/>
      <c r="B70" s="14"/>
      <c r="C70" s="1">
        <f>SUM(C65:C69)</f>
        <v>0</v>
      </c>
      <c r="D70" s="1" t="e">
        <f>SUM(D65:D69)</f>
        <v>#REF!</v>
      </c>
      <c r="E70" s="1">
        <v>12500</v>
      </c>
      <c r="G70" s="7">
        <f>D76</f>
        <v>0</v>
      </c>
    </row>
    <row r="71" spans="1:12" ht="15.75" hidden="1" x14ac:dyDescent="0.25">
      <c r="A71" s="14"/>
      <c r="B71" s="14"/>
      <c r="E71" s="1">
        <v>25000</v>
      </c>
      <c r="G71" s="1">
        <f>E70*23.5%</f>
        <v>2937.5</v>
      </c>
    </row>
    <row r="72" spans="1:12" hidden="1" x14ac:dyDescent="0.2">
      <c r="E72" s="1">
        <v>37500</v>
      </c>
      <c r="G72" s="1">
        <f>E71*22.5%</f>
        <v>5625</v>
      </c>
    </row>
    <row r="73" spans="1:12" hidden="1" x14ac:dyDescent="0.2">
      <c r="A73" s="1" t="s">
        <v>10</v>
      </c>
      <c r="D73" s="1" t="e">
        <f>IF(AND(G10="ja",#REF!="ja"),-750,0)</f>
        <v>#REF!</v>
      </c>
      <c r="E73" s="1">
        <v>50000</v>
      </c>
      <c r="G73" s="1">
        <f>E72*21.5%</f>
        <v>8062.5</v>
      </c>
    </row>
    <row r="74" spans="1:12" hidden="1" x14ac:dyDescent="0.2">
      <c r="E74" s="1">
        <v>62500</v>
      </c>
      <c r="G74" s="1">
        <f>E73*20.5%</f>
        <v>10250</v>
      </c>
    </row>
    <row r="75" spans="1:12" hidden="1" x14ac:dyDescent="0.2">
      <c r="E75" s="1">
        <v>75000</v>
      </c>
      <c r="G75" s="1">
        <f>E74*19.5%</f>
        <v>12187.5</v>
      </c>
    </row>
    <row r="76" spans="1:12" hidden="1" x14ac:dyDescent="0.2">
      <c r="A76" s="7">
        <f>$C$10*23.5/100</f>
        <v>0</v>
      </c>
      <c r="B76" s="7"/>
      <c r="D76" s="7">
        <f>IF($C$10&lt;12501,A76,0)</f>
        <v>0</v>
      </c>
      <c r="E76" s="1">
        <v>100000</v>
      </c>
      <c r="G76" s="1">
        <f>E75*18%</f>
        <v>13500</v>
      </c>
      <c r="I76" s="7">
        <f>D76</f>
        <v>0</v>
      </c>
    </row>
    <row r="77" spans="1:12" hidden="1" x14ac:dyDescent="0.2">
      <c r="A77" s="7">
        <f>$C$10*22.5/100</f>
        <v>0</v>
      </c>
      <c r="B77" s="7"/>
      <c r="D77" s="1">
        <f>IF(AND(12500&lt;$C$10,$C$10&lt;25001),A77,0)</f>
        <v>0</v>
      </c>
      <c r="E77" s="1">
        <v>125000</v>
      </c>
      <c r="G77" s="1">
        <f>E76*17.5%</f>
        <v>17500</v>
      </c>
      <c r="I77" s="1">
        <f t="shared" ref="I77:I91" si="0">IF(D77&lt;G71,G71,D77)</f>
        <v>2937.5</v>
      </c>
    </row>
    <row r="78" spans="1:12" hidden="1" x14ac:dyDescent="0.2">
      <c r="A78" s="7">
        <f>$C$10*21.5/100</f>
        <v>0</v>
      </c>
      <c r="B78" s="7"/>
      <c r="D78" s="1">
        <f>IF(AND(25000&lt;$C$10,$C$10&lt;37501),A78,0)</f>
        <v>0</v>
      </c>
      <c r="E78" s="1">
        <v>150000</v>
      </c>
      <c r="G78" s="1">
        <f>E77*17%</f>
        <v>21250</v>
      </c>
      <c r="I78" s="1">
        <f t="shared" si="0"/>
        <v>5625</v>
      </c>
    </row>
    <row r="79" spans="1:12" hidden="1" x14ac:dyDescent="0.2">
      <c r="A79" s="7">
        <f>$C$10*20.5/100</f>
        <v>0</v>
      </c>
      <c r="B79" s="7"/>
      <c r="D79" s="1">
        <f>IF(AND(37500&lt;$C$10,$C$10&lt;50001),A79,0)</f>
        <v>0</v>
      </c>
      <c r="E79" s="1">
        <v>200000</v>
      </c>
      <c r="G79" s="1">
        <f>E78*16.5%</f>
        <v>24750</v>
      </c>
      <c r="I79" s="1">
        <f t="shared" si="0"/>
        <v>8062.5</v>
      </c>
    </row>
    <row r="80" spans="1:12" hidden="1" x14ac:dyDescent="0.2">
      <c r="A80" s="7">
        <f>$C$10*19.5/100</f>
        <v>0</v>
      </c>
      <c r="B80" s="7"/>
      <c r="D80" s="1">
        <f>IF(AND(50000&lt;$C$10,$C$10&lt;62501),A80,0)</f>
        <v>0</v>
      </c>
      <c r="E80" s="1">
        <v>300000</v>
      </c>
      <c r="G80" s="1">
        <f>E79*16%</f>
        <v>32000</v>
      </c>
      <c r="I80" s="1">
        <f t="shared" si="0"/>
        <v>10250</v>
      </c>
    </row>
    <row r="81" spans="1:9" hidden="1" x14ac:dyDescent="0.2">
      <c r="A81" s="7">
        <f>$C$10*18/100</f>
        <v>0</v>
      </c>
      <c r="B81" s="7"/>
      <c r="D81" s="1">
        <f>IF(AND(62500&lt;$C$10,$C$10&lt;75001),A81,0)</f>
        <v>0</v>
      </c>
      <c r="E81" s="1">
        <v>375000</v>
      </c>
      <c r="G81" s="1">
        <f>E80*15.5%</f>
        <v>46500</v>
      </c>
      <c r="I81" s="1">
        <f t="shared" si="0"/>
        <v>12187.5</v>
      </c>
    </row>
    <row r="82" spans="1:9" hidden="1" x14ac:dyDescent="0.2">
      <c r="A82" s="7">
        <f>$C$10*17.5/100</f>
        <v>0</v>
      </c>
      <c r="B82" s="7"/>
      <c r="D82" s="1">
        <f>IF(AND(75000&lt;$C$10,$C$10&lt;100001),A82,0)</f>
        <v>0</v>
      </c>
      <c r="E82" s="1">
        <v>600000</v>
      </c>
      <c r="G82" s="1">
        <f>E81*14.5%</f>
        <v>54374.999999999993</v>
      </c>
      <c r="I82" s="1">
        <f t="shared" si="0"/>
        <v>13500</v>
      </c>
    </row>
    <row r="83" spans="1:9" hidden="1" x14ac:dyDescent="0.2">
      <c r="A83" s="7">
        <f>$C$10*17/100</f>
        <v>0</v>
      </c>
      <c r="B83" s="7"/>
      <c r="D83" s="1">
        <f>IF(AND(100000&lt;$C$10,$C$10&lt;125001),A83,0)</f>
        <v>0</v>
      </c>
      <c r="E83" s="1">
        <v>1000000</v>
      </c>
      <c r="G83" s="1">
        <f>E82*14%</f>
        <v>84000.000000000015</v>
      </c>
      <c r="I83" s="1">
        <f t="shared" si="0"/>
        <v>17500</v>
      </c>
    </row>
    <row r="84" spans="1:9" hidden="1" x14ac:dyDescent="0.2">
      <c r="A84" s="7">
        <f>$C$10*16.5/100</f>
        <v>0</v>
      </c>
      <c r="B84" s="7"/>
      <c r="D84" s="1">
        <f>IF(AND(125000&lt;$C$10,$C$10&lt;150001),A84,0)</f>
        <v>0</v>
      </c>
      <c r="E84" s="1">
        <v>1500000</v>
      </c>
      <c r="G84" s="1">
        <f>E83*13.5%</f>
        <v>135000</v>
      </c>
      <c r="I84" s="1">
        <f t="shared" si="0"/>
        <v>21250</v>
      </c>
    </row>
    <row r="85" spans="1:9" hidden="1" x14ac:dyDescent="0.2">
      <c r="A85" s="7">
        <f>$C$10*16/100</f>
        <v>0</v>
      </c>
      <c r="B85" s="7"/>
      <c r="D85" s="1">
        <f>IF(AND(150000&lt;$C$10,$C$10&lt;200001),A85,0)</f>
        <v>0</v>
      </c>
      <c r="G85" s="1">
        <f>E84*13.25%</f>
        <v>198750</v>
      </c>
      <c r="I85" s="1">
        <f t="shared" si="0"/>
        <v>24750</v>
      </c>
    </row>
    <row r="86" spans="1:9" hidden="1" x14ac:dyDescent="0.2">
      <c r="A86" s="7">
        <f>$C$10*15.5/100</f>
        <v>0</v>
      </c>
      <c r="B86" s="7"/>
      <c r="D86" s="1">
        <f>IF(AND(200000&lt;$C$10,$C$10&lt;300001),A86,0)</f>
        <v>0</v>
      </c>
      <c r="I86" s="1">
        <f t="shared" si="0"/>
        <v>32000</v>
      </c>
    </row>
    <row r="87" spans="1:9" hidden="1" x14ac:dyDescent="0.2">
      <c r="A87" s="7">
        <f>$C$10*14.5/100</f>
        <v>0</v>
      </c>
      <c r="B87" s="7"/>
      <c r="D87" s="1">
        <f>IF(AND(300000&lt;$C$10,$C$10&lt;375001),A87,0)</f>
        <v>0</v>
      </c>
      <c r="I87" s="1">
        <f t="shared" si="0"/>
        <v>46500</v>
      </c>
    </row>
    <row r="88" spans="1:9" hidden="1" x14ac:dyDescent="0.2">
      <c r="A88" s="7">
        <f>$C$10*14/100</f>
        <v>0</v>
      </c>
      <c r="B88" s="7"/>
      <c r="D88" s="1">
        <f>IF(AND(375000&lt;$C$10,$C$10&lt;600001),A88,0)</f>
        <v>0</v>
      </c>
      <c r="G88" s="7">
        <f>D111-$C$10*5/100</f>
        <v>0</v>
      </c>
      <c r="I88" s="1">
        <f t="shared" si="0"/>
        <v>54374.999999999993</v>
      </c>
    </row>
    <row r="89" spans="1:9" hidden="1" x14ac:dyDescent="0.2">
      <c r="A89" s="7">
        <f>$C$10*13.5/100</f>
        <v>0</v>
      </c>
      <c r="B89" s="7"/>
      <c r="D89" s="1">
        <f>IF(AND(600000&lt;$C$10,$C$10&lt;1000001),A89,0)</f>
        <v>0</v>
      </c>
      <c r="I89" s="1">
        <f t="shared" si="0"/>
        <v>84000.000000000015</v>
      </c>
    </row>
    <row r="90" spans="1:9" hidden="1" x14ac:dyDescent="0.2">
      <c r="A90" s="7">
        <f>$C$10*13.25/100</f>
        <v>0</v>
      </c>
      <c r="B90" s="7"/>
      <c r="D90" s="1">
        <f>IF(AND(1000000&lt;$C$10,$C$10&lt;1500001),A90,0)</f>
        <v>0</v>
      </c>
      <c r="G90" s="1" t="e">
        <f>IF(AND($G$10="ja",#REF!="ja"),I94-750,0)</f>
        <v>#REF!</v>
      </c>
      <c r="I90" s="1">
        <f t="shared" si="0"/>
        <v>135000</v>
      </c>
    </row>
    <row r="91" spans="1:9" hidden="1" x14ac:dyDescent="0.2">
      <c r="A91" s="7">
        <f>$C$10*13/100</f>
        <v>0</v>
      </c>
      <c r="B91" s="7"/>
      <c r="D91" s="1">
        <f>IF(1500000&lt;$C$10,A91,0)</f>
        <v>0</v>
      </c>
      <c r="I91" s="1">
        <f t="shared" si="0"/>
        <v>198750</v>
      </c>
    </row>
    <row r="92" spans="1:9" hidden="1" x14ac:dyDescent="0.2">
      <c r="D92" s="7">
        <f>SUM(D76:D91)</f>
        <v>0</v>
      </c>
      <c r="G92" s="1" t="e">
        <f>IF(G90=0,I96,G90)</f>
        <v>#REF!</v>
      </c>
    </row>
    <row r="93" spans="1:9" hidden="1" x14ac:dyDescent="0.2"/>
    <row r="94" spans="1:9" hidden="1" x14ac:dyDescent="0.2">
      <c r="D94" s="7">
        <f>D76</f>
        <v>0</v>
      </c>
      <c r="G94" s="1" t="e">
        <f>IF(G92=0,I94,G92)</f>
        <v>#REF!</v>
      </c>
      <c r="I94" s="1" t="e">
        <f>IF(#REF!="ja",G88,D111)</f>
        <v>#REF!</v>
      </c>
    </row>
    <row r="95" spans="1:9" hidden="1" x14ac:dyDescent="0.2">
      <c r="D95" s="1">
        <f t="shared" ref="D95:D109" si="1">IF(D77&gt;0,I77,0)</f>
        <v>0</v>
      </c>
    </row>
    <row r="96" spans="1:9" hidden="1" x14ac:dyDescent="0.2">
      <c r="D96" s="1">
        <f t="shared" si="1"/>
        <v>0</v>
      </c>
      <c r="G96" s="1" t="e">
        <f>IF(AND($G$11="ja",$G$10="ja"),G94-1000,G94)</f>
        <v>#REF!</v>
      </c>
      <c r="I96" s="1" t="e">
        <f>IF(AND($G$10="ja",#REF!="neen"),I94-1500,0)</f>
        <v>#REF!</v>
      </c>
    </row>
    <row r="97" spans="4:4" hidden="1" x14ac:dyDescent="0.2">
      <c r="D97" s="1">
        <f t="shared" si="1"/>
        <v>0</v>
      </c>
    </row>
    <row r="98" spans="4:4" hidden="1" x14ac:dyDescent="0.2">
      <c r="D98" s="1">
        <f t="shared" si="1"/>
        <v>0</v>
      </c>
    </row>
    <row r="99" spans="4:4" hidden="1" x14ac:dyDescent="0.2">
      <c r="D99" s="1">
        <f t="shared" si="1"/>
        <v>0</v>
      </c>
    </row>
    <row r="100" spans="4:4" hidden="1" x14ac:dyDescent="0.2">
      <c r="D100" s="1">
        <f t="shared" si="1"/>
        <v>0</v>
      </c>
    </row>
    <row r="101" spans="4:4" hidden="1" x14ac:dyDescent="0.2">
      <c r="D101" s="1">
        <f t="shared" si="1"/>
        <v>0</v>
      </c>
    </row>
    <row r="102" spans="4:4" hidden="1" x14ac:dyDescent="0.2">
      <c r="D102" s="1">
        <f t="shared" si="1"/>
        <v>0</v>
      </c>
    </row>
    <row r="103" spans="4:4" hidden="1" x14ac:dyDescent="0.2">
      <c r="D103" s="1">
        <f t="shared" si="1"/>
        <v>0</v>
      </c>
    </row>
    <row r="104" spans="4:4" hidden="1" x14ac:dyDescent="0.2">
      <c r="D104" s="1">
        <f t="shared" si="1"/>
        <v>0</v>
      </c>
    </row>
    <row r="105" spans="4:4" hidden="1" x14ac:dyDescent="0.2">
      <c r="D105" s="1">
        <f t="shared" si="1"/>
        <v>0</v>
      </c>
    </row>
    <row r="106" spans="4:4" hidden="1" x14ac:dyDescent="0.2">
      <c r="D106" s="1">
        <f t="shared" si="1"/>
        <v>0</v>
      </c>
    </row>
    <row r="107" spans="4:4" hidden="1" x14ac:dyDescent="0.2">
      <c r="D107" s="1">
        <f t="shared" si="1"/>
        <v>0</v>
      </c>
    </row>
    <row r="108" spans="4:4" hidden="1" x14ac:dyDescent="0.2">
      <c r="D108" s="1">
        <f t="shared" si="1"/>
        <v>0</v>
      </c>
    </row>
    <row r="109" spans="4:4" hidden="1" x14ac:dyDescent="0.2">
      <c r="D109" s="1">
        <f t="shared" si="1"/>
        <v>0</v>
      </c>
    </row>
    <row r="110" spans="4:4" hidden="1" x14ac:dyDescent="0.2"/>
    <row r="111" spans="4:4" hidden="1" x14ac:dyDescent="0.2">
      <c r="D111" s="7">
        <f>SUM(D94:D109)</f>
        <v>0</v>
      </c>
    </row>
    <row r="112" spans="4:4" hidden="1" x14ac:dyDescent="0.2"/>
    <row r="113" spans="1:9" hidden="1" x14ac:dyDescent="0.2"/>
    <row r="114" spans="1:9" hidden="1" x14ac:dyDescent="0.2"/>
    <row r="115" spans="1:9" hidden="1" x14ac:dyDescent="0.2"/>
    <row r="116" spans="1:9" hidden="1" x14ac:dyDescent="0.2">
      <c r="C116" s="1" t="e">
        <f>IF(AND($G$10="ja",#REF!="ja"),-750,0)</f>
        <v>#REF!</v>
      </c>
      <c r="E116" s="1">
        <v>12500</v>
      </c>
      <c r="G116" s="7">
        <f>D122</f>
        <v>0</v>
      </c>
    </row>
    <row r="117" spans="1:9" hidden="1" x14ac:dyDescent="0.2">
      <c r="C117" s="1" t="e">
        <f>IF(AND($G$10="ja",#REF!="neen"),-1500,0)</f>
        <v>#REF!</v>
      </c>
      <c r="E117" s="1">
        <v>25000</v>
      </c>
      <c r="G117" s="1">
        <f>E116*23%</f>
        <v>2875</v>
      </c>
    </row>
    <row r="118" spans="1:9" hidden="1" x14ac:dyDescent="0.2">
      <c r="C118" s="1" t="e">
        <f>SUM(C116:C117)</f>
        <v>#REF!</v>
      </c>
      <c r="E118" s="1">
        <v>37500</v>
      </c>
      <c r="G118" s="1">
        <f>E117*22%</f>
        <v>5500</v>
      </c>
    </row>
    <row r="119" spans="1:9" hidden="1" x14ac:dyDescent="0.2">
      <c r="E119" s="1">
        <v>50000</v>
      </c>
      <c r="G119" s="1">
        <f>E118*21%</f>
        <v>7875</v>
      </c>
    </row>
    <row r="120" spans="1:9" hidden="1" x14ac:dyDescent="0.2">
      <c r="A120" s="1" t="s">
        <v>11</v>
      </c>
      <c r="E120" s="1">
        <v>62500</v>
      </c>
      <c r="G120" s="1">
        <f>E119*20%</f>
        <v>10000</v>
      </c>
    </row>
    <row r="121" spans="1:9" hidden="1" x14ac:dyDescent="0.2">
      <c r="E121" s="1">
        <v>75000</v>
      </c>
      <c r="G121" s="1">
        <f>E120*19%</f>
        <v>11875</v>
      </c>
    </row>
    <row r="122" spans="1:9" hidden="1" x14ac:dyDescent="0.2">
      <c r="A122" s="7">
        <f>$C$10*23/100</f>
        <v>0</v>
      </c>
      <c r="B122" s="7"/>
      <c r="D122" s="7">
        <f>IF($C$10&lt;12501,A122,0)</f>
        <v>0</v>
      </c>
      <c r="E122" s="1">
        <v>100000</v>
      </c>
      <c r="G122" s="1">
        <f>E121*17.5%</f>
        <v>13125</v>
      </c>
      <c r="I122" s="7">
        <f>D122</f>
        <v>0</v>
      </c>
    </row>
    <row r="123" spans="1:9" hidden="1" x14ac:dyDescent="0.2">
      <c r="A123" s="7">
        <f>$C$10*22/100</f>
        <v>0</v>
      </c>
      <c r="B123" s="7"/>
      <c r="D123" s="1">
        <f>IF(AND(12500&lt;$C$10,$C$10&lt;25001),A123,0)</f>
        <v>0</v>
      </c>
      <c r="E123" s="1">
        <v>125000</v>
      </c>
      <c r="G123" s="1">
        <f>E122*17%</f>
        <v>17000</v>
      </c>
      <c r="I123" s="1">
        <f t="shared" ref="I123:I137" si="2">IF(D123&lt;G117,G117,D123)</f>
        <v>2875</v>
      </c>
    </row>
    <row r="124" spans="1:9" hidden="1" x14ac:dyDescent="0.2">
      <c r="A124" s="7">
        <f>$C$10*21/100</f>
        <v>0</v>
      </c>
      <c r="B124" s="7"/>
      <c r="D124" s="1">
        <f>IF(AND(25000&lt;$C$10,$C$10&lt;37501),A124,0)</f>
        <v>0</v>
      </c>
      <c r="E124" s="1">
        <v>150000</v>
      </c>
      <c r="G124" s="1">
        <f>E123*16.5%</f>
        <v>20625</v>
      </c>
      <c r="I124" s="1">
        <f t="shared" si="2"/>
        <v>5500</v>
      </c>
    </row>
    <row r="125" spans="1:9" hidden="1" x14ac:dyDescent="0.2">
      <c r="A125" s="7">
        <f>$C$10*20/100</f>
        <v>0</v>
      </c>
      <c r="B125" s="7"/>
      <c r="D125" s="1">
        <f>IF(AND(37500&lt;$C$10,$C$10&lt;50001),A125,0)</f>
        <v>0</v>
      </c>
      <c r="E125" s="1">
        <v>200000</v>
      </c>
      <c r="G125" s="1">
        <f>E124*16%</f>
        <v>24000</v>
      </c>
      <c r="I125" s="1">
        <f t="shared" si="2"/>
        <v>7875</v>
      </c>
    </row>
    <row r="126" spans="1:9" hidden="1" x14ac:dyDescent="0.2">
      <c r="A126" s="7">
        <f>$C$10*19/100</f>
        <v>0</v>
      </c>
      <c r="B126" s="7"/>
      <c r="D126" s="1">
        <f>IF(AND(50000&lt;$C$10,$C$10&lt;62501),A126,0)</f>
        <v>0</v>
      </c>
      <c r="E126" s="1">
        <v>300000</v>
      </c>
      <c r="G126" s="1">
        <f>E125*15.5%</f>
        <v>31000</v>
      </c>
      <c r="I126" s="1">
        <f t="shared" si="2"/>
        <v>10000</v>
      </c>
    </row>
    <row r="127" spans="1:9" hidden="1" x14ac:dyDescent="0.2">
      <c r="A127" s="7">
        <f>$C$10*17.5/100</f>
        <v>0</v>
      </c>
      <c r="B127" s="7"/>
      <c r="D127" s="1">
        <f>IF(AND(62500&lt;$C$10,$C$10&lt;75001),A127,0)</f>
        <v>0</v>
      </c>
      <c r="E127" s="1">
        <v>375000</v>
      </c>
      <c r="G127" s="1">
        <f>E126*15%</f>
        <v>45000</v>
      </c>
      <c r="I127" s="1">
        <f t="shared" si="2"/>
        <v>11875</v>
      </c>
    </row>
    <row r="128" spans="1:9" hidden="1" x14ac:dyDescent="0.2">
      <c r="A128" s="7">
        <f>$C$10*17/100</f>
        <v>0</v>
      </c>
      <c r="B128" s="7"/>
      <c r="D128" s="1">
        <f>IF(AND(75000&lt;$C$10,$C$10&lt;100001),A128,0)</f>
        <v>0</v>
      </c>
      <c r="E128" s="1">
        <v>600000</v>
      </c>
      <c r="G128" s="1">
        <f>E127*14%</f>
        <v>52500.000000000007</v>
      </c>
      <c r="I128" s="1">
        <f t="shared" si="2"/>
        <v>13125</v>
      </c>
    </row>
    <row r="129" spans="1:9" hidden="1" x14ac:dyDescent="0.2">
      <c r="A129" s="7">
        <f>$C$10*16.5/100</f>
        <v>0</v>
      </c>
      <c r="B129" s="7"/>
      <c r="D129" s="1">
        <f>IF(AND(100000&lt;$C$10,$C$10&lt;125001),A129,0)</f>
        <v>0</v>
      </c>
      <c r="E129" s="1">
        <v>1000000</v>
      </c>
      <c r="G129" s="1">
        <f>E128*13.5%</f>
        <v>81000</v>
      </c>
      <c r="I129" s="1">
        <f t="shared" si="2"/>
        <v>17000</v>
      </c>
    </row>
    <row r="130" spans="1:9" hidden="1" x14ac:dyDescent="0.2">
      <c r="A130" s="7">
        <f>$C$10*16/100</f>
        <v>0</v>
      </c>
      <c r="B130" s="7"/>
      <c r="D130" s="1">
        <f>IF(AND(125000&lt;$C$10,$C$10&lt;150001),A130,0)</f>
        <v>0</v>
      </c>
      <c r="E130" s="1">
        <v>1500000</v>
      </c>
      <c r="G130" s="1">
        <f>E129*13%</f>
        <v>130000</v>
      </c>
      <c r="I130" s="1">
        <f t="shared" si="2"/>
        <v>20625</v>
      </c>
    </row>
    <row r="131" spans="1:9" hidden="1" x14ac:dyDescent="0.2">
      <c r="A131" s="7">
        <f>$C$10*15.5/100</f>
        <v>0</v>
      </c>
      <c r="B131" s="7"/>
      <c r="D131" s="1">
        <f>IF(AND(150000&lt;$C$10,$C$10&lt;200001),A131,0)</f>
        <v>0</v>
      </c>
      <c r="G131" s="1">
        <f>E130*12.75%</f>
        <v>191250</v>
      </c>
      <c r="I131" s="1">
        <f t="shared" si="2"/>
        <v>24000</v>
      </c>
    </row>
    <row r="132" spans="1:9" hidden="1" x14ac:dyDescent="0.2">
      <c r="A132" s="7">
        <f>$C$10*15/100</f>
        <v>0</v>
      </c>
      <c r="B132" s="7"/>
      <c r="D132" s="1">
        <f>IF(AND(200000&lt;$C$10,$C$10&lt;300001),A132,0)</f>
        <v>0</v>
      </c>
      <c r="I132" s="1">
        <f t="shared" si="2"/>
        <v>31000</v>
      </c>
    </row>
    <row r="133" spans="1:9" hidden="1" x14ac:dyDescent="0.2">
      <c r="A133" s="7">
        <f>$C$10*14/100</f>
        <v>0</v>
      </c>
      <c r="B133" s="7"/>
      <c r="D133" s="1">
        <f>IF(AND(300000&lt;$C$10,$C$10&lt;375001),A133,0)</f>
        <v>0</v>
      </c>
      <c r="I133" s="1">
        <f t="shared" si="2"/>
        <v>45000</v>
      </c>
    </row>
    <row r="134" spans="1:9" hidden="1" x14ac:dyDescent="0.2">
      <c r="A134" s="7">
        <f>$C$10*13.5/100</f>
        <v>0</v>
      </c>
      <c r="B134" s="7"/>
      <c r="D134" s="1">
        <f>IF(AND(375000&lt;$C$10,$C$10&lt;600001),A134,0)</f>
        <v>0</v>
      </c>
      <c r="G134" s="7">
        <f>D157-$C$10*5/100</f>
        <v>0</v>
      </c>
      <c r="I134" s="1">
        <f t="shared" si="2"/>
        <v>52500.000000000007</v>
      </c>
    </row>
    <row r="135" spans="1:9" hidden="1" x14ac:dyDescent="0.2">
      <c r="A135" s="7">
        <f>$C$10*13/100</f>
        <v>0</v>
      </c>
      <c r="B135" s="7"/>
      <c r="D135" s="1">
        <f>IF(AND(600000&lt;$C$10,$C$10&lt;1000001),A135,0)</f>
        <v>0</v>
      </c>
      <c r="I135" s="1">
        <f t="shared" si="2"/>
        <v>81000</v>
      </c>
    </row>
    <row r="136" spans="1:9" hidden="1" x14ac:dyDescent="0.2">
      <c r="A136" s="7">
        <f>$C$10*12.75/100</f>
        <v>0</v>
      </c>
      <c r="B136" s="7"/>
      <c r="D136" s="1">
        <f>IF(AND(1000000&lt;$C$10,$C$10&lt;1500001),A136,0)</f>
        <v>0</v>
      </c>
      <c r="G136" s="1" t="e">
        <f>IF(AND($G$10="ja",#REF!="ja"),I140-750,0)</f>
        <v>#REF!</v>
      </c>
      <c r="I136" s="1">
        <f t="shared" si="2"/>
        <v>130000</v>
      </c>
    </row>
    <row r="137" spans="1:9" hidden="1" x14ac:dyDescent="0.2">
      <c r="A137" s="7">
        <f>$C$10*12.5/100</f>
        <v>0</v>
      </c>
      <c r="B137" s="7"/>
      <c r="D137" s="1">
        <f>IF(1500000&lt;$C$10,A137,0)</f>
        <v>0</v>
      </c>
      <c r="I137" s="1">
        <f t="shared" si="2"/>
        <v>191250</v>
      </c>
    </row>
    <row r="138" spans="1:9" hidden="1" x14ac:dyDescent="0.2">
      <c r="D138" s="7">
        <f>SUM(D122:D137)</f>
        <v>0</v>
      </c>
      <c r="G138" s="1" t="e">
        <f>IF(G136=0,I142,G136)</f>
        <v>#REF!</v>
      </c>
    </row>
    <row r="139" spans="1:9" hidden="1" x14ac:dyDescent="0.2"/>
    <row r="140" spans="1:9" hidden="1" x14ac:dyDescent="0.2">
      <c r="D140" s="7">
        <f>D122</f>
        <v>0</v>
      </c>
      <c r="G140" s="1" t="e">
        <f>IF(G138=0,I140,G138)</f>
        <v>#REF!</v>
      </c>
      <c r="I140" s="1" t="e">
        <f>IF(#REF!="ja",G134,D157)</f>
        <v>#REF!</v>
      </c>
    </row>
    <row r="141" spans="1:9" hidden="1" x14ac:dyDescent="0.2">
      <c r="D141" s="1">
        <f t="shared" ref="D141:D155" si="3">IF(D123&gt;0,I123,0)</f>
        <v>0</v>
      </c>
    </row>
    <row r="142" spans="1:9" hidden="1" x14ac:dyDescent="0.2">
      <c r="D142" s="1">
        <f t="shared" si="3"/>
        <v>0</v>
      </c>
      <c r="G142" s="1" t="e">
        <f>IF(AND($G$11="ja",$G$10="ja"),G140-1000,G140)</f>
        <v>#REF!</v>
      </c>
      <c r="I142" s="1" t="e">
        <f>IF(AND($G$10="ja",#REF!="neen"),I140-1500,0)</f>
        <v>#REF!</v>
      </c>
    </row>
    <row r="143" spans="1:9" hidden="1" x14ac:dyDescent="0.2">
      <c r="D143" s="1">
        <f t="shared" si="3"/>
        <v>0</v>
      </c>
    </row>
    <row r="144" spans="1:9" hidden="1" x14ac:dyDescent="0.2">
      <c r="D144" s="1">
        <f t="shared" si="3"/>
        <v>0</v>
      </c>
    </row>
    <row r="145" spans="4:4" hidden="1" x14ac:dyDescent="0.2">
      <c r="D145" s="1">
        <f t="shared" si="3"/>
        <v>0</v>
      </c>
    </row>
    <row r="146" spans="4:4" hidden="1" x14ac:dyDescent="0.2">
      <c r="D146" s="1">
        <f t="shared" si="3"/>
        <v>0</v>
      </c>
    </row>
    <row r="147" spans="4:4" hidden="1" x14ac:dyDescent="0.2">
      <c r="D147" s="1">
        <f t="shared" si="3"/>
        <v>0</v>
      </c>
    </row>
    <row r="148" spans="4:4" hidden="1" x14ac:dyDescent="0.2">
      <c r="D148" s="1">
        <f t="shared" si="3"/>
        <v>0</v>
      </c>
    </row>
    <row r="149" spans="4:4" hidden="1" x14ac:dyDescent="0.2">
      <c r="D149" s="1">
        <f t="shared" si="3"/>
        <v>0</v>
      </c>
    </row>
    <row r="150" spans="4:4" hidden="1" x14ac:dyDescent="0.2">
      <c r="D150" s="1">
        <f t="shared" si="3"/>
        <v>0</v>
      </c>
    </row>
    <row r="151" spans="4:4" hidden="1" x14ac:dyDescent="0.2">
      <c r="D151" s="1">
        <f t="shared" si="3"/>
        <v>0</v>
      </c>
    </row>
    <row r="152" spans="4:4" hidden="1" x14ac:dyDescent="0.2">
      <c r="D152" s="1">
        <f t="shared" si="3"/>
        <v>0</v>
      </c>
    </row>
    <row r="153" spans="4:4" hidden="1" x14ac:dyDescent="0.2">
      <c r="D153" s="1">
        <f t="shared" si="3"/>
        <v>0</v>
      </c>
    </row>
    <row r="154" spans="4:4" hidden="1" x14ac:dyDescent="0.2">
      <c r="D154" s="1">
        <f t="shared" si="3"/>
        <v>0</v>
      </c>
    </row>
    <row r="155" spans="4:4" hidden="1" x14ac:dyDescent="0.2">
      <c r="D155" s="1">
        <f t="shared" si="3"/>
        <v>0</v>
      </c>
    </row>
    <row r="156" spans="4:4" hidden="1" x14ac:dyDescent="0.2"/>
    <row r="157" spans="4:4" hidden="1" x14ac:dyDescent="0.2">
      <c r="D157" s="7">
        <f>SUM(D140:D155)</f>
        <v>0</v>
      </c>
    </row>
    <row r="158" spans="4:4" hidden="1" x14ac:dyDescent="0.2"/>
    <row r="159" spans="4:4" hidden="1" x14ac:dyDescent="0.2"/>
    <row r="160" spans="4:4" hidden="1" x14ac:dyDescent="0.2"/>
    <row r="161" spans="1:9" hidden="1" x14ac:dyDescent="0.2"/>
    <row r="162" spans="1:9" hidden="1" x14ac:dyDescent="0.2">
      <c r="C162" s="1" t="e">
        <f>IF(AND($G$10="ja",#REF!="ja"),-750,0)</f>
        <v>#REF!</v>
      </c>
    </row>
    <row r="163" spans="1:9" hidden="1" x14ac:dyDescent="0.2">
      <c r="C163" s="1" t="e">
        <f>IF(AND($G$10="ja",#REF!="neen"),-1500,0)</f>
        <v>#REF!</v>
      </c>
    </row>
    <row r="164" spans="1:9" hidden="1" x14ac:dyDescent="0.2">
      <c r="C164" s="1" t="e">
        <f>SUM(C162:C163)</f>
        <v>#REF!</v>
      </c>
    </row>
    <row r="165" spans="1:9" hidden="1" x14ac:dyDescent="0.2"/>
    <row r="166" spans="1:9" hidden="1" x14ac:dyDescent="0.2">
      <c r="E166" s="1">
        <v>12500</v>
      </c>
      <c r="G166" s="7">
        <f>D172</f>
        <v>0</v>
      </c>
    </row>
    <row r="167" spans="1:9" hidden="1" x14ac:dyDescent="0.2">
      <c r="E167" s="1">
        <v>25000</v>
      </c>
      <c r="G167" s="1">
        <f>E166*22.5%</f>
        <v>2812.5</v>
      </c>
    </row>
    <row r="168" spans="1:9" hidden="1" x14ac:dyDescent="0.2">
      <c r="E168" s="1">
        <v>37500</v>
      </c>
      <c r="G168" s="1">
        <f>E167*21.5%</f>
        <v>5375</v>
      </c>
    </row>
    <row r="169" spans="1:9" hidden="1" x14ac:dyDescent="0.2">
      <c r="E169" s="1">
        <v>50000</v>
      </c>
      <c r="G169" s="1">
        <f>E168*20.5%</f>
        <v>7687.4999999999991</v>
      </c>
    </row>
    <row r="170" spans="1:9" hidden="1" x14ac:dyDescent="0.2">
      <c r="A170" s="1" t="s">
        <v>12</v>
      </c>
      <c r="E170" s="1">
        <v>62500</v>
      </c>
      <c r="G170" s="1">
        <f>E169*19.5%</f>
        <v>9750</v>
      </c>
    </row>
    <row r="171" spans="1:9" hidden="1" x14ac:dyDescent="0.2">
      <c r="E171" s="1">
        <v>75000</v>
      </c>
      <c r="G171" s="1">
        <f>E170*18.5%</f>
        <v>11562.5</v>
      </c>
    </row>
    <row r="172" spans="1:9" hidden="1" x14ac:dyDescent="0.2">
      <c r="A172" s="7">
        <f>$C$10*22.5/100</f>
        <v>0</v>
      </c>
      <c r="B172" s="7"/>
      <c r="D172" s="7">
        <f>IF($C$10&lt;12501,A172,0)</f>
        <v>0</v>
      </c>
      <c r="E172" s="1">
        <v>100000</v>
      </c>
      <c r="G172" s="1">
        <f>E171*17%</f>
        <v>12750.000000000002</v>
      </c>
      <c r="I172" s="7">
        <f>D172</f>
        <v>0</v>
      </c>
    </row>
    <row r="173" spans="1:9" hidden="1" x14ac:dyDescent="0.2">
      <c r="A173" s="7">
        <f>$C$10*21.5/100</f>
        <v>0</v>
      </c>
      <c r="B173" s="7"/>
      <c r="D173" s="1">
        <f>IF(AND(12500&lt;$C$10,$C$10&lt;25001),A173,0)</f>
        <v>0</v>
      </c>
      <c r="E173" s="1">
        <v>125000</v>
      </c>
      <c r="G173" s="1">
        <f>E172*16.5%</f>
        <v>16500</v>
      </c>
      <c r="I173" s="1">
        <f t="shared" ref="I173:I187" si="4">IF(D173&lt;G167,G167,D173)</f>
        <v>2812.5</v>
      </c>
    </row>
    <row r="174" spans="1:9" hidden="1" x14ac:dyDescent="0.2">
      <c r="A174" s="7">
        <f>$C$10*20.5/100</f>
        <v>0</v>
      </c>
      <c r="B174" s="7"/>
      <c r="D174" s="1">
        <f>IF(AND(25000&lt;$C$10,$C$10&lt;37501),A174,0)</f>
        <v>0</v>
      </c>
      <c r="E174" s="1">
        <v>150000</v>
      </c>
      <c r="G174" s="1">
        <f>E173*16%</f>
        <v>20000</v>
      </c>
      <c r="I174" s="1">
        <f t="shared" si="4"/>
        <v>5375</v>
      </c>
    </row>
    <row r="175" spans="1:9" hidden="1" x14ac:dyDescent="0.2">
      <c r="A175" s="7">
        <f>$C$10*19.5/100</f>
        <v>0</v>
      </c>
      <c r="B175" s="7"/>
      <c r="D175" s="1">
        <f>IF(AND(37500&lt;$C$10,$C$10&lt;50001),A175,0)</f>
        <v>0</v>
      </c>
      <c r="E175" s="1">
        <v>200000</v>
      </c>
      <c r="G175" s="1">
        <f>E174*15.5%</f>
        <v>23250</v>
      </c>
      <c r="I175" s="1">
        <f t="shared" si="4"/>
        <v>7687.4999999999991</v>
      </c>
    </row>
    <row r="176" spans="1:9" hidden="1" x14ac:dyDescent="0.2">
      <c r="A176" s="7">
        <f>$C$10*18.5/100</f>
        <v>0</v>
      </c>
      <c r="B176" s="7"/>
      <c r="D176" s="1">
        <f>IF(AND(50000&lt;$C$10,$C$10&lt;62501),A176,0)</f>
        <v>0</v>
      </c>
      <c r="E176" s="1">
        <v>300000</v>
      </c>
      <c r="G176" s="1">
        <f>E175*15%</f>
        <v>30000</v>
      </c>
      <c r="I176" s="1">
        <f t="shared" si="4"/>
        <v>9750</v>
      </c>
    </row>
    <row r="177" spans="1:9" hidden="1" x14ac:dyDescent="0.2">
      <c r="A177" s="7">
        <f>$C$10*17/100</f>
        <v>0</v>
      </c>
      <c r="B177" s="7"/>
      <c r="D177" s="1">
        <f>IF(AND(62500&lt;$C$10,$C$10&lt;75001),A177,0)</f>
        <v>0</v>
      </c>
      <c r="E177" s="1">
        <v>375000</v>
      </c>
      <c r="G177" s="1">
        <f>E176*14.5%</f>
        <v>43500</v>
      </c>
      <c r="I177" s="1">
        <f t="shared" si="4"/>
        <v>11562.5</v>
      </c>
    </row>
    <row r="178" spans="1:9" hidden="1" x14ac:dyDescent="0.2">
      <c r="A178" s="7">
        <f>$C$10*16.5/100</f>
        <v>0</v>
      </c>
      <c r="B178" s="7"/>
      <c r="D178" s="1">
        <f>IF(AND(75000&lt;$C$10,$C$10&lt;100001),A178,0)</f>
        <v>0</v>
      </c>
      <c r="E178" s="1">
        <v>600000</v>
      </c>
      <c r="G178" s="1">
        <f>E177*13.5%</f>
        <v>50625</v>
      </c>
      <c r="I178" s="1">
        <f t="shared" si="4"/>
        <v>12750.000000000002</v>
      </c>
    </row>
    <row r="179" spans="1:9" hidden="1" x14ac:dyDescent="0.2">
      <c r="A179" s="7">
        <f>$C$10*16/100</f>
        <v>0</v>
      </c>
      <c r="B179" s="7"/>
      <c r="D179" s="1">
        <f>IF(AND(100000&lt;$C$10,$C$10&lt;125001),A179,0)</f>
        <v>0</v>
      </c>
      <c r="E179" s="1">
        <v>1000000</v>
      </c>
      <c r="G179" s="1">
        <f>E178*13%</f>
        <v>78000</v>
      </c>
      <c r="I179" s="1">
        <f t="shared" si="4"/>
        <v>16500</v>
      </c>
    </row>
    <row r="180" spans="1:9" hidden="1" x14ac:dyDescent="0.2">
      <c r="A180" s="7">
        <f>$C$10*15.5/100</f>
        <v>0</v>
      </c>
      <c r="B180" s="7"/>
      <c r="D180" s="1">
        <f>IF(AND(125000&lt;$C$10,$C$10&lt;150001),A180,0)</f>
        <v>0</v>
      </c>
      <c r="E180" s="1">
        <v>1500000</v>
      </c>
      <c r="G180" s="1">
        <f>E179*12.5%</f>
        <v>125000</v>
      </c>
      <c r="I180" s="1">
        <f t="shared" si="4"/>
        <v>20000</v>
      </c>
    </row>
    <row r="181" spans="1:9" hidden="1" x14ac:dyDescent="0.2">
      <c r="A181" s="7">
        <f>$C$10*15/100</f>
        <v>0</v>
      </c>
      <c r="B181" s="7"/>
      <c r="D181" s="1">
        <f>IF(AND(150000&lt;$C$10,$C$10&lt;200001),A181,0)</f>
        <v>0</v>
      </c>
      <c r="G181" s="1">
        <f>E180*12.25%</f>
        <v>183750</v>
      </c>
      <c r="I181" s="1">
        <f t="shared" si="4"/>
        <v>23250</v>
      </c>
    </row>
    <row r="182" spans="1:9" hidden="1" x14ac:dyDescent="0.2">
      <c r="A182" s="7">
        <f>$C$10*14.5/100</f>
        <v>0</v>
      </c>
      <c r="B182" s="7"/>
      <c r="D182" s="1">
        <f>IF(AND(200000&lt;$C$10,$C$10&lt;300001),A182,0)</f>
        <v>0</v>
      </c>
      <c r="I182" s="1">
        <f t="shared" si="4"/>
        <v>30000</v>
      </c>
    </row>
    <row r="183" spans="1:9" hidden="1" x14ac:dyDescent="0.2">
      <c r="A183" s="7">
        <f>$C$10*13.5/100</f>
        <v>0</v>
      </c>
      <c r="B183" s="7"/>
      <c r="D183" s="1">
        <f>IF(AND(300000&lt;$C$10,$C$10&lt;375001),A183,0)</f>
        <v>0</v>
      </c>
      <c r="I183" s="1">
        <f t="shared" si="4"/>
        <v>43500</v>
      </c>
    </row>
    <row r="184" spans="1:9" hidden="1" x14ac:dyDescent="0.2">
      <c r="A184" s="7">
        <f>$C$10*13/100</f>
        <v>0</v>
      </c>
      <c r="B184" s="7"/>
      <c r="D184" s="1">
        <f>IF(AND(375000&lt;$C$10,$C$10&lt;600001),A184,0)</f>
        <v>0</v>
      </c>
      <c r="G184" s="7">
        <f>D207-$C$10*5/100</f>
        <v>0</v>
      </c>
      <c r="I184" s="1">
        <f t="shared" si="4"/>
        <v>50625</v>
      </c>
    </row>
    <row r="185" spans="1:9" hidden="1" x14ac:dyDescent="0.2">
      <c r="A185" s="7">
        <f>$C$10*12.5/100</f>
        <v>0</v>
      </c>
      <c r="B185" s="7"/>
      <c r="D185" s="1">
        <f>IF(AND(600000&lt;$C$10,$C$10&lt;1000001),A185,0)</f>
        <v>0</v>
      </c>
      <c r="I185" s="1">
        <f t="shared" si="4"/>
        <v>78000</v>
      </c>
    </row>
    <row r="186" spans="1:9" hidden="1" x14ac:dyDescent="0.2">
      <c r="A186" s="7">
        <f>$C$10*12.25/100</f>
        <v>0</v>
      </c>
      <c r="B186" s="7"/>
      <c r="D186" s="1">
        <f>IF(AND(1000000&lt;$C$10,$C$10&lt;1500001),A186,0)</f>
        <v>0</v>
      </c>
      <c r="G186" s="1" t="e">
        <f>IF(AND($G$10="ja",#REF!="ja"),I190-750,0)</f>
        <v>#REF!</v>
      </c>
      <c r="I186" s="1">
        <f t="shared" si="4"/>
        <v>125000</v>
      </c>
    </row>
    <row r="187" spans="1:9" hidden="1" x14ac:dyDescent="0.2">
      <c r="A187" s="7">
        <f>$C$10*12/100</f>
        <v>0</v>
      </c>
      <c r="B187" s="7"/>
      <c r="D187" s="1">
        <f>IF(1500000&lt;$C$10,A187,0)</f>
        <v>0</v>
      </c>
      <c r="I187" s="1">
        <f t="shared" si="4"/>
        <v>183750</v>
      </c>
    </row>
    <row r="188" spans="1:9" hidden="1" x14ac:dyDescent="0.2">
      <c r="D188" s="7">
        <f>SUM(D172:D187)</f>
        <v>0</v>
      </c>
      <c r="G188" s="1" t="e">
        <f>IF(G186=0,I192,G186)</f>
        <v>#REF!</v>
      </c>
    </row>
    <row r="189" spans="1:9" hidden="1" x14ac:dyDescent="0.2"/>
    <row r="190" spans="1:9" hidden="1" x14ac:dyDescent="0.2">
      <c r="D190" s="7">
        <f>D172</f>
        <v>0</v>
      </c>
      <c r="G190" s="1" t="e">
        <f>IF(G188=0,I190,G188)</f>
        <v>#REF!</v>
      </c>
      <c r="I190" s="1" t="e">
        <f>IF(#REF!="ja",G184,D207)</f>
        <v>#REF!</v>
      </c>
    </row>
    <row r="191" spans="1:9" hidden="1" x14ac:dyDescent="0.2">
      <c r="D191" s="1">
        <f t="shared" ref="D191:D205" si="5">IF(D173&gt;0,I173,0)</f>
        <v>0</v>
      </c>
    </row>
    <row r="192" spans="1:9" hidden="1" x14ac:dyDescent="0.2">
      <c r="D192" s="1">
        <f t="shared" si="5"/>
        <v>0</v>
      </c>
      <c r="G192" s="1" t="e">
        <f>IF(AND($G$11="ja",$G$10="ja"),G190-1000,G190)</f>
        <v>#REF!</v>
      </c>
      <c r="I192" s="1" t="e">
        <f>IF(AND($G$10="ja",#REF!="neen"),I190-1500,0)</f>
        <v>#REF!</v>
      </c>
    </row>
    <row r="193" spans="4:4" hidden="1" x14ac:dyDescent="0.2">
      <c r="D193" s="1">
        <f t="shared" si="5"/>
        <v>0</v>
      </c>
    </row>
    <row r="194" spans="4:4" hidden="1" x14ac:dyDescent="0.2">
      <c r="D194" s="1">
        <f t="shared" si="5"/>
        <v>0</v>
      </c>
    </row>
    <row r="195" spans="4:4" hidden="1" x14ac:dyDescent="0.2">
      <c r="D195" s="1">
        <f t="shared" si="5"/>
        <v>0</v>
      </c>
    </row>
    <row r="196" spans="4:4" hidden="1" x14ac:dyDescent="0.2">
      <c r="D196" s="1">
        <f t="shared" si="5"/>
        <v>0</v>
      </c>
    </row>
    <row r="197" spans="4:4" hidden="1" x14ac:dyDescent="0.2">
      <c r="D197" s="1">
        <f t="shared" si="5"/>
        <v>0</v>
      </c>
    </row>
    <row r="198" spans="4:4" hidden="1" x14ac:dyDescent="0.2">
      <c r="D198" s="1">
        <f t="shared" si="5"/>
        <v>0</v>
      </c>
    </row>
    <row r="199" spans="4:4" hidden="1" x14ac:dyDescent="0.2">
      <c r="D199" s="1">
        <f t="shared" si="5"/>
        <v>0</v>
      </c>
    </row>
    <row r="200" spans="4:4" hidden="1" x14ac:dyDescent="0.2">
      <c r="D200" s="1">
        <f t="shared" si="5"/>
        <v>0</v>
      </c>
    </row>
    <row r="201" spans="4:4" hidden="1" x14ac:dyDescent="0.2">
      <c r="D201" s="1">
        <f t="shared" si="5"/>
        <v>0</v>
      </c>
    </row>
    <row r="202" spans="4:4" hidden="1" x14ac:dyDescent="0.2">
      <c r="D202" s="1">
        <f t="shared" si="5"/>
        <v>0</v>
      </c>
    </row>
    <row r="203" spans="4:4" hidden="1" x14ac:dyDescent="0.2">
      <c r="D203" s="1">
        <f t="shared" si="5"/>
        <v>0</v>
      </c>
    </row>
    <row r="204" spans="4:4" hidden="1" x14ac:dyDescent="0.2">
      <c r="D204" s="1">
        <f t="shared" si="5"/>
        <v>0</v>
      </c>
    </row>
    <row r="205" spans="4:4" hidden="1" x14ac:dyDescent="0.2">
      <c r="D205" s="1">
        <f t="shared" si="5"/>
        <v>0</v>
      </c>
    </row>
    <row r="206" spans="4:4" hidden="1" x14ac:dyDescent="0.2"/>
    <row r="207" spans="4:4" hidden="1" x14ac:dyDescent="0.2">
      <c r="D207" s="7">
        <f>SUM(D190:D205)</f>
        <v>0</v>
      </c>
    </row>
    <row r="208" spans="4:4" hidden="1" x14ac:dyDescent="0.2"/>
    <row r="209" spans="1:9" hidden="1" x14ac:dyDescent="0.2"/>
    <row r="210" spans="1:9" hidden="1" x14ac:dyDescent="0.2"/>
    <row r="211" spans="1:9" hidden="1" x14ac:dyDescent="0.2"/>
    <row r="212" spans="1:9" hidden="1" x14ac:dyDescent="0.2">
      <c r="C212" s="1" t="e">
        <f>IF(AND($G$10="ja",#REF!="ja"),-750,0)</f>
        <v>#REF!</v>
      </c>
    </row>
    <row r="213" spans="1:9" hidden="1" x14ac:dyDescent="0.2">
      <c r="C213" s="1" t="e">
        <f>IF(AND($G$10="ja",#REF!="neen"),-1500,0)</f>
        <v>#REF!</v>
      </c>
    </row>
    <row r="214" spans="1:9" hidden="1" x14ac:dyDescent="0.2">
      <c r="C214" s="1" t="e">
        <f>SUM(C212:C213)</f>
        <v>#REF!</v>
      </c>
    </row>
    <row r="215" spans="1:9" hidden="1" x14ac:dyDescent="0.2"/>
    <row r="216" spans="1:9" hidden="1" x14ac:dyDescent="0.2">
      <c r="E216" s="1">
        <v>12500</v>
      </c>
      <c r="G216" s="7">
        <f>D222</f>
        <v>0</v>
      </c>
    </row>
    <row r="217" spans="1:9" hidden="1" x14ac:dyDescent="0.2">
      <c r="E217" s="1">
        <v>25000</v>
      </c>
      <c r="G217" s="1">
        <f>E216*22%</f>
        <v>2750</v>
      </c>
    </row>
    <row r="218" spans="1:9" hidden="1" x14ac:dyDescent="0.2">
      <c r="E218" s="1">
        <v>37500</v>
      </c>
      <c r="G218" s="1">
        <f>E217*21%</f>
        <v>5250</v>
      </c>
    </row>
    <row r="219" spans="1:9" hidden="1" x14ac:dyDescent="0.2">
      <c r="E219" s="1">
        <v>50000</v>
      </c>
      <c r="G219" s="1">
        <f>E218*20%</f>
        <v>7500</v>
      </c>
    </row>
    <row r="220" spans="1:9" hidden="1" x14ac:dyDescent="0.2">
      <c r="A220" s="1" t="s">
        <v>13</v>
      </c>
      <c r="E220" s="1">
        <v>62500</v>
      </c>
      <c r="G220" s="1">
        <f>E219*19%</f>
        <v>9500</v>
      </c>
    </row>
    <row r="221" spans="1:9" hidden="1" x14ac:dyDescent="0.2">
      <c r="E221" s="1">
        <v>75000</v>
      </c>
      <c r="G221" s="1">
        <f>E220*18%</f>
        <v>11250</v>
      </c>
    </row>
    <row r="222" spans="1:9" hidden="1" x14ac:dyDescent="0.2">
      <c r="A222" s="7">
        <f>$C$10*22/100</f>
        <v>0</v>
      </c>
      <c r="B222" s="7"/>
      <c r="D222" s="7">
        <f>IF($C$10&lt;12501,A222,0)</f>
        <v>0</v>
      </c>
      <c r="E222" s="1">
        <v>100000</v>
      </c>
      <c r="G222" s="1">
        <f>E221*16.5%</f>
        <v>12375</v>
      </c>
      <c r="I222" s="7">
        <f>D222</f>
        <v>0</v>
      </c>
    </row>
    <row r="223" spans="1:9" hidden="1" x14ac:dyDescent="0.2">
      <c r="A223" s="7">
        <f>$C$10*21/100</f>
        <v>0</v>
      </c>
      <c r="B223" s="7"/>
      <c r="D223" s="1">
        <f>IF(AND(12500&lt;$C$10,$C$10&lt;25001),A223,0)</f>
        <v>0</v>
      </c>
      <c r="E223" s="1">
        <v>125000</v>
      </c>
      <c r="G223" s="1">
        <f>E222*16%</f>
        <v>16000</v>
      </c>
      <c r="I223" s="1">
        <f t="shared" ref="I223:I237" si="6">IF(D223&lt;G217,G217,D223)</f>
        <v>2750</v>
      </c>
    </row>
    <row r="224" spans="1:9" hidden="1" x14ac:dyDescent="0.2">
      <c r="A224" s="7">
        <f>$C$10*20/100</f>
        <v>0</v>
      </c>
      <c r="B224" s="7"/>
      <c r="D224" s="1">
        <f>IF(AND(25000&lt;$C$10,$C$10&lt;37501),A224,0)</f>
        <v>0</v>
      </c>
      <c r="E224" s="1">
        <v>150000</v>
      </c>
      <c r="G224" s="1">
        <f>E223*15.5%</f>
        <v>19375</v>
      </c>
      <c r="I224" s="1">
        <f t="shared" si="6"/>
        <v>5250</v>
      </c>
    </row>
    <row r="225" spans="1:9" hidden="1" x14ac:dyDescent="0.2">
      <c r="A225" s="7">
        <f>$C$10*19/100</f>
        <v>0</v>
      </c>
      <c r="B225" s="7"/>
      <c r="D225" s="1">
        <f>IF(AND(37500&lt;$C$10,$C$10&lt;50001),A225,0)</f>
        <v>0</v>
      </c>
      <c r="E225" s="1">
        <v>200000</v>
      </c>
      <c r="G225" s="1">
        <f>E224*15%</f>
        <v>22500</v>
      </c>
      <c r="I225" s="1">
        <f t="shared" si="6"/>
        <v>7500</v>
      </c>
    </row>
    <row r="226" spans="1:9" hidden="1" x14ac:dyDescent="0.2">
      <c r="A226" s="7">
        <f>$C$10*18/100</f>
        <v>0</v>
      </c>
      <c r="B226" s="7"/>
      <c r="D226" s="1">
        <f>IF(AND(50000&lt;$C$10,$C$10&lt;62501),A226,0)</f>
        <v>0</v>
      </c>
      <c r="E226" s="1">
        <v>300000</v>
      </c>
      <c r="G226" s="1">
        <f>E225*14.5%</f>
        <v>28999.999999999996</v>
      </c>
      <c r="I226" s="1">
        <f t="shared" si="6"/>
        <v>9500</v>
      </c>
    </row>
    <row r="227" spans="1:9" hidden="1" x14ac:dyDescent="0.2">
      <c r="A227" s="7">
        <f>$C$10*16.5/100</f>
        <v>0</v>
      </c>
      <c r="B227" s="7"/>
      <c r="D227" s="1">
        <f>IF(AND(62500&lt;$C$10,$C$10&lt;75001),A227,0)</f>
        <v>0</v>
      </c>
      <c r="E227" s="1">
        <v>375000</v>
      </c>
      <c r="G227" s="1">
        <f>E226*14%</f>
        <v>42000.000000000007</v>
      </c>
      <c r="I227" s="1">
        <f t="shared" si="6"/>
        <v>11250</v>
      </c>
    </row>
    <row r="228" spans="1:9" hidden="1" x14ac:dyDescent="0.2">
      <c r="A228" s="7">
        <f>$C$10*16/100</f>
        <v>0</v>
      </c>
      <c r="B228" s="7"/>
      <c r="D228" s="1">
        <f>IF(AND(75000&lt;$C$10,$C$10&lt;100001),A228,0)</f>
        <v>0</v>
      </c>
      <c r="E228" s="1">
        <v>600000</v>
      </c>
      <c r="G228" s="1">
        <f>E227*13%</f>
        <v>48750</v>
      </c>
      <c r="I228" s="1">
        <f t="shared" si="6"/>
        <v>12375</v>
      </c>
    </row>
    <row r="229" spans="1:9" hidden="1" x14ac:dyDescent="0.2">
      <c r="A229" s="7">
        <f>$C$10*15.5/100</f>
        <v>0</v>
      </c>
      <c r="B229" s="7"/>
      <c r="D229" s="1">
        <f>IF(AND(100000&lt;$C$10,$C$10&lt;125001),A229,0)</f>
        <v>0</v>
      </c>
      <c r="E229" s="1">
        <v>1000000</v>
      </c>
      <c r="G229" s="1">
        <f>E228*12.5%</f>
        <v>75000</v>
      </c>
      <c r="I229" s="1">
        <f t="shared" si="6"/>
        <v>16000</v>
      </c>
    </row>
    <row r="230" spans="1:9" hidden="1" x14ac:dyDescent="0.2">
      <c r="A230" s="7">
        <f>$C$10*15/100</f>
        <v>0</v>
      </c>
      <c r="B230" s="7"/>
      <c r="D230" s="1">
        <f>IF(AND(125000&lt;$C$10,$C$10&lt;150001),A230,0)</f>
        <v>0</v>
      </c>
      <c r="E230" s="1">
        <v>1500000</v>
      </c>
      <c r="G230" s="1">
        <f>E229*12%</f>
        <v>120000</v>
      </c>
      <c r="I230" s="1">
        <f t="shared" si="6"/>
        <v>19375</v>
      </c>
    </row>
    <row r="231" spans="1:9" hidden="1" x14ac:dyDescent="0.2">
      <c r="A231" s="7">
        <f>$C$10*14.5/100</f>
        <v>0</v>
      </c>
      <c r="B231" s="7"/>
      <c r="D231" s="1">
        <f>IF(AND(150000&lt;$C$10,$C$10&lt;200001),A231,0)</f>
        <v>0</v>
      </c>
      <c r="G231" s="1">
        <f>E230*11.75%</f>
        <v>176250</v>
      </c>
      <c r="I231" s="1">
        <f t="shared" si="6"/>
        <v>22500</v>
      </c>
    </row>
    <row r="232" spans="1:9" hidden="1" x14ac:dyDescent="0.2">
      <c r="A232" s="7">
        <f>$C$10*14/100</f>
        <v>0</v>
      </c>
      <c r="B232" s="7"/>
      <c r="D232" s="1">
        <f>IF(AND(200000&lt;$C$10,$C$10&lt;300001),A232,0)</f>
        <v>0</v>
      </c>
      <c r="I232" s="1">
        <f t="shared" si="6"/>
        <v>28999.999999999996</v>
      </c>
    </row>
    <row r="233" spans="1:9" hidden="1" x14ac:dyDescent="0.2">
      <c r="A233" s="7">
        <f>$C$10*13/100</f>
        <v>0</v>
      </c>
      <c r="B233" s="7"/>
      <c r="D233" s="1">
        <f>IF(AND(300000&lt;$C$10,$C$10&lt;375001),A233,0)</f>
        <v>0</v>
      </c>
      <c r="I233" s="1">
        <f t="shared" si="6"/>
        <v>42000.000000000007</v>
      </c>
    </row>
    <row r="234" spans="1:9" hidden="1" x14ac:dyDescent="0.2">
      <c r="A234" s="7">
        <f>$C$10*12.5/100</f>
        <v>0</v>
      </c>
      <c r="B234" s="7"/>
      <c r="D234" s="1">
        <f>IF(AND(375000&lt;$C$10,$C$10&lt;600001),A234,0)</f>
        <v>0</v>
      </c>
      <c r="G234" s="7">
        <f>D257-$C$10*5/100</f>
        <v>0</v>
      </c>
      <c r="I234" s="1">
        <f t="shared" si="6"/>
        <v>48750</v>
      </c>
    </row>
    <row r="235" spans="1:9" hidden="1" x14ac:dyDescent="0.2">
      <c r="A235" s="7">
        <f>$C$10*12/100</f>
        <v>0</v>
      </c>
      <c r="B235" s="7"/>
      <c r="D235" s="1">
        <f>IF(AND(600000&lt;$C$10,$C$10&lt;1000001),A235,0)</f>
        <v>0</v>
      </c>
      <c r="I235" s="1">
        <f t="shared" si="6"/>
        <v>75000</v>
      </c>
    </row>
    <row r="236" spans="1:9" hidden="1" x14ac:dyDescent="0.2">
      <c r="A236" s="7">
        <f>$C$10*11.75/100</f>
        <v>0</v>
      </c>
      <c r="B236" s="7"/>
      <c r="D236" s="1">
        <f>IF(AND(1000000&lt;$C$10,$C$10&lt;1500001),A236,0)</f>
        <v>0</v>
      </c>
      <c r="G236" s="1" t="e">
        <f>IF(AND($G$10="ja",#REF!="ja"),I240-750,0)</f>
        <v>#REF!</v>
      </c>
      <c r="I236" s="1">
        <f t="shared" si="6"/>
        <v>120000</v>
      </c>
    </row>
    <row r="237" spans="1:9" hidden="1" x14ac:dyDescent="0.2">
      <c r="A237" s="7">
        <f>$C$10*11.5/100</f>
        <v>0</v>
      </c>
      <c r="B237" s="7"/>
      <c r="D237" s="1">
        <f>IF(1500000&lt;$C$10,A237,0)</f>
        <v>0</v>
      </c>
      <c r="I237" s="1">
        <f t="shared" si="6"/>
        <v>176250</v>
      </c>
    </row>
    <row r="238" spans="1:9" hidden="1" x14ac:dyDescent="0.2">
      <c r="D238" s="7">
        <f>SUM(D222:D237)</f>
        <v>0</v>
      </c>
      <c r="G238" s="1" t="e">
        <f>IF(G236=0,I242,G236)</f>
        <v>#REF!</v>
      </c>
    </row>
    <row r="239" spans="1:9" hidden="1" x14ac:dyDescent="0.2"/>
    <row r="240" spans="1:9" hidden="1" x14ac:dyDescent="0.2">
      <c r="D240" s="7">
        <f>D222</f>
        <v>0</v>
      </c>
      <c r="G240" s="1" t="e">
        <f>IF(G238=0,I240,G238)</f>
        <v>#REF!</v>
      </c>
      <c r="I240" s="1" t="e">
        <f>IF(#REF!="ja",G234,D257)</f>
        <v>#REF!</v>
      </c>
    </row>
    <row r="241" spans="4:9" hidden="1" x14ac:dyDescent="0.2">
      <c r="D241" s="1">
        <f t="shared" ref="D241:D255" si="7">IF(D223&gt;0,I223,0)</f>
        <v>0</v>
      </c>
    </row>
    <row r="242" spans="4:9" hidden="1" x14ac:dyDescent="0.2">
      <c r="D242" s="1">
        <f t="shared" si="7"/>
        <v>0</v>
      </c>
      <c r="G242" s="1" t="e">
        <f>IF(AND($G$11="ja",$G$10="ja"),G240-1000,G240)</f>
        <v>#REF!</v>
      </c>
      <c r="I242" s="1" t="e">
        <f>IF(AND($G$10="ja",#REF!="neen"),I240-1500,0)</f>
        <v>#REF!</v>
      </c>
    </row>
    <row r="243" spans="4:9" hidden="1" x14ac:dyDescent="0.2">
      <c r="D243" s="1">
        <f t="shared" si="7"/>
        <v>0</v>
      </c>
    </row>
    <row r="244" spans="4:9" hidden="1" x14ac:dyDescent="0.2">
      <c r="D244" s="1">
        <f t="shared" si="7"/>
        <v>0</v>
      </c>
    </row>
    <row r="245" spans="4:9" hidden="1" x14ac:dyDescent="0.2">
      <c r="D245" s="1">
        <f t="shared" si="7"/>
        <v>0</v>
      </c>
    </row>
    <row r="246" spans="4:9" hidden="1" x14ac:dyDescent="0.2">
      <c r="D246" s="1">
        <f t="shared" si="7"/>
        <v>0</v>
      </c>
    </row>
    <row r="247" spans="4:9" hidden="1" x14ac:dyDescent="0.2">
      <c r="D247" s="1">
        <f t="shared" si="7"/>
        <v>0</v>
      </c>
    </row>
    <row r="248" spans="4:9" hidden="1" x14ac:dyDescent="0.2">
      <c r="D248" s="1">
        <f t="shared" si="7"/>
        <v>0</v>
      </c>
    </row>
    <row r="249" spans="4:9" hidden="1" x14ac:dyDescent="0.2">
      <c r="D249" s="1">
        <f t="shared" si="7"/>
        <v>0</v>
      </c>
    </row>
    <row r="250" spans="4:9" hidden="1" x14ac:dyDescent="0.2">
      <c r="D250" s="1">
        <f t="shared" si="7"/>
        <v>0</v>
      </c>
    </row>
    <row r="251" spans="4:9" hidden="1" x14ac:dyDescent="0.2">
      <c r="D251" s="1">
        <f t="shared" si="7"/>
        <v>0</v>
      </c>
    </row>
    <row r="252" spans="4:9" hidden="1" x14ac:dyDescent="0.2">
      <c r="D252" s="1">
        <f t="shared" si="7"/>
        <v>0</v>
      </c>
    </row>
    <row r="253" spans="4:9" hidden="1" x14ac:dyDescent="0.2">
      <c r="D253" s="1">
        <f t="shared" si="7"/>
        <v>0</v>
      </c>
    </row>
    <row r="254" spans="4:9" hidden="1" x14ac:dyDescent="0.2">
      <c r="D254" s="1">
        <f t="shared" si="7"/>
        <v>0</v>
      </c>
    </row>
    <row r="255" spans="4:9" hidden="1" x14ac:dyDescent="0.2">
      <c r="D255" s="1">
        <f t="shared" si="7"/>
        <v>0</v>
      </c>
    </row>
    <row r="256" spans="4:9" hidden="1" x14ac:dyDescent="0.2"/>
    <row r="257" spans="1:7" hidden="1" x14ac:dyDescent="0.2">
      <c r="D257" s="7">
        <f>SUM(D240:D255)</f>
        <v>0</v>
      </c>
    </row>
    <row r="258" spans="1:7" hidden="1" x14ac:dyDescent="0.2"/>
    <row r="259" spans="1:7" hidden="1" x14ac:dyDescent="0.2"/>
    <row r="260" spans="1:7" hidden="1" x14ac:dyDescent="0.2"/>
    <row r="261" spans="1:7" hidden="1" x14ac:dyDescent="0.2"/>
    <row r="262" spans="1:7" hidden="1" x14ac:dyDescent="0.2">
      <c r="C262" s="1" t="e">
        <f>IF(AND($G$10="ja",#REF!="ja"),-750,0)</f>
        <v>#REF!</v>
      </c>
    </row>
    <row r="263" spans="1:7" hidden="1" x14ac:dyDescent="0.2">
      <c r="C263" s="1" t="e">
        <f>IF(AND($G$10="ja",#REF!="neen"),-1500,0)</f>
        <v>#REF!</v>
      </c>
    </row>
    <row r="264" spans="1:7" hidden="1" x14ac:dyDescent="0.2">
      <c r="C264" s="1" t="e">
        <f>SUM(C262:C263)</f>
        <v>#REF!</v>
      </c>
    </row>
    <row r="265" spans="1:7" hidden="1" x14ac:dyDescent="0.2"/>
    <row r="266" spans="1:7" hidden="1" x14ac:dyDescent="0.2"/>
    <row r="267" spans="1:7" hidden="1" x14ac:dyDescent="0.2">
      <c r="A267" s="16" t="s">
        <v>29</v>
      </c>
      <c r="B267" s="16"/>
      <c r="C267" s="17">
        <f>C10</f>
        <v>0</v>
      </c>
      <c r="D267" s="18"/>
      <c r="E267" s="19"/>
      <c r="F267" s="20"/>
      <c r="G267" s="20"/>
    </row>
    <row r="268" spans="1:7" hidden="1" x14ac:dyDescent="0.2">
      <c r="A268" s="21"/>
      <c r="B268" s="16"/>
      <c r="C268" s="16"/>
      <c r="D268" s="18"/>
      <c r="E268" s="19"/>
      <c r="F268" s="20"/>
      <c r="G268" s="20"/>
    </row>
    <row r="269" spans="1:7" hidden="1" x14ac:dyDescent="0.2">
      <c r="A269" s="22" t="s">
        <v>30</v>
      </c>
      <c r="B269" s="16"/>
      <c r="C269" s="16"/>
      <c r="D269" s="18"/>
      <c r="E269" s="19"/>
      <c r="F269" s="20"/>
      <c r="G269" s="20"/>
    </row>
    <row r="270" spans="1:7" hidden="1" x14ac:dyDescent="0.2">
      <c r="A270" s="22"/>
      <c r="B270" s="16"/>
      <c r="C270" s="16"/>
      <c r="D270" s="18"/>
      <c r="E270" s="19"/>
      <c r="F270" s="20"/>
      <c r="G270" s="20"/>
    </row>
    <row r="271" spans="1:7" hidden="1" x14ac:dyDescent="0.2">
      <c r="A271" s="22" t="s">
        <v>31</v>
      </c>
      <c r="B271" s="16"/>
      <c r="C271" s="16"/>
      <c r="D271" s="18"/>
      <c r="E271" s="19"/>
      <c r="F271" s="20"/>
      <c r="G271" s="20"/>
    </row>
    <row r="272" spans="1:7" hidden="1" x14ac:dyDescent="0.2">
      <c r="A272" s="22"/>
      <c r="B272" s="16"/>
      <c r="C272" s="16"/>
      <c r="D272" s="18"/>
      <c r="E272" s="19"/>
      <c r="F272" s="20"/>
      <c r="G272" s="20"/>
    </row>
    <row r="273" spans="1:7" hidden="1" x14ac:dyDescent="0.2">
      <c r="A273" s="22" t="s">
        <v>32</v>
      </c>
      <c r="B273" s="16"/>
      <c r="C273" s="16"/>
      <c r="D273" s="18"/>
      <c r="E273" s="19"/>
      <c r="F273" s="20"/>
      <c r="G273" s="23" t="s">
        <v>33</v>
      </c>
    </row>
    <row r="274" spans="1:7" hidden="1" x14ac:dyDescent="0.2">
      <c r="A274" s="22"/>
      <c r="B274" s="16"/>
      <c r="C274" s="16"/>
      <c r="D274" s="18"/>
      <c r="E274" s="19"/>
      <c r="F274" s="20"/>
      <c r="G274" s="20"/>
    </row>
    <row r="275" spans="1:7" hidden="1" x14ac:dyDescent="0.2">
      <c r="A275" s="24" t="s">
        <v>34</v>
      </c>
      <c r="B275" s="25" t="s">
        <v>35</v>
      </c>
      <c r="C275" s="16"/>
      <c r="D275" s="18"/>
      <c r="E275" s="19"/>
      <c r="F275" s="20"/>
      <c r="G275" s="20"/>
    </row>
    <row r="276" spans="1:7" hidden="1" x14ac:dyDescent="0.2">
      <c r="A276" s="16">
        <v>0</v>
      </c>
      <c r="B276" s="16">
        <v>7500</v>
      </c>
      <c r="C276" s="16">
        <f>IF(AND(C267&gt;A276,C267&lt;=B276),C267,0)</f>
        <v>0</v>
      </c>
      <c r="D276" s="18">
        <v>0.16900000000000001</v>
      </c>
      <c r="E276" s="26">
        <f>D276*C276</f>
        <v>0</v>
      </c>
      <c r="F276" s="20">
        <v>500</v>
      </c>
      <c r="G276" s="27">
        <f t="shared" ref="G276:G282" si="8">IF(E276&gt;0,SUM(E276:F276),0)</f>
        <v>0</v>
      </c>
    </row>
    <row r="277" spans="1:7" hidden="1" x14ac:dyDescent="0.2">
      <c r="A277" s="16">
        <f t="shared" ref="A277:A282" si="9">B276</f>
        <v>7500</v>
      </c>
      <c r="B277" s="16">
        <v>10000</v>
      </c>
      <c r="C277" s="16">
        <f>IF(AND(C267&gt;A277,C267&lt;=B277),C267,0)</f>
        <v>0</v>
      </c>
      <c r="D277" s="18">
        <v>0.16209999999999999</v>
      </c>
      <c r="E277" s="26">
        <f t="shared" ref="E277:E282" si="10">D277*C277</f>
        <v>0</v>
      </c>
      <c r="F277" s="20">
        <v>551.73</v>
      </c>
      <c r="G277" s="27">
        <f t="shared" si="8"/>
        <v>0</v>
      </c>
    </row>
    <row r="278" spans="1:7" hidden="1" x14ac:dyDescent="0.2">
      <c r="A278" s="16">
        <f t="shared" si="9"/>
        <v>10000</v>
      </c>
      <c r="B278" s="16">
        <v>12500</v>
      </c>
      <c r="C278" s="16">
        <f>IF(AND(C267&gt;A278,C267&lt;=B278),C267,0)</f>
        <v>0</v>
      </c>
      <c r="D278" s="18">
        <v>0.1552</v>
      </c>
      <c r="E278" s="26">
        <f t="shared" si="10"/>
        <v>0</v>
      </c>
      <c r="F278" s="20">
        <v>620.71</v>
      </c>
      <c r="G278" s="27">
        <f t="shared" si="8"/>
        <v>0</v>
      </c>
    </row>
    <row r="279" spans="1:7" hidden="1" x14ac:dyDescent="0.2">
      <c r="A279" s="16">
        <f t="shared" si="9"/>
        <v>12500</v>
      </c>
      <c r="B279" s="16">
        <v>15495</v>
      </c>
      <c r="C279" s="16">
        <f>IF(AND(C267&gt;A279,C267&lt;=B279),C267,0)</f>
        <v>0</v>
      </c>
      <c r="D279" s="18">
        <v>0.14829999999999999</v>
      </c>
      <c r="E279" s="26">
        <f t="shared" si="10"/>
        <v>0</v>
      </c>
      <c r="F279" s="20">
        <v>706.91</v>
      </c>
      <c r="G279" s="27">
        <f t="shared" si="8"/>
        <v>0</v>
      </c>
    </row>
    <row r="280" spans="1:7" hidden="1" x14ac:dyDescent="0.2">
      <c r="A280" s="16">
        <f t="shared" si="9"/>
        <v>15495</v>
      </c>
      <c r="B280" s="16">
        <v>18600</v>
      </c>
      <c r="C280" s="16">
        <f>IF(AND(C267&gt;A280,C267&lt;=B280),C267,0)</f>
        <v>0</v>
      </c>
      <c r="D280" s="18">
        <v>0.13450000000000001</v>
      </c>
      <c r="E280" s="26">
        <f t="shared" si="10"/>
        <v>0</v>
      </c>
      <c r="F280" s="20">
        <v>920.65</v>
      </c>
      <c r="G280" s="27">
        <f t="shared" si="8"/>
        <v>0</v>
      </c>
    </row>
    <row r="281" spans="1:7" hidden="1" x14ac:dyDescent="0.2">
      <c r="A281" s="16">
        <f t="shared" si="9"/>
        <v>18600</v>
      </c>
      <c r="B281" s="16">
        <v>186000</v>
      </c>
      <c r="C281" s="16">
        <f>IF(AND(C267&gt;A281,C267&lt;=B281),C267,0)</f>
        <v>0</v>
      </c>
      <c r="D281" s="18">
        <v>0.1166</v>
      </c>
      <c r="E281" s="26">
        <f t="shared" si="10"/>
        <v>0</v>
      </c>
      <c r="F281" s="20">
        <v>4256.04</v>
      </c>
      <c r="G281" s="27">
        <f t="shared" si="8"/>
        <v>0</v>
      </c>
    </row>
    <row r="282" spans="1:7" hidden="1" x14ac:dyDescent="0.2">
      <c r="A282" s="16">
        <f t="shared" si="9"/>
        <v>186000</v>
      </c>
      <c r="B282" s="16">
        <v>999999999</v>
      </c>
      <c r="C282" s="16">
        <f>IF(AND(C267&gt;A282,C267&lt;=B282),C267,0)</f>
        <v>0</v>
      </c>
      <c r="D282" s="18">
        <v>0.1014</v>
      </c>
      <c r="E282" s="26">
        <f t="shared" si="10"/>
        <v>0</v>
      </c>
      <c r="F282" s="20">
        <v>7078.29</v>
      </c>
      <c r="G282" s="27">
        <f t="shared" si="8"/>
        <v>0</v>
      </c>
    </row>
    <row r="283" spans="1:7" hidden="1" x14ac:dyDescent="0.2">
      <c r="A283" s="16"/>
      <c r="B283" s="16"/>
      <c r="C283" s="16"/>
      <c r="D283" s="18"/>
      <c r="E283" s="26"/>
      <c r="F283" s="20"/>
      <c r="G283" s="20"/>
    </row>
    <row r="284" spans="1:7" hidden="1" x14ac:dyDescent="0.2">
      <c r="A284" s="22" t="s">
        <v>36</v>
      </c>
      <c r="B284" s="16"/>
      <c r="C284" s="16"/>
      <c r="D284" s="18"/>
      <c r="E284" s="26">
        <f>SUM(E276:E283)</f>
        <v>0</v>
      </c>
      <c r="F284" s="20"/>
      <c r="G284" s="28">
        <f>SUM(G276:G283)</f>
        <v>0</v>
      </c>
    </row>
    <row r="285" spans="1:7" hidden="1" x14ac:dyDescent="0.2">
      <c r="A285" s="16"/>
      <c r="B285" s="16"/>
      <c r="C285" s="16"/>
      <c r="D285" s="18"/>
      <c r="E285" s="26"/>
      <c r="F285" s="20"/>
      <c r="G285" s="20"/>
    </row>
    <row r="286" spans="1:7" hidden="1" x14ac:dyDescent="0.2">
      <c r="A286" s="22" t="s">
        <v>32</v>
      </c>
      <c r="B286" s="16"/>
      <c r="C286" s="16"/>
      <c r="D286" s="18"/>
      <c r="E286" s="26"/>
      <c r="F286" s="20"/>
      <c r="G286" s="23" t="s">
        <v>33</v>
      </c>
    </row>
    <row r="287" spans="1:7" hidden="1" x14ac:dyDescent="0.2">
      <c r="A287" s="16"/>
      <c r="B287" s="16"/>
      <c r="C287" s="16"/>
      <c r="D287" s="18"/>
      <c r="E287" s="26"/>
      <c r="F287" s="20"/>
      <c r="G287" s="20"/>
    </row>
    <row r="288" spans="1:7" hidden="1" x14ac:dyDescent="0.2">
      <c r="A288" s="16" t="s">
        <v>34</v>
      </c>
      <c r="B288" s="16" t="s">
        <v>35</v>
      </c>
      <c r="C288" s="16"/>
      <c r="D288" s="18"/>
      <c r="E288" s="26"/>
      <c r="F288" s="20"/>
      <c r="G288" s="20"/>
    </row>
    <row r="289" spans="1:7" hidden="1" x14ac:dyDescent="0.2">
      <c r="A289" s="16">
        <v>0</v>
      </c>
      <c r="B289" s="16">
        <v>7500</v>
      </c>
      <c r="C289" s="16">
        <f>IF(AND(C267&gt;A289,C267&lt;=B289),C267,0)</f>
        <v>0</v>
      </c>
      <c r="D289" s="18">
        <v>0.19400000000000001</v>
      </c>
      <c r="E289" s="26">
        <f>D289*C289</f>
        <v>0</v>
      </c>
      <c r="F289" s="20">
        <v>500</v>
      </c>
      <c r="G289" s="27">
        <f t="shared" ref="G289:G295" si="11">IF(E289&gt;0,SUM(E289:F289),0)</f>
        <v>0</v>
      </c>
    </row>
    <row r="290" spans="1:7" hidden="1" x14ac:dyDescent="0.2">
      <c r="A290" s="16">
        <f t="shared" ref="A290:A295" si="12">B289</f>
        <v>7500</v>
      </c>
      <c r="B290" s="16">
        <v>10000</v>
      </c>
      <c r="C290" s="16">
        <f>IF(AND(C267&gt;A290,C267&lt;=B290),C267,0)</f>
        <v>0</v>
      </c>
      <c r="D290" s="18">
        <v>0.18709999999999999</v>
      </c>
      <c r="E290" s="26">
        <f t="shared" ref="E290:E295" si="13">D290*C290</f>
        <v>0</v>
      </c>
      <c r="F290" s="20">
        <v>551.73</v>
      </c>
      <c r="G290" s="27">
        <f t="shared" si="11"/>
        <v>0</v>
      </c>
    </row>
    <row r="291" spans="1:7" hidden="1" x14ac:dyDescent="0.2">
      <c r="A291" s="16">
        <f t="shared" si="12"/>
        <v>10000</v>
      </c>
      <c r="B291" s="16">
        <v>12500</v>
      </c>
      <c r="C291" s="16">
        <f>IF(AND(C267&gt;A291,C267&lt;=B291),C267,0)</f>
        <v>0</v>
      </c>
      <c r="D291" s="18">
        <v>0.1802</v>
      </c>
      <c r="E291" s="26">
        <f t="shared" si="13"/>
        <v>0</v>
      </c>
      <c r="F291" s="20">
        <v>620.71</v>
      </c>
      <c r="G291" s="27">
        <f t="shared" si="11"/>
        <v>0</v>
      </c>
    </row>
    <row r="292" spans="1:7" hidden="1" x14ac:dyDescent="0.2">
      <c r="A292" s="16">
        <f t="shared" si="12"/>
        <v>12500</v>
      </c>
      <c r="B292" s="16">
        <v>15495</v>
      </c>
      <c r="C292" s="16">
        <f>IF(AND(C267&gt;A292,C267&lt;=B292),C267,0)</f>
        <v>0</v>
      </c>
      <c r="D292" s="18">
        <v>0.17330000000000001</v>
      </c>
      <c r="E292" s="26">
        <f t="shared" si="13"/>
        <v>0</v>
      </c>
      <c r="F292" s="20">
        <v>706.91</v>
      </c>
      <c r="G292" s="27">
        <f t="shared" si="11"/>
        <v>0</v>
      </c>
    </row>
    <row r="293" spans="1:7" hidden="1" x14ac:dyDescent="0.2">
      <c r="A293" s="16">
        <f t="shared" si="12"/>
        <v>15495</v>
      </c>
      <c r="B293" s="16">
        <v>18600</v>
      </c>
      <c r="C293" s="16">
        <f>IF(AND(C267&gt;A293,C267&lt;=B293),C267,0)</f>
        <v>0</v>
      </c>
      <c r="D293" s="18">
        <v>0.1595</v>
      </c>
      <c r="E293" s="26">
        <f t="shared" si="13"/>
        <v>0</v>
      </c>
      <c r="F293" s="20">
        <v>920.65</v>
      </c>
      <c r="G293" s="27">
        <f t="shared" si="11"/>
        <v>0</v>
      </c>
    </row>
    <row r="294" spans="1:7" hidden="1" x14ac:dyDescent="0.2">
      <c r="A294" s="16">
        <f t="shared" si="12"/>
        <v>18600</v>
      </c>
      <c r="B294" s="16">
        <v>186000</v>
      </c>
      <c r="C294" s="16">
        <f>IF(AND(C267&gt;A294,C267&lt;=B294),C267,0)</f>
        <v>0</v>
      </c>
      <c r="D294" s="18">
        <v>0.1416</v>
      </c>
      <c r="E294" s="26">
        <f t="shared" si="13"/>
        <v>0</v>
      </c>
      <c r="F294" s="20">
        <v>4256.04</v>
      </c>
      <c r="G294" s="27">
        <f t="shared" si="11"/>
        <v>0</v>
      </c>
    </row>
    <row r="295" spans="1:7" hidden="1" x14ac:dyDescent="0.2">
      <c r="A295" s="16">
        <f t="shared" si="12"/>
        <v>186000</v>
      </c>
      <c r="B295" s="16">
        <v>999999999</v>
      </c>
      <c r="C295" s="16">
        <f>IF(AND(C267&gt;A295,C267&lt;=B295),C267,0)</f>
        <v>0</v>
      </c>
      <c r="D295" s="18">
        <v>0.12640000000000001</v>
      </c>
      <c r="E295" s="26">
        <f t="shared" si="13"/>
        <v>0</v>
      </c>
      <c r="F295" s="20">
        <v>7078.29</v>
      </c>
      <c r="G295" s="27">
        <f t="shared" si="11"/>
        <v>0</v>
      </c>
    </row>
    <row r="296" spans="1:7" hidden="1" x14ac:dyDescent="0.2">
      <c r="A296" s="16"/>
      <c r="B296" s="16"/>
      <c r="C296" s="16"/>
      <c r="D296" s="18"/>
      <c r="E296" s="26"/>
      <c r="F296" s="20"/>
      <c r="G296" s="20"/>
    </row>
    <row r="297" spans="1:7" hidden="1" x14ac:dyDescent="0.2">
      <c r="A297" s="22" t="s">
        <v>37</v>
      </c>
      <c r="B297" s="16"/>
      <c r="C297" s="16"/>
      <c r="D297" s="18"/>
      <c r="E297" s="26"/>
      <c r="F297" s="20"/>
      <c r="G297" s="28">
        <f>SUM(G289:G296)</f>
        <v>0</v>
      </c>
    </row>
    <row r="298" spans="1:7" hidden="1" x14ac:dyDescent="0.2">
      <c r="A298" s="16"/>
      <c r="B298" s="16"/>
      <c r="C298" s="16"/>
      <c r="D298" s="18"/>
      <c r="E298" s="26"/>
      <c r="F298" s="20"/>
      <c r="G298" s="20"/>
    </row>
    <row r="299" spans="1:7" hidden="1" x14ac:dyDescent="0.2">
      <c r="A299" s="22" t="s">
        <v>32</v>
      </c>
      <c r="B299" s="16"/>
      <c r="C299" s="16"/>
      <c r="D299" s="18"/>
      <c r="E299" s="26"/>
      <c r="F299" s="20"/>
      <c r="G299" s="23" t="s">
        <v>33</v>
      </c>
    </row>
    <row r="300" spans="1:7" hidden="1" x14ac:dyDescent="0.2">
      <c r="A300" s="16"/>
      <c r="B300" s="16"/>
      <c r="C300" s="16"/>
      <c r="D300" s="18"/>
      <c r="E300" s="26"/>
      <c r="F300" s="20"/>
      <c r="G300" s="20"/>
    </row>
    <row r="301" spans="1:7" hidden="1" x14ac:dyDescent="0.2">
      <c r="A301" s="16" t="s">
        <v>34</v>
      </c>
      <c r="B301" s="16" t="s">
        <v>35</v>
      </c>
      <c r="C301" s="16"/>
      <c r="D301" s="18"/>
      <c r="E301" s="26"/>
      <c r="F301" s="20"/>
      <c r="G301" s="20"/>
    </row>
    <row r="302" spans="1:7" hidden="1" x14ac:dyDescent="0.2">
      <c r="A302" s="16">
        <v>0</v>
      </c>
      <c r="B302" s="16">
        <v>7500</v>
      </c>
      <c r="C302" s="16">
        <f>IF(AND(C267&gt;A302,C267&lt;=B302),C267,0)</f>
        <v>0</v>
      </c>
      <c r="D302" s="18">
        <v>0.129</v>
      </c>
      <c r="E302" s="26">
        <f>D302*C302</f>
        <v>0</v>
      </c>
      <c r="F302" s="20">
        <v>500</v>
      </c>
      <c r="G302" s="27">
        <f t="shared" ref="G302:G308" si="14">IF(E302&gt;0,SUM(E302:F302),0)</f>
        <v>0</v>
      </c>
    </row>
    <row r="303" spans="1:7" hidden="1" x14ac:dyDescent="0.2">
      <c r="A303" s="16">
        <f t="shared" ref="A303:A308" si="15">B302</f>
        <v>7500</v>
      </c>
      <c r="B303" s="16">
        <v>10000</v>
      </c>
      <c r="C303" s="16">
        <f>IF(AND(C267&gt;A303,C267&lt;=B303),C267,0)</f>
        <v>0</v>
      </c>
      <c r="D303" s="18">
        <v>0.1221</v>
      </c>
      <c r="E303" s="26">
        <f t="shared" ref="E303:E308" si="16">D303*C303</f>
        <v>0</v>
      </c>
      <c r="F303" s="20">
        <v>551.73</v>
      </c>
      <c r="G303" s="27">
        <f t="shared" si="14"/>
        <v>0</v>
      </c>
    </row>
    <row r="304" spans="1:7" hidden="1" x14ac:dyDescent="0.2">
      <c r="A304" s="16">
        <f t="shared" si="15"/>
        <v>10000</v>
      </c>
      <c r="B304" s="16">
        <v>12500</v>
      </c>
      <c r="C304" s="16">
        <f>IF(AND(C267&gt;A304,C267&lt;=B304),C267,0)</f>
        <v>0</v>
      </c>
      <c r="D304" s="18">
        <v>0.1152</v>
      </c>
      <c r="E304" s="26">
        <f t="shared" si="16"/>
        <v>0</v>
      </c>
      <c r="F304" s="20">
        <v>620.71</v>
      </c>
      <c r="G304" s="27">
        <f t="shared" si="14"/>
        <v>0</v>
      </c>
    </row>
    <row r="305" spans="1:7" hidden="1" x14ac:dyDescent="0.2">
      <c r="A305" s="16">
        <f t="shared" si="15"/>
        <v>12500</v>
      </c>
      <c r="B305" s="16">
        <v>15495</v>
      </c>
      <c r="C305" s="16">
        <f>IF(AND(C267&gt;A305,C267&lt;=B305),C267,0)</f>
        <v>0</v>
      </c>
      <c r="D305" s="18">
        <v>0.10829999999999999</v>
      </c>
      <c r="E305" s="26">
        <f t="shared" si="16"/>
        <v>0</v>
      </c>
      <c r="F305" s="20">
        <v>706.91</v>
      </c>
      <c r="G305" s="27">
        <f t="shared" si="14"/>
        <v>0</v>
      </c>
    </row>
    <row r="306" spans="1:7" hidden="1" x14ac:dyDescent="0.2">
      <c r="A306" s="16">
        <f t="shared" si="15"/>
        <v>15495</v>
      </c>
      <c r="B306" s="16">
        <v>18600</v>
      </c>
      <c r="C306" s="16">
        <f>IF(AND(C267&gt;A306,C267&lt;=B306),C267,0)</f>
        <v>0</v>
      </c>
      <c r="D306" s="18">
        <v>9.4500000000000001E-2</v>
      </c>
      <c r="E306" s="26">
        <f t="shared" si="16"/>
        <v>0</v>
      </c>
      <c r="F306" s="20">
        <v>920.65</v>
      </c>
      <c r="G306" s="27">
        <f t="shared" si="14"/>
        <v>0</v>
      </c>
    </row>
    <row r="307" spans="1:7" hidden="1" x14ac:dyDescent="0.2">
      <c r="A307" s="16">
        <f t="shared" si="15"/>
        <v>18600</v>
      </c>
      <c r="B307" s="16">
        <v>186000</v>
      </c>
      <c r="C307" s="16">
        <f>IF(AND(C267&gt;A307,C267&lt;=B307),C267,0)</f>
        <v>0</v>
      </c>
      <c r="D307" s="18">
        <v>7.6600000000000001E-2</v>
      </c>
      <c r="E307" s="26">
        <f t="shared" si="16"/>
        <v>0</v>
      </c>
      <c r="F307" s="20">
        <v>4256.04</v>
      </c>
      <c r="G307" s="27">
        <f t="shared" si="14"/>
        <v>0</v>
      </c>
    </row>
    <row r="308" spans="1:7" hidden="1" x14ac:dyDescent="0.2">
      <c r="A308" s="16">
        <f t="shared" si="15"/>
        <v>186000</v>
      </c>
      <c r="B308" s="16">
        <v>999999999</v>
      </c>
      <c r="C308" s="16">
        <f>IF(AND(C267&gt;A308,C267&lt;=B308),C267,0)</f>
        <v>0</v>
      </c>
      <c r="D308" s="18">
        <v>6.1400000000000003E-2</v>
      </c>
      <c r="E308" s="26">
        <f t="shared" si="16"/>
        <v>0</v>
      </c>
      <c r="F308" s="20">
        <v>7078.29</v>
      </c>
      <c r="G308" s="27">
        <f t="shared" si="14"/>
        <v>0</v>
      </c>
    </row>
    <row r="309" spans="1:7" hidden="1" x14ac:dyDescent="0.2">
      <c r="A309" s="16"/>
      <c r="B309" s="16"/>
      <c r="C309" s="16"/>
      <c r="D309" s="18"/>
      <c r="E309" s="26"/>
      <c r="F309" s="20"/>
      <c r="G309" s="20"/>
    </row>
    <row r="310" spans="1:7" hidden="1" x14ac:dyDescent="0.2">
      <c r="A310" s="22" t="s">
        <v>38</v>
      </c>
      <c r="B310" s="16"/>
      <c r="C310" s="16"/>
      <c r="D310" s="18"/>
      <c r="E310" s="26"/>
      <c r="F310" s="20"/>
      <c r="G310" s="28">
        <f>SUM(G302:G309)</f>
        <v>0</v>
      </c>
    </row>
    <row r="311" spans="1:7" hidden="1" x14ac:dyDescent="0.2">
      <c r="A311" s="16"/>
      <c r="B311" s="16"/>
      <c r="C311" s="16"/>
      <c r="D311" s="18"/>
      <c r="E311" s="26"/>
      <c r="F311" s="20"/>
      <c r="G311" s="20"/>
    </row>
    <row r="312" spans="1:7" hidden="1" x14ac:dyDescent="0.2">
      <c r="A312" s="22" t="s">
        <v>32</v>
      </c>
      <c r="B312" s="16"/>
      <c r="C312" s="16"/>
      <c r="D312" s="18"/>
      <c r="E312" s="26"/>
      <c r="F312" s="20"/>
      <c r="G312" s="23" t="s">
        <v>33</v>
      </c>
    </row>
    <row r="313" spans="1:7" hidden="1" x14ac:dyDescent="0.2">
      <c r="A313" s="16"/>
      <c r="B313" s="16"/>
      <c r="C313" s="16"/>
      <c r="D313" s="18"/>
      <c r="E313" s="26"/>
      <c r="F313" s="20"/>
      <c r="G313" s="20"/>
    </row>
    <row r="314" spans="1:7" hidden="1" x14ac:dyDescent="0.2">
      <c r="A314" s="16" t="s">
        <v>34</v>
      </c>
      <c r="B314" s="16" t="s">
        <v>35</v>
      </c>
      <c r="C314" s="16"/>
      <c r="D314" s="18"/>
      <c r="E314" s="26"/>
      <c r="F314" s="20"/>
      <c r="G314" s="20"/>
    </row>
    <row r="315" spans="1:7" hidden="1" x14ac:dyDescent="0.2">
      <c r="A315" s="16">
        <v>0</v>
      </c>
      <c r="B315" s="16">
        <v>7500</v>
      </c>
      <c r="C315" s="16">
        <f>IF(AND(C267&gt;A315,C267&lt;=B315),C267,0)</f>
        <v>0</v>
      </c>
      <c r="D315" s="18">
        <v>0.11899999999999999</v>
      </c>
      <c r="E315" s="26">
        <f>D315*C315</f>
        <v>0</v>
      </c>
      <c r="F315" s="20">
        <v>500</v>
      </c>
      <c r="G315" s="27">
        <f t="shared" ref="G315:G321" si="17">IF(E315&gt;0,SUM(E315:F315),0)</f>
        <v>0</v>
      </c>
    </row>
    <row r="316" spans="1:7" hidden="1" x14ac:dyDescent="0.2">
      <c r="A316" s="16">
        <f t="shared" ref="A316:A321" si="18">B315</f>
        <v>7500</v>
      </c>
      <c r="B316" s="16">
        <v>10000</v>
      </c>
      <c r="C316" s="16">
        <f>IF(AND(C267&gt;A316,C267&lt;=B316),C267,0)</f>
        <v>0</v>
      </c>
      <c r="D316" s="18">
        <v>0.11210000000000001</v>
      </c>
      <c r="E316" s="26">
        <f t="shared" ref="E316:E321" si="19">D316*C316</f>
        <v>0</v>
      </c>
      <c r="F316" s="20">
        <v>551.73</v>
      </c>
      <c r="G316" s="27">
        <f t="shared" si="17"/>
        <v>0</v>
      </c>
    </row>
    <row r="317" spans="1:7" hidden="1" x14ac:dyDescent="0.2">
      <c r="A317" s="16">
        <f t="shared" si="18"/>
        <v>10000</v>
      </c>
      <c r="B317" s="16">
        <v>12500</v>
      </c>
      <c r="C317" s="16">
        <f>IF(AND(C267&gt;A317,C267&lt;=B317),C267,0)</f>
        <v>0</v>
      </c>
      <c r="D317" s="18">
        <v>0.1052</v>
      </c>
      <c r="E317" s="26">
        <f t="shared" si="19"/>
        <v>0</v>
      </c>
      <c r="F317" s="20">
        <v>620.71</v>
      </c>
      <c r="G317" s="27">
        <f t="shared" si="17"/>
        <v>0</v>
      </c>
    </row>
    <row r="318" spans="1:7" hidden="1" x14ac:dyDescent="0.2">
      <c r="A318" s="16">
        <f t="shared" si="18"/>
        <v>12500</v>
      </c>
      <c r="B318" s="16">
        <v>15495</v>
      </c>
      <c r="C318" s="16">
        <f>IF(AND(C267&gt;A318,C267&lt;=B318),C267,0)</f>
        <v>0</v>
      </c>
      <c r="D318" s="18">
        <v>9.8299999999999998E-2</v>
      </c>
      <c r="E318" s="26">
        <f t="shared" si="19"/>
        <v>0</v>
      </c>
      <c r="F318" s="20">
        <v>706.91</v>
      </c>
      <c r="G318" s="27">
        <f t="shared" si="17"/>
        <v>0</v>
      </c>
    </row>
    <row r="319" spans="1:7" hidden="1" x14ac:dyDescent="0.2">
      <c r="A319" s="16">
        <f t="shared" si="18"/>
        <v>15495</v>
      </c>
      <c r="B319" s="16">
        <v>18600</v>
      </c>
      <c r="C319" s="16">
        <f>IF(AND(C267&gt;A319,C267&lt;=B319),C267,0)</f>
        <v>0</v>
      </c>
      <c r="D319" s="18">
        <v>8.4500000000000006E-2</v>
      </c>
      <c r="E319" s="26">
        <f t="shared" si="19"/>
        <v>0</v>
      </c>
      <c r="F319" s="20">
        <v>920.65</v>
      </c>
      <c r="G319" s="27">
        <f t="shared" si="17"/>
        <v>0</v>
      </c>
    </row>
    <row r="320" spans="1:7" hidden="1" x14ac:dyDescent="0.2">
      <c r="A320" s="16">
        <f t="shared" si="18"/>
        <v>18600</v>
      </c>
      <c r="B320" s="16">
        <v>186000</v>
      </c>
      <c r="C320" s="16">
        <f>IF(AND(C267&gt;A320,C267&lt;=B320),C267,0)</f>
        <v>0</v>
      </c>
      <c r="D320" s="18">
        <v>6.6600000000000006E-2</v>
      </c>
      <c r="E320" s="26">
        <f t="shared" si="19"/>
        <v>0</v>
      </c>
      <c r="F320" s="20">
        <v>4256.04</v>
      </c>
      <c r="G320" s="27">
        <f t="shared" si="17"/>
        <v>0</v>
      </c>
    </row>
    <row r="321" spans="1:7" hidden="1" x14ac:dyDescent="0.2">
      <c r="A321" s="16">
        <f t="shared" si="18"/>
        <v>186000</v>
      </c>
      <c r="B321" s="16">
        <v>999999999</v>
      </c>
      <c r="C321" s="16">
        <f>IF(AND(C267&gt;A321,C267&lt;=B321),C267,0)</f>
        <v>0</v>
      </c>
      <c r="D321" s="18">
        <v>5.1400000000000001E-2</v>
      </c>
      <c r="E321" s="26">
        <f t="shared" si="19"/>
        <v>0</v>
      </c>
      <c r="F321" s="20">
        <v>7078.29</v>
      </c>
      <c r="G321" s="27">
        <f t="shared" si="17"/>
        <v>0</v>
      </c>
    </row>
    <row r="322" spans="1:7" hidden="1" x14ac:dyDescent="0.2"/>
    <row r="323" spans="1:7" hidden="1" x14ac:dyDescent="0.2">
      <c r="G323" s="29">
        <f>SUM(G315:G322)</f>
        <v>0</v>
      </c>
    </row>
    <row r="324" spans="1:7" hidden="1" x14ac:dyDescent="0.2"/>
    <row r="325" spans="1:7" hidden="1" x14ac:dyDescent="0.2"/>
    <row r="326" spans="1:7" hidden="1" x14ac:dyDescent="0.2"/>
    <row r="327" spans="1:7" hidden="1" x14ac:dyDescent="0.2"/>
    <row r="328" spans="1:7" hidden="1" x14ac:dyDescent="0.2"/>
    <row r="329" spans="1:7" hidden="1" x14ac:dyDescent="0.2"/>
    <row r="330" spans="1:7" hidden="1" x14ac:dyDescent="0.2"/>
    <row r="331" spans="1:7" hidden="1" x14ac:dyDescent="0.2"/>
    <row r="332" spans="1:7" hidden="1" x14ac:dyDescent="0.2"/>
  </sheetData>
  <sheetProtection algorithmName="SHA-512" hashValue="+TwKwfBWo3ZtVO0NLs3YdPCg3aOyQzmlvmHvX8/L6Zw4dcCR/RaZZY3mzHGR6JqyghNWtDTtzUmWE58pZdR7Rw==" saltValue="oeleNK8zlImeMPmPWmzXOQ==" spinCount="100000" sheet="1" objects="1" scenarios="1"/>
  <phoneticPr fontId="0" type="noConversion"/>
  <dataValidations count="5">
    <dataValidation type="list" allowBlank="1" showInputMessage="1" showErrorMessage="1" sqref="G10">
      <formula1>$K$65:$K$66</formula1>
    </dataValidation>
    <dataValidation type="list" allowBlank="1" showInputMessage="1" showErrorMessage="1" sqref="G11">
      <formula1>$L$65:$L$66</formula1>
    </dataValidation>
    <dataValidation type="list" allowBlank="1" showInputMessage="1" showErrorMessage="1" sqref="K15">
      <formula1>$E$60:$E$61</formula1>
    </dataValidation>
    <dataValidation type="list" allowBlank="1" showInputMessage="1" showErrorMessage="1" sqref="K14">
      <formula1>$D$60:$D$61</formula1>
    </dataValidation>
    <dataValidation type="list" allowBlank="1" showInputMessage="1" showErrorMessage="1" sqref="C8">
      <formula1>$H$65:$H$66</formula1>
    </dataValidation>
  </dataValidations>
  <hyperlinks>
    <hyperlink ref="E28" r:id="rId1"/>
    <hyperlink ref="E29" r:id="rId2"/>
    <hyperlink ref="F11" r:id="rId3"/>
  </hyperlinks>
  <pageMargins left="0.75" right="0.75" top="1" bottom="1" header="0.5" footer="0.5"/>
  <pageSetup paperSize="9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OVBRU</vt:lpstr>
      <vt:lpstr>OVBRU!Afdrukbereik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2012-08-13T15:51:33Z</dcterms:created>
  <dcterms:modified xsi:type="dcterms:W3CDTF">2014-11-10T22:25:36Z</dcterms:modified>
</cp:coreProperties>
</file>