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Jo\Google Drive\Boekje november 2014\"/>
    </mc:Choice>
  </mc:AlternateContent>
  <bookViews>
    <workbookView xWindow="6420" yWindow="-135" windowWidth="15480" windowHeight="11640"/>
  </bookViews>
  <sheets>
    <sheet name="OVVLA" sheetId="1" r:id="rId1"/>
  </sheets>
  <definedNames>
    <definedName name="_1._Zegels_Minuut_Brevet">#REF!</definedName>
    <definedName name="_10._Tweede_getuigschrift">#REF!</definedName>
    <definedName name="_11._Kadaster_uittreksel">#REF!</definedName>
    <definedName name="_12._Getuigen">#REF!</definedName>
    <definedName name="_13._Allerlei_uitgaven">#REF!</definedName>
    <definedName name="_14.">#REF!</definedName>
    <definedName name="_15.">#REF!</definedName>
    <definedName name="_2._Registratie_Minuut_Brevet">#REF!</definedName>
    <definedName name="_3._Registratie_aanhangsel">#REF!</definedName>
    <definedName name="_4.Zegels_afschrift_grosse">#REF!</definedName>
    <definedName name="_5._Hypotheek__inschr._overschr._doorh.">#REF!</definedName>
    <definedName name="_6._Loon_pandbewaarder">#REF!</definedName>
    <definedName name="_7._Zegels__bord._aanh.">#REF!</definedName>
    <definedName name="_8._Opzoekingen">#REF!</definedName>
    <definedName name="_9._Hypothecair_getuigschrift">#REF!</definedName>
    <definedName name="Aard">#REF!</definedName>
    <definedName name="_xlnm.Print_Area" localSheetId="0">OVVLA!$A$1:$F$40</definedName>
    <definedName name="Datum">#REF!</definedName>
    <definedName name="gemeentelijke_info">#REF!</definedName>
    <definedName name="Kantoor_van_Notaris_J._SIMONART_te_Leuven">#REF!</definedName>
    <definedName name="KOSTENFICHE">#REF!</definedName>
    <definedName name="Last_Row">IF(Values_Entered,Header_Row+Number_of_Payments,Header_Row)</definedName>
    <definedName name="Naam">#REF!</definedName>
    <definedName name="Number_of_Payments">MATCH(0.01,End_Bal,-1)+1</definedName>
    <definedName name="Payment_Date">DATE(YEAR(Loan_Start),MONTH(Loan_Start)+Payment_Number,DAY(Loan_Start))</definedName>
    <definedName name="Print_Area_Reset">OFFSET(Full_Print,0,0,Last_Row)</definedName>
    <definedName name="Rep.">#REF!</definedName>
    <definedName name="Total_Payment">Scheduled_Payment+Extra_Payment</definedName>
    <definedName name="Values_Entered">IF(Loan_Amount*Interest_Rate*Loan_Years*Loan_Start&gt;0,1,0)</definedName>
  </definedNames>
  <calcPr calcId="152511"/>
</workbook>
</file>

<file path=xl/calcChain.xml><?xml version="1.0" encoding="utf-8"?>
<calcChain xmlns="http://schemas.openxmlformats.org/spreadsheetml/2006/main">
  <c r="A45" i="1" l="1"/>
  <c r="H45" i="1"/>
  <c r="I46" i="1" s="1"/>
  <c r="I45" i="1"/>
  <c r="A46" i="1"/>
  <c r="H46" i="1"/>
  <c r="A47" i="1"/>
  <c r="A48" i="1"/>
  <c r="A49" i="1"/>
  <c r="A50" i="1"/>
  <c r="A51" i="1"/>
  <c r="F51" i="1"/>
  <c r="A52" i="1"/>
  <c r="F52" i="1"/>
  <c r="A53" i="1"/>
  <c r="A54" i="1"/>
  <c r="A55" i="1"/>
  <c r="A56" i="1"/>
  <c r="A57" i="1"/>
  <c r="A58" i="1"/>
  <c r="A59" i="1"/>
  <c r="A60" i="1"/>
  <c r="E60" i="1"/>
  <c r="E65" i="1" s="1"/>
  <c r="A61" i="1"/>
  <c r="E61" i="1"/>
  <c r="A62" i="1"/>
  <c r="E62" i="1"/>
  <c r="A63" i="1"/>
  <c r="E63" i="1"/>
  <c r="A64" i="1"/>
  <c r="A65" i="1"/>
  <c r="A66" i="1"/>
  <c r="D66" i="1"/>
  <c r="D71" i="1" s="1"/>
  <c r="A67" i="1"/>
  <c r="D67" i="1"/>
  <c r="A68" i="1"/>
  <c r="D68" i="1"/>
  <c r="E68" i="1"/>
  <c r="A69" i="1"/>
  <c r="D69" i="1"/>
  <c r="A70" i="1"/>
  <c r="F72" i="1"/>
  <c r="F73" i="1"/>
  <c r="D74" i="1"/>
  <c r="F68" i="1" s="1"/>
  <c r="F74" i="1"/>
  <c r="F75" i="1"/>
  <c r="F76" i="1"/>
  <c r="A77" i="1"/>
  <c r="D77" i="1" s="1"/>
  <c r="F77" i="1"/>
  <c r="A78" i="1"/>
  <c r="D78" i="1"/>
  <c r="H78" i="1" s="1"/>
  <c r="F78" i="1"/>
  <c r="A79" i="1"/>
  <c r="D79" i="1"/>
  <c r="H79" i="1" s="1"/>
  <c r="F79" i="1"/>
  <c r="A80" i="1"/>
  <c r="D80" i="1"/>
  <c r="H80" i="1" s="1"/>
  <c r="F80" i="1"/>
  <c r="A81" i="1"/>
  <c r="D81" i="1"/>
  <c r="F81" i="1"/>
  <c r="A82" i="1"/>
  <c r="D82" i="1"/>
  <c r="H82" i="1" s="1"/>
  <c r="F82" i="1"/>
  <c r="A83" i="1"/>
  <c r="D83" i="1"/>
  <c r="D101" i="1" s="1"/>
  <c r="F83" i="1"/>
  <c r="A84" i="1"/>
  <c r="D84" i="1" s="1"/>
  <c r="F84" i="1"/>
  <c r="A85" i="1"/>
  <c r="D85" i="1"/>
  <c r="H85" i="1" s="1"/>
  <c r="F85" i="1"/>
  <c r="A86" i="1"/>
  <c r="D86" i="1"/>
  <c r="H86" i="1" s="1"/>
  <c r="F86" i="1"/>
  <c r="A87" i="1"/>
  <c r="D87" i="1"/>
  <c r="D105" i="1" s="1"/>
  <c r="A88" i="1"/>
  <c r="D88" i="1"/>
  <c r="H88" i="1" s="1"/>
  <c r="A89" i="1"/>
  <c r="D89" i="1"/>
  <c r="A90" i="1"/>
  <c r="D90" i="1"/>
  <c r="A91" i="1"/>
  <c r="D91" i="1"/>
  <c r="A92" i="1"/>
  <c r="D92" i="1"/>
  <c r="H92" i="1" s="1"/>
  <c r="C117" i="1"/>
  <c r="C119" i="1" s="1"/>
  <c r="C118" i="1"/>
  <c r="F118" i="1"/>
  <c r="F119" i="1"/>
  <c r="F120" i="1"/>
  <c r="F121" i="1"/>
  <c r="F122" i="1"/>
  <c r="A123" i="1"/>
  <c r="D123" i="1" s="1"/>
  <c r="F123" i="1"/>
  <c r="A124" i="1"/>
  <c r="D124" i="1"/>
  <c r="D142" i="1" s="1"/>
  <c r="F124" i="1"/>
  <c r="A125" i="1"/>
  <c r="D125" i="1"/>
  <c r="D143" i="1" s="1"/>
  <c r="F125" i="1"/>
  <c r="A126" i="1"/>
  <c r="D126" i="1"/>
  <c r="D144" i="1"/>
  <c r="F126" i="1"/>
  <c r="A127" i="1"/>
  <c r="D127" i="1"/>
  <c r="D145" i="1" s="1"/>
  <c r="F127" i="1"/>
  <c r="A128" i="1"/>
  <c r="D128" i="1"/>
  <c r="H128" i="1" s="1"/>
  <c r="F128" i="1"/>
  <c r="A129" i="1"/>
  <c r="D129" i="1"/>
  <c r="D147" i="1" s="1"/>
  <c r="F129" i="1"/>
  <c r="A130" i="1"/>
  <c r="D130" i="1" s="1"/>
  <c r="F130" i="1"/>
  <c r="A131" i="1"/>
  <c r="D131" i="1"/>
  <c r="H131" i="1" s="1"/>
  <c r="F131" i="1"/>
  <c r="A132" i="1"/>
  <c r="D132" i="1" s="1"/>
  <c r="F132" i="1"/>
  <c r="A133" i="1"/>
  <c r="D133" i="1"/>
  <c r="H133" i="1" s="1"/>
  <c r="A134" i="1"/>
  <c r="D134" i="1"/>
  <c r="H134" i="1" s="1"/>
  <c r="A135" i="1"/>
  <c r="D135" i="1"/>
  <c r="H135" i="1" s="1"/>
  <c r="A136" i="1"/>
  <c r="D136" i="1"/>
  <c r="D154" i="1" s="1"/>
  <c r="A137" i="1"/>
  <c r="D137" i="1"/>
  <c r="D155" i="1" s="1"/>
  <c r="A138" i="1"/>
  <c r="D138" i="1"/>
  <c r="H138" i="1" s="1"/>
  <c r="C163" i="1"/>
  <c r="C164" i="1"/>
  <c r="F168" i="1"/>
  <c r="F169" i="1"/>
  <c r="F170" i="1"/>
  <c r="F171" i="1"/>
  <c r="F172" i="1"/>
  <c r="A173" i="1"/>
  <c r="D173" i="1" s="1"/>
  <c r="F173" i="1"/>
  <c r="A174" i="1"/>
  <c r="D174" i="1"/>
  <c r="F174" i="1"/>
  <c r="A175" i="1"/>
  <c r="D175" i="1"/>
  <c r="D193" i="1" s="1"/>
  <c r="F175" i="1"/>
  <c r="A176" i="1"/>
  <c r="D176" i="1"/>
  <c r="D194" i="1" s="1"/>
  <c r="F176" i="1"/>
  <c r="A177" i="1"/>
  <c r="D177" i="1"/>
  <c r="H177" i="1" s="1"/>
  <c r="F177" i="1"/>
  <c r="A178" i="1"/>
  <c r="D178" i="1"/>
  <c r="H178" i="1" s="1"/>
  <c r="F178" i="1"/>
  <c r="A179" i="1"/>
  <c r="D179" i="1"/>
  <c r="H179" i="1" s="1"/>
  <c r="F179" i="1"/>
  <c r="A180" i="1"/>
  <c r="D180" i="1"/>
  <c r="F180" i="1"/>
  <c r="A181" i="1"/>
  <c r="D181" i="1"/>
  <c r="H181" i="1" s="1"/>
  <c r="F181" i="1"/>
  <c r="A182" i="1"/>
  <c r="D182" i="1" s="1"/>
  <c r="F182" i="1"/>
  <c r="A183" i="1"/>
  <c r="D183" i="1"/>
  <c r="D201" i="1"/>
  <c r="A184" i="1"/>
  <c r="D184" i="1"/>
  <c r="H184" i="1"/>
  <c r="A185" i="1"/>
  <c r="D185" i="1"/>
  <c r="A186" i="1"/>
  <c r="D186" i="1"/>
  <c r="H186" i="1"/>
  <c r="A187" i="1"/>
  <c r="D187" i="1"/>
  <c r="D205" i="1"/>
  <c r="A188" i="1"/>
  <c r="D188" i="1"/>
  <c r="H188" i="1" s="1"/>
  <c r="C213" i="1"/>
  <c r="C215" i="1" s="1"/>
  <c r="C214" i="1"/>
  <c r="F218" i="1"/>
  <c r="F219" i="1"/>
  <c r="F220" i="1"/>
  <c r="F221" i="1"/>
  <c r="F222" i="1"/>
  <c r="A223" i="1"/>
  <c r="D223" i="1"/>
  <c r="F217" i="1" s="1"/>
  <c r="F223" i="1"/>
  <c r="A224" i="1"/>
  <c r="D224" i="1"/>
  <c r="H224" i="1" s="1"/>
  <c r="F224" i="1"/>
  <c r="A225" i="1"/>
  <c r="D225" i="1"/>
  <c r="D243" i="1" s="1"/>
  <c r="F225" i="1"/>
  <c r="A226" i="1"/>
  <c r="D226" i="1"/>
  <c r="D244" i="1" s="1"/>
  <c r="F226" i="1"/>
  <c r="A227" i="1"/>
  <c r="D227" i="1"/>
  <c r="D245" i="1" s="1"/>
  <c r="F227" i="1"/>
  <c r="A228" i="1"/>
  <c r="D228" i="1"/>
  <c r="H228" i="1" s="1"/>
  <c r="F228" i="1"/>
  <c r="A229" i="1"/>
  <c r="D229" i="1"/>
  <c r="H229" i="1" s="1"/>
  <c r="F229" i="1"/>
  <c r="A230" i="1"/>
  <c r="D230" i="1" s="1"/>
  <c r="F230" i="1"/>
  <c r="A231" i="1"/>
  <c r="D231" i="1"/>
  <c r="F231" i="1"/>
  <c r="A232" i="1"/>
  <c r="D232" i="1" s="1"/>
  <c r="F232" i="1"/>
  <c r="A233" i="1"/>
  <c r="D233" i="1"/>
  <c r="D251" i="1" s="1"/>
  <c r="A234" i="1"/>
  <c r="D234" i="1"/>
  <c r="H234" i="1" s="1"/>
  <c r="A235" i="1"/>
  <c r="D235" i="1"/>
  <c r="H235" i="1" s="1"/>
  <c r="A236" i="1"/>
  <c r="D236" i="1"/>
  <c r="D254" i="1" s="1"/>
  <c r="A237" i="1"/>
  <c r="D237" i="1"/>
  <c r="H237" i="1" s="1"/>
  <c r="A238" i="1"/>
  <c r="D238" i="1"/>
  <c r="C263" i="1"/>
  <c r="C264" i="1"/>
  <c r="C265" i="1" s="1"/>
  <c r="C277" i="1"/>
  <c r="C299" i="1" s="1"/>
  <c r="E299" i="1" s="1"/>
  <c r="G299" i="1" s="1"/>
  <c r="I278" i="1"/>
  <c r="J278" i="1"/>
  <c r="I279" i="1"/>
  <c r="J279" i="1"/>
  <c r="A287" i="1"/>
  <c r="A288" i="1"/>
  <c r="A289" i="1"/>
  <c r="A290" i="1"/>
  <c r="A291" i="1"/>
  <c r="A292" i="1"/>
  <c r="A300" i="1"/>
  <c r="A301" i="1"/>
  <c r="A302" i="1"/>
  <c r="A303" i="1"/>
  <c r="A304" i="1"/>
  <c r="A305" i="1"/>
  <c r="A313" i="1"/>
  <c r="A314" i="1"/>
  <c r="A315" i="1"/>
  <c r="A316" i="1"/>
  <c r="A317" i="1"/>
  <c r="A318" i="1"/>
  <c r="A326" i="1"/>
  <c r="A327" i="1"/>
  <c r="A328" i="1"/>
  <c r="A329" i="1"/>
  <c r="A330" i="1"/>
  <c r="A331" i="1"/>
  <c r="D156" i="1"/>
  <c r="H81" i="1"/>
  <c r="H126" i="1"/>
  <c r="H91" i="1"/>
  <c r="H89" i="1"/>
  <c r="H87" i="1"/>
  <c r="H83" i="1"/>
  <c r="H225" i="1"/>
  <c r="H233" i="1"/>
  <c r="D204" i="1"/>
  <c r="D146" i="1"/>
  <c r="H127" i="1"/>
  <c r="D109" i="1"/>
  <c r="D98" i="1"/>
  <c r="H125" i="1"/>
  <c r="D99" i="1"/>
  <c r="D96" i="1"/>
  <c r="C66" i="1"/>
  <c r="H231" i="1"/>
  <c r="D249" i="1"/>
  <c r="C67" i="1"/>
  <c r="D203" i="1"/>
  <c r="D107" i="1"/>
  <c r="D202" i="1"/>
  <c r="D242" i="1"/>
  <c r="H185" i="1"/>
  <c r="H183" i="1"/>
  <c r="H174" i="1"/>
  <c r="H90" i="1"/>
  <c r="H238" i="1"/>
  <c r="H180" i="1"/>
  <c r="D198" i="1" s="1"/>
  <c r="D241" i="1"/>
  <c r="H129" i="1"/>
  <c r="H227" i="1"/>
  <c r="C291" i="1"/>
  <c r="E291" i="1" s="1"/>
  <c r="G291" i="1" s="1"/>
  <c r="D206" i="1"/>
  <c r="D108" i="1"/>
  <c r="H223" i="1"/>
  <c r="H187" i="1"/>
  <c r="C290" i="1"/>
  <c r="E290" i="1" s="1"/>
  <c r="G290" i="1" s="1"/>
  <c r="H137" i="1"/>
  <c r="D256" i="1"/>
  <c r="H236" i="1"/>
  <c r="D192" i="1"/>
  <c r="H226" i="1"/>
  <c r="H47" i="1"/>
  <c r="J276" i="1"/>
  <c r="I276" i="1"/>
  <c r="C165" i="1" l="1"/>
  <c r="H123" i="1"/>
  <c r="D141" i="1"/>
  <c r="F117" i="1"/>
  <c r="F167" i="1"/>
  <c r="D191" i="1"/>
  <c r="C305" i="1"/>
  <c r="E305" i="1" s="1"/>
  <c r="G305" i="1" s="1"/>
  <c r="C289" i="1"/>
  <c r="E289" i="1" s="1"/>
  <c r="G289" i="1" s="1"/>
  <c r="D100" i="1"/>
  <c r="D110" i="1"/>
  <c r="D196" i="1"/>
  <c r="C286" i="1"/>
  <c r="E286" i="1" s="1"/>
  <c r="C292" i="1"/>
  <c r="E292" i="1" s="1"/>
  <c r="G292" i="1" s="1"/>
  <c r="C325" i="1"/>
  <c r="E325" i="1" s="1"/>
  <c r="G325" i="1" s="1"/>
  <c r="D152" i="1"/>
  <c r="C331" i="1"/>
  <c r="E331" i="1" s="1"/>
  <c r="G331" i="1" s="1"/>
  <c r="C318" i="1"/>
  <c r="E318" i="1" s="1"/>
  <c r="G318" i="1" s="1"/>
  <c r="C300" i="1"/>
  <c r="E300" i="1" s="1"/>
  <c r="G300" i="1" s="1"/>
  <c r="G307" i="1" s="1"/>
  <c r="C287" i="1"/>
  <c r="E287" i="1" s="1"/>
  <c r="G287" i="1" s="1"/>
  <c r="C312" i="1"/>
  <c r="E312" i="1" s="1"/>
  <c r="G312" i="1" s="1"/>
  <c r="C330" i="1"/>
  <c r="E330" i="1" s="1"/>
  <c r="G330" i="1" s="1"/>
  <c r="C327" i="1"/>
  <c r="E327" i="1" s="1"/>
  <c r="G327" i="1" s="1"/>
  <c r="D103" i="1"/>
  <c r="C303" i="1"/>
  <c r="E303" i="1" s="1"/>
  <c r="G303" i="1" s="1"/>
  <c r="C301" i="1"/>
  <c r="E301" i="1" s="1"/>
  <c r="G301" i="1" s="1"/>
  <c r="C288" i="1"/>
  <c r="E288" i="1" s="1"/>
  <c r="G288" i="1" s="1"/>
  <c r="C317" i="1"/>
  <c r="E317" i="1" s="1"/>
  <c r="G317" i="1" s="1"/>
  <c r="C326" i="1"/>
  <c r="E326" i="1" s="1"/>
  <c r="G326" i="1" s="1"/>
  <c r="C329" i="1"/>
  <c r="E329" i="1" s="1"/>
  <c r="G329" i="1" s="1"/>
  <c r="C315" i="1"/>
  <c r="E315" i="1" s="1"/>
  <c r="G315" i="1" s="1"/>
  <c r="C302" i="1"/>
  <c r="E302" i="1" s="1"/>
  <c r="G302" i="1" s="1"/>
  <c r="C328" i="1"/>
  <c r="E328" i="1" s="1"/>
  <c r="G328" i="1" s="1"/>
  <c r="C314" i="1"/>
  <c r="E314" i="1" s="1"/>
  <c r="G314" i="1" s="1"/>
  <c r="C304" i="1"/>
  <c r="E304" i="1" s="1"/>
  <c r="G304" i="1" s="1"/>
  <c r="D106" i="1"/>
  <c r="H232" i="1"/>
  <c r="D250" i="1"/>
  <c r="H182" i="1"/>
  <c r="D200" i="1" s="1"/>
  <c r="H176" i="1"/>
  <c r="H124" i="1"/>
  <c r="C313" i="1"/>
  <c r="E313" i="1" s="1"/>
  <c r="G313" i="1" s="1"/>
  <c r="G320" i="1" s="1"/>
  <c r="D104" i="1"/>
  <c r="D246" i="1"/>
  <c r="D153" i="1"/>
  <c r="D247" i="1"/>
  <c r="C45" i="1"/>
  <c r="E42" i="1" s="1"/>
  <c r="C12" i="1" s="1"/>
  <c r="C269" i="1" s="1"/>
  <c r="D269" i="1" s="1"/>
  <c r="D270" i="1" s="1"/>
  <c r="D253" i="1"/>
  <c r="C316" i="1"/>
  <c r="E316" i="1" s="1"/>
  <c r="G316" i="1" s="1"/>
  <c r="H84" i="1"/>
  <c r="D102" i="1" s="1"/>
  <c r="H230" i="1"/>
  <c r="D248" i="1" s="1"/>
  <c r="D239" i="1"/>
  <c r="C69" i="1" s="1"/>
  <c r="D139" i="1"/>
  <c r="H130" i="1"/>
  <c r="D148" i="1"/>
  <c r="G333" i="1"/>
  <c r="D272" i="1" s="1"/>
  <c r="E294" i="1"/>
  <c r="G286" i="1"/>
  <c r="D93" i="1"/>
  <c r="D189" i="1"/>
  <c r="C68" i="1" s="1"/>
  <c r="C71" i="1" s="1"/>
  <c r="D197" i="1"/>
  <c r="D149" i="1"/>
  <c r="D199" i="1"/>
  <c r="H173" i="1"/>
  <c r="H175" i="1"/>
  <c r="H132" i="1"/>
  <c r="D150" i="1" s="1"/>
  <c r="H136" i="1"/>
  <c r="H77" i="1"/>
  <c r="D95" i="1"/>
  <c r="D255" i="1"/>
  <c r="D195" i="1"/>
  <c r="D252" i="1"/>
  <c r="D151" i="1"/>
  <c r="F71" i="1"/>
  <c r="D97" i="1"/>
  <c r="C14" i="1" l="1"/>
  <c r="I47" i="1" s="1"/>
  <c r="J47" i="1" s="1"/>
  <c r="H49" i="1" s="1"/>
  <c r="F16" i="1" s="1"/>
  <c r="F28" i="1" s="1"/>
  <c r="D158" i="1"/>
  <c r="F135" i="1" s="1"/>
  <c r="H141" i="1" s="1"/>
  <c r="G294" i="1"/>
  <c r="D208" i="1"/>
  <c r="F185" i="1" s="1"/>
  <c r="H191" i="1" s="1"/>
  <c r="D258" i="1"/>
  <c r="F235" i="1" s="1"/>
  <c r="H241" i="1" s="1"/>
  <c r="D112" i="1"/>
  <c r="F89" i="1" s="1"/>
  <c r="H95" i="1" s="1"/>
  <c r="D274" i="1"/>
  <c r="H269" i="1" s="1"/>
  <c r="F237" i="1" l="1"/>
  <c r="F239" i="1" s="1"/>
  <c r="F241" i="1" s="1"/>
  <c r="F243" i="1" s="1"/>
  <c r="H243" i="1"/>
  <c r="F187" i="1"/>
  <c r="H193" i="1"/>
  <c r="F91" i="1"/>
  <c r="H97" i="1"/>
  <c r="F137" i="1"/>
  <c r="F139" i="1" s="1"/>
  <c r="F141" i="1" s="1"/>
  <c r="F143" i="1" s="1"/>
  <c r="H143" i="1"/>
  <c r="I277" i="1"/>
  <c r="I281" i="1" s="1"/>
  <c r="I283" i="1" s="1"/>
  <c r="J277" i="1"/>
  <c r="J281" i="1" s="1"/>
  <c r="J283" i="1" s="1"/>
  <c r="F93" i="1" l="1"/>
  <c r="F95" i="1" s="1"/>
  <c r="F97" i="1" s="1"/>
  <c r="F189" i="1"/>
  <c r="F191" i="1" s="1"/>
  <c r="F193" i="1" s="1"/>
  <c r="C20" i="1"/>
</calcChain>
</file>

<file path=xl/comments1.xml><?xml version="1.0" encoding="utf-8"?>
<comments xmlns="http://schemas.openxmlformats.org/spreadsheetml/2006/main">
  <authors>
    <author>Jo Hermans</author>
  </authors>
  <commentList>
    <comment ref="C6" authorId="0" shapeId="0">
      <text>
        <r>
          <rPr>
            <b/>
            <sz val="8"/>
            <color indexed="81"/>
            <rFont val="Tahoma"/>
            <family val="2"/>
          </rPr>
          <t>Tenzij anders bedongen, lopen de 6 weken voor betaling prijs vanaf dan</t>
        </r>
      </text>
    </comment>
    <comment ref="C7" authorId="0" shapeId="0">
      <text>
        <r>
          <rPr>
            <b/>
            <sz val="8"/>
            <color indexed="81"/>
            <rFont val="Tahoma"/>
            <family val="2"/>
          </rPr>
          <t>Betaling kosten binnen de 5 dagen vanaf dan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<sst xmlns="http://schemas.openxmlformats.org/spreadsheetml/2006/main" count="70" uniqueCount="46">
  <si>
    <t>Dossier</t>
  </si>
  <si>
    <t>Koper</t>
  </si>
  <si>
    <t>Ligging van het goed</t>
  </si>
  <si>
    <t>Prijs:</t>
  </si>
  <si>
    <t>Werkelijke kost na</t>
  </si>
  <si>
    <t>Kost volgens percentage:</t>
  </si>
  <si>
    <t>Meeneembaarheid?</t>
  </si>
  <si>
    <t>Instelpremie:</t>
  </si>
  <si>
    <t>Totaal:</t>
  </si>
  <si>
    <t>Afrekening koper</t>
  </si>
  <si>
    <t>Décompte acquéreur</t>
  </si>
  <si>
    <t>OV notarishuis</t>
  </si>
  <si>
    <t>OV in café</t>
  </si>
  <si>
    <t>Recht van hoger bod afgeschaft in notarishuis</t>
  </si>
  <si>
    <t>Recht van hoger bod afgeschaft in café</t>
  </si>
  <si>
    <t>ja</t>
  </si>
  <si>
    <t>neen</t>
  </si>
  <si>
    <t>Verhoogd abattement?</t>
  </si>
  <si>
    <t>OPENBARE VERKOOP VLAAMS GEWEST</t>
  </si>
  <si>
    <t>Toepasselijk percentage:</t>
  </si>
  <si>
    <t>Bekrachtiging:</t>
  </si>
  <si>
    <t>Borgstelling:</t>
  </si>
  <si>
    <t>Meting:</t>
  </si>
  <si>
    <t>Publiciteit (tot eind 2017):</t>
  </si>
  <si>
    <t>toep. kl.b. - ab - mee</t>
  </si>
  <si>
    <t>Klein beschrijf?</t>
  </si>
  <si>
    <t>Abattement?</t>
  </si>
  <si>
    <t>Datum toewijzing</t>
  </si>
  <si>
    <t>Def. toewijs na hoger bod?</t>
  </si>
  <si>
    <t>Toewijzing definitief op</t>
  </si>
  <si>
    <t>Werkelijke registratierechten:</t>
  </si>
  <si>
    <t>Overeengekomen kosten:</t>
  </si>
  <si>
    <t>Kostenpercentage bij -30000 €?</t>
  </si>
  <si>
    <t>VERKOOPPRIJS</t>
  </si>
  <si>
    <t>WETTELIJKE KOSTEN VOOR DE REGISTRATIERECHTEN</t>
  </si>
  <si>
    <t>Registratie 10 PROCENT</t>
  </si>
  <si>
    <t>OPENBARE VERKOOP</t>
  </si>
  <si>
    <t>WK</t>
  </si>
  <si>
    <t xml:space="preserve">van  </t>
  </si>
  <si>
    <t xml:space="preserve">tot </t>
  </si>
  <si>
    <t>Registratie 12,50 PROCENT</t>
  </si>
  <si>
    <t>Registratie 6 PROCENT</t>
  </si>
  <si>
    <t>Registratie 5 PROCENT</t>
  </si>
  <si>
    <t>Wettelijke kosten:</t>
  </si>
  <si>
    <t>Verschil:</t>
  </si>
  <si>
    <t>Basis registratie: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</si>
</sst>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4" formatCode="_ &quot;€&quot;\ * #,##0.00_ ;_ &quot;€&quot;\ * \-#,##0.00_ ;_ &quot;€&quot;\ * &quot;-&quot;??_ ;_ @_ "/>
    <numFmt numFmtId="164" formatCode="_-* #,##0.00\ &quot;€&quot;_-;\-* #,##0.00\ &quot;€&quot;_-;_-* &quot;-&quot;??\ &quot;€&quot;_-;_-@_-"/>
    <numFmt numFmtId="165" formatCode="d/mm/yyyy;@"/>
    <numFmt numFmtId="166" formatCode="#,##0.00\ &quot;€&quot;"/>
    <numFmt numFmtId="167" formatCode="#,##0_ ;\-#,##0\ "/>
    <numFmt numFmtId="168" formatCode="#.##000"/>
    <numFmt numFmtId="169" formatCode="_-* #,##0\ _F_B_-;\-* #,##0\ _F_B_-;_-* &quot;-&quot;\ _F_B_-;_-@_-"/>
    <numFmt numFmtId="170" formatCode="\$#,#00"/>
    <numFmt numFmtId="171" formatCode="_-* #,##0\ &quot;FB&quot;_-;\-* #,##0\ &quot;FB&quot;_-;_-* &quot;-&quot;\ &quot;FB&quot;_-;_-@_-"/>
    <numFmt numFmtId="172" formatCode="m\o\n\t\h\ d\,\ \y\y\y\y"/>
    <numFmt numFmtId="173" formatCode="#,#00"/>
    <numFmt numFmtId="174" formatCode="#,"/>
    <numFmt numFmtId="175" formatCode="%#,#00"/>
  </numFmts>
  <fonts count="15" x14ac:knownFonts="1">
    <font>
      <sz val="10"/>
      <name val="Arial"/>
      <family val="2"/>
    </font>
    <font>
      <sz val="10"/>
      <name val="Arial"/>
      <family val="2"/>
    </font>
    <font>
      <b/>
      <u/>
      <sz val="10"/>
      <name val="Arial"/>
      <family val="2"/>
    </font>
    <font>
      <sz val="12"/>
      <name val="Times New Roman"/>
      <family val="1"/>
    </font>
    <font>
      <u/>
      <sz val="10"/>
      <color indexed="12"/>
      <name val="Arial"/>
      <family val="2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11"/>
      <color indexed="8"/>
      <name val="Calibri"/>
      <family val="2"/>
    </font>
    <font>
      <b/>
      <sz val="10"/>
      <name val="Arial"/>
      <family val="2"/>
    </font>
    <font>
      <sz val="8"/>
      <color indexed="81"/>
      <name val="Tahoma"/>
      <family val="2"/>
    </font>
    <font>
      <b/>
      <sz val="8"/>
      <color indexed="81"/>
      <name val="Tahoma"/>
      <family val="2"/>
    </font>
    <font>
      <u/>
      <sz val="10"/>
      <name val="Arial"/>
      <family val="2"/>
    </font>
    <font>
      <sz val="11"/>
      <color theme="1"/>
      <name val="Calibri"/>
      <family val="2"/>
      <scheme val="minor"/>
    </font>
    <font>
      <b/>
      <u/>
      <sz val="16"/>
      <color theme="0"/>
      <name val="Arial"/>
      <family val="2"/>
    </font>
    <font>
      <b/>
      <sz val="10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00FF00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  <fill>
      <patternFill patternType="solid">
        <fgColor rgb="FF00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20"/>
      </top>
      <bottom/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7">
    <xf numFmtId="0" fontId="0" fillId="0" borderId="0"/>
    <xf numFmtId="168" fontId="5" fillId="0" borderId="0">
      <protection locked="0"/>
    </xf>
    <xf numFmtId="169" fontId="1" fillId="0" borderId="0" applyFont="0" applyFill="0" applyBorder="0" applyAlignment="0" applyProtection="0"/>
    <xf numFmtId="170" fontId="5" fillId="0" borderId="0">
      <protection locked="0"/>
    </xf>
    <xf numFmtId="171" fontId="1" fillId="0" borderId="0" applyFont="0" applyFill="0" applyBorder="0" applyAlignment="0" applyProtection="0"/>
    <xf numFmtId="172" fontId="5" fillId="0" borderId="0">
      <protection locked="0"/>
    </xf>
    <xf numFmtId="173" fontId="5" fillId="0" borderId="0">
      <protection locked="0"/>
    </xf>
    <xf numFmtId="174" fontId="6" fillId="0" borderId="0">
      <protection locked="0"/>
    </xf>
    <xf numFmtId="174" fontId="6" fillId="0" borderId="0">
      <protection locked="0"/>
    </xf>
    <xf numFmtId="0" fontId="4" fillId="0" borderId="0" applyNumberFormat="0" applyFill="0" applyBorder="0" applyAlignment="0" applyProtection="0">
      <alignment vertical="top"/>
      <protection locked="0"/>
    </xf>
    <xf numFmtId="175" fontId="5" fillId="0" borderId="0">
      <protection locked="0"/>
    </xf>
    <xf numFmtId="0" fontId="7" fillId="0" borderId="0"/>
    <xf numFmtId="0" fontId="12" fillId="0" borderId="0"/>
    <xf numFmtId="0" fontId="1" fillId="0" borderId="0"/>
    <xf numFmtId="0" fontId="12" fillId="0" borderId="0"/>
    <xf numFmtId="174" fontId="5" fillId="0" borderId="1">
      <protection locked="0"/>
    </xf>
    <xf numFmtId="0" fontId="14" fillId="0" borderId="4" applyNumberFormat="0" applyFill="0" applyAlignment="0" applyProtection="0"/>
  </cellStyleXfs>
  <cellXfs count="51">
    <xf numFmtId="0" fontId="0" fillId="0" borderId="0" xfId="0"/>
    <xf numFmtId="49" fontId="1" fillId="2" borderId="0" xfId="13" applyNumberFormat="1" applyFont="1" applyFill="1" applyBorder="1" applyAlignment="1" applyProtection="1">
      <alignment horizontal="left"/>
      <protection locked="0" hidden="1"/>
    </xf>
    <xf numFmtId="0" fontId="1" fillId="3" borderId="0" xfId="13" applyFont="1" applyFill="1" applyBorder="1" applyAlignment="1" applyProtection="1">
      <alignment horizontal="left"/>
      <protection locked="0" hidden="1"/>
    </xf>
    <xf numFmtId="0" fontId="1" fillId="4" borderId="0" xfId="13" applyFont="1" applyFill="1" applyBorder="1" applyAlignment="1" applyProtection="1">
      <alignment horizontal="left"/>
      <protection locked="0" hidden="1"/>
    </xf>
    <xf numFmtId="164" fontId="0" fillId="2" borderId="0" xfId="0" applyNumberFormat="1" applyFill="1" applyProtection="1">
      <protection hidden="1"/>
    </xf>
    <xf numFmtId="164" fontId="0" fillId="5" borderId="0" xfId="0" applyNumberFormat="1" applyFill="1" applyProtection="1">
      <protection hidden="1"/>
    </xf>
    <xf numFmtId="166" fontId="0" fillId="2" borderId="0" xfId="0" applyNumberFormat="1" applyFill="1" applyProtection="1">
      <protection locked="0" hidden="1"/>
    </xf>
    <xf numFmtId="166" fontId="0" fillId="6" borderId="0" xfId="0" applyNumberFormat="1" applyFill="1" applyProtection="1">
      <protection locked="0" hidden="1"/>
    </xf>
    <xf numFmtId="166" fontId="0" fillId="7" borderId="2" xfId="0" applyNumberFormat="1" applyFill="1" applyBorder="1" applyProtection="1">
      <protection hidden="1"/>
    </xf>
    <xf numFmtId="0" fontId="0" fillId="8" borderId="0" xfId="0" applyFill="1" applyProtection="1">
      <protection hidden="1"/>
    </xf>
    <xf numFmtId="0" fontId="1" fillId="8" borderId="0" xfId="13" applyFont="1" applyFill="1" applyBorder="1" applyAlignment="1" applyProtection="1">
      <alignment horizontal="left"/>
      <protection hidden="1"/>
    </xf>
    <xf numFmtId="0" fontId="1" fillId="8" borderId="0" xfId="13" applyFill="1" applyBorder="1" applyAlignment="1" applyProtection="1">
      <alignment horizontal="left"/>
      <protection hidden="1"/>
    </xf>
    <xf numFmtId="0" fontId="1" fillId="8" borderId="0" xfId="0" applyFont="1" applyFill="1" applyProtection="1">
      <protection hidden="1"/>
    </xf>
    <xf numFmtId="164" fontId="0" fillId="8" borderId="0" xfId="0" applyNumberFormat="1" applyFill="1" applyProtection="1">
      <protection hidden="1"/>
    </xf>
    <xf numFmtId="10" fontId="0" fillId="8" borderId="0" xfId="0" applyNumberFormat="1" applyFill="1" applyProtection="1">
      <protection hidden="1"/>
    </xf>
    <xf numFmtId="166" fontId="0" fillId="8" borderId="0" xfId="0" applyNumberFormat="1" applyFill="1" applyProtection="1">
      <protection hidden="1"/>
    </xf>
    <xf numFmtId="0" fontId="8" fillId="8" borderId="0" xfId="0" applyFont="1" applyFill="1" applyProtection="1">
      <protection hidden="1"/>
    </xf>
    <xf numFmtId="0" fontId="4" fillId="8" borderId="0" xfId="9" applyFill="1" applyAlignment="1" applyProtection="1">
      <protection hidden="1"/>
    </xf>
    <xf numFmtId="0" fontId="3" fillId="8" borderId="0" xfId="0" applyFont="1" applyFill="1" applyAlignment="1" applyProtection="1">
      <alignment horizontal="justify"/>
      <protection hidden="1"/>
    </xf>
    <xf numFmtId="10" fontId="3" fillId="8" borderId="0" xfId="0" applyNumberFormat="1" applyFont="1" applyFill="1" applyAlignment="1" applyProtection="1">
      <alignment horizontal="justify"/>
      <protection hidden="1"/>
    </xf>
    <xf numFmtId="9" fontId="0" fillId="8" borderId="0" xfId="0" applyNumberFormat="1" applyFill="1" applyProtection="1">
      <protection hidden="1"/>
    </xf>
    <xf numFmtId="4" fontId="1" fillId="8" borderId="0" xfId="0" applyNumberFormat="1" applyFont="1" applyFill="1" applyBorder="1" applyProtection="1">
      <protection locked="0"/>
    </xf>
    <xf numFmtId="44" fontId="8" fillId="8" borderId="0" xfId="0" applyNumberFormat="1" applyFont="1" applyFill="1" applyBorder="1" applyProtection="1">
      <protection locked="0"/>
    </xf>
    <xf numFmtId="10" fontId="1" fillId="8" borderId="0" xfId="0" applyNumberFormat="1" applyFont="1" applyFill="1" applyBorder="1" applyProtection="1">
      <protection locked="0"/>
    </xf>
    <xf numFmtId="0" fontId="0" fillId="9" borderId="0" xfId="0" applyFill="1" applyBorder="1"/>
    <xf numFmtId="0" fontId="0" fillId="9" borderId="0" xfId="0" applyFill="1"/>
    <xf numFmtId="4" fontId="8" fillId="8" borderId="0" xfId="0" applyNumberFormat="1" applyFont="1" applyFill="1" applyBorder="1" applyProtection="1">
      <protection locked="0"/>
    </xf>
    <xf numFmtId="4" fontId="11" fillId="8" borderId="0" xfId="0" applyNumberFormat="1" applyFont="1" applyFill="1" applyBorder="1" applyProtection="1">
      <protection locked="0"/>
    </xf>
    <xf numFmtId="0" fontId="8" fillId="9" borderId="0" xfId="0" applyFont="1" applyFill="1" applyAlignment="1">
      <alignment horizontal="center"/>
    </xf>
    <xf numFmtId="4" fontId="11" fillId="8" borderId="0" xfId="0" applyNumberFormat="1" applyFont="1" applyFill="1" applyBorder="1" applyAlignment="1" applyProtection="1">
      <alignment horizontal="center"/>
      <protection locked="0"/>
    </xf>
    <xf numFmtId="4" fontId="1" fillId="8" borderId="0" xfId="0" applyNumberFormat="1" applyFont="1" applyFill="1" applyBorder="1" applyAlignment="1" applyProtection="1">
      <alignment horizontal="center"/>
      <protection locked="0"/>
    </xf>
    <xf numFmtId="4" fontId="0" fillId="9" borderId="0" xfId="0" applyNumberFormat="1" applyFill="1" applyBorder="1"/>
    <xf numFmtId="4" fontId="8" fillId="9" borderId="0" xfId="0" applyNumberFormat="1" applyFont="1" applyFill="1"/>
    <xf numFmtId="4" fontId="0" fillId="9" borderId="0" xfId="0" applyNumberFormat="1" applyFill="1"/>
    <xf numFmtId="4" fontId="0" fillId="8" borderId="0" xfId="0" applyNumberFormat="1" applyFill="1" applyProtection="1">
      <protection hidden="1"/>
    </xf>
    <xf numFmtId="0" fontId="0" fillId="8" borderId="0" xfId="0" applyFill="1" applyBorder="1" applyProtection="1">
      <protection hidden="1"/>
    </xf>
    <xf numFmtId="0" fontId="2" fillId="10" borderId="3" xfId="0" applyFont="1" applyFill="1" applyBorder="1" applyProtection="1">
      <protection hidden="1"/>
    </xf>
    <xf numFmtId="0" fontId="0" fillId="10" borderId="3" xfId="0" applyFill="1" applyBorder="1" applyProtection="1">
      <protection hidden="1"/>
    </xf>
    <xf numFmtId="0" fontId="13" fillId="10" borderId="3" xfId="0" applyFont="1" applyFill="1" applyBorder="1" applyProtection="1">
      <protection hidden="1"/>
    </xf>
    <xf numFmtId="0" fontId="1" fillId="2" borderId="0" xfId="13" applyFill="1" applyBorder="1" applyAlignment="1" applyProtection="1">
      <alignment horizontal="left"/>
      <protection hidden="1"/>
    </xf>
    <xf numFmtId="0" fontId="1" fillId="4" borderId="0" xfId="13" applyFill="1" applyBorder="1" applyAlignment="1" applyProtection="1">
      <alignment horizontal="left"/>
      <protection hidden="1"/>
    </xf>
    <xf numFmtId="0" fontId="1" fillId="3" borderId="0" xfId="13" applyFill="1" applyBorder="1" applyAlignment="1" applyProtection="1">
      <alignment horizontal="left"/>
      <protection hidden="1"/>
    </xf>
    <xf numFmtId="165" fontId="1" fillId="2" borderId="0" xfId="13" applyNumberFormat="1" applyFill="1" applyBorder="1" applyAlignment="1" applyProtection="1">
      <alignment horizontal="left"/>
      <protection locked="0" hidden="1"/>
    </xf>
    <xf numFmtId="0" fontId="1" fillId="3" borderId="0" xfId="13" applyFill="1" applyBorder="1" applyAlignment="1" applyProtection="1">
      <alignment horizontal="center"/>
      <protection locked="0" hidden="1"/>
    </xf>
    <xf numFmtId="10" fontId="0" fillId="6" borderId="0" xfId="0" applyNumberFormat="1" applyFill="1" applyProtection="1">
      <protection locked="0"/>
    </xf>
    <xf numFmtId="164" fontId="0" fillId="11" borderId="0" xfId="0" applyNumberFormat="1" applyFill="1" applyProtection="1">
      <protection locked="0" hidden="1"/>
    </xf>
    <xf numFmtId="10" fontId="0" fillId="2" borderId="0" xfId="0" applyNumberFormat="1" applyFill="1" applyProtection="1">
      <protection hidden="1"/>
    </xf>
    <xf numFmtId="167" fontId="0" fillId="2" borderId="0" xfId="0" applyNumberFormat="1" applyFill="1" applyAlignment="1" applyProtection="1">
      <alignment horizontal="center"/>
      <protection locked="0" hidden="1"/>
    </xf>
    <xf numFmtId="164" fontId="0" fillId="2" borderId="0" xfId="0" applyNumberFormat="1" applyFill="1" applyProtection="1">
      <protection locked="0" hidden="1"/>
    </xf>
    <xf numFmtId="166" fontId="0" fillId="12" borderId="0" xfId="0" applyNumberFormat="1" applyFill="1" applyProtection="1">
      <protection hidden="1"/>
    </xf>
    <xf numFmtId="0" fontId="0" fillId="3" borderId="0" xfId="0" applyFill="1" applyProtection="1">
      <protection hidden="1"/>
    </xf>
  </cellXfs>
  <cellStyles count="17">
    <cellStyle name="Comma" xfId="1"/>
    <cellStyle name="Comma [0]" xfId="2"/>
    <cellStyle name="Currency" xfId="3"/>
    <cellStyle name="Currency [0]" xfId="4"/>
    <cellStyle name="Date" xfId="5"/>
    <cellStyle name="Fixed" xfId="6"/>
    <cellStyle name="Heading1" xfId="7"/>
    <cellStyle name="Heading2" xfId="8"/>
    <cellStyle name="Hyperlink" xfId="9" builtinId="8"/>
    <cellStyle name="Percent" xfId="10"/>
    <cellStyle name="Standaard" xfId="0" builtinId="0"/>
    <cellStyle name="Standaard 2" xfId="11"/>
    <cellStyle name="Standaard 2 2" xfId="12"/>
    <cellStyle name="Standaard 3" xfId="13"/>
    <cellStyle name="Standaard 4" xfId="14"/>
    <cellStyle name="Totaal" xfId="16" builtinId="25" hidden="1"/>
    <cellStyle name="Total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OVVLADECACQ.xlsx" TargetMode="External"/><Relationship Id="rId1" Type="http://schemas.openxmlformats.org/officeDocument/2006/relationships/hyperlink" Target="OVVLAAFKOP.xlsx" TargetMode="Externa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K334"/>
  <sheetViews>
    <sheetView tabSelected="1" workbookViewId="0">
      <selection activeCell="C3" sqref="C3"/>
    </sheetView>
  </sheetViews>
  <sheetFormatPr defaultRowHeight="12.75" x14ac:dyDescent="0.2"/>
  <cols>
    <col min="1" max="1" width="27.7109375" style="9" customWidth="1"/>
    <col min="2" max="2" width="1" style="9" customWidth="1"/>
    <col min="3" max="3" width="14.28515625" style="9" customWidth="1"/>
    <col min="4" max="4" width="17.85546875" style="9" customWidth="1"/>
    <col min="5" max="5" width="22.140625" style="9" customWidth="1"/>
    <col min="6" max="6" width="14.5703125" style="9" customWidth="1"/>
    <col min="7" max="7" width="9.140625" style="9"/>
    <col min="8" max="8" width="15.42578125" style="9" customWidth="1"/>
    <col min="9" max="9" width="11.85546875" style="9" bestFit="1" customWidth="1"/>
    <col min="10" max="10" width="13.28515625" style="9" customWidth="1"/>
    <col min="11" max="16384" width="9.140625" style="9"/>
  </cols>
  <sheetData>
    <row r="1" spans="1:8" ht="24" customHeight="1" thickTop="1" x14ac:dyDescent="0.3">
      <c r="A1" s="38" t="s">
        <v>18</v>
      </c>
      <c r="B1" s="36"/>
      <c r="C1" s="37"/>
      <c r="D1" s="37"/>
    </row>
    <row r="3" spans="1:8" x14ac:dyDescent="0.2">
      <c r="A3" s="10" t="s">
        <v>0</v>
      </c>
      <c r="B3" s="10"/>
      <c r="C3" s="1"/>
      <c r="D3" s="39"/>
    </row>
    <row r="4" spans="1:8" x14ac:dyDescent="0.2">
      <c r="A4" s="10" t="s">
        <v>1</v>
      </c>
      <c r="B4" s="10"/>
      <c r="C4" s="2"/>
      <c r="D4" s="41"/>
    </row>
    <row r="5" spans="1:8" x14ac:dyDescent="0.2">
      <c r="A5" s="10" t="s">
        <v>2</v>
      </c>
      <c r="B5" s="10"/>
      <c r="C5" s="3"/>
      <c r="D5" s="40"/>
    </row>
    <row r="6" spans="1:8" x14ac:dyDescent="0.2">
      <c r="A6" s="10" t="s">
        <v>27</v>
      </c>
      <c r="B6" s="10"/>
      <c r="C6" s="42">
        <v>41944</v>
      </c>
      <c r="D6" s="11"/>
    </row>
    <row r="7" spans="1:8" x14ac:dyDescent="0.2">
      <c r="A7" s="10" t="s">
        <v>29</v>
      </c>
      <c r="B7" s="10"/>
      <c r="C7" s="42">
        <v>41959</v>
      </c>
      <c r="D7" s="11"/>
    </row>
    <row r="8" spans="1:8" x14ac:dyDescent="0.2">
      <c r="A8" s="10" t="s">
        <v>28</v>
      </c>
      <c r="B8" s="10"/>
      <c r="C8" s="43" t="s">
        <v>15</v>
      </c>
    </row>
    <row r="9" spans="1:8" x14ac:dyDescent="0.2">
      <c r="A9" s="10" t="s">
        <v>32</v>
      </c>
      <c r="C9" s="44">
        <v>0.3</v>
      </c>
    </row>
    <row r="10" spans="1:8" x14ac:dyDescent="0.2">
      <c r="A10" s="35" t="s">
        <v>3</v>
      </c>
      <c r="C10" s="45">
        <v>0</v>
      </c>
      <c r="E10" s="9" t="s">
        <v>25</v>
      </c>
      <c r="F10" s="47" t="s">
        <v>16</v>
      </c>
    </row>
    <row r="11" spans="1:8" x14ac:dyDescent="0.2">
      <c r="E11" s="12" t="s">
        <v>26</v>
      </c>
      <c r="F11" s="47" t="s">
        <v>16</v>
      </c>
    </row>
    <row r="12" spans="1:8" x14ac:dyDescent="0.2">
      <c r="A12" s="13" t="s">
        <v>19</v>
      </c>
      <c r="B12" s="13"/>
      <c r="C12" s="46">
        <f>IF(C8="neen",E42,E42+1%)</f>
        <v>0.31</v>
      </c>
      <c r="D12" s="13"/>
      <c r="E12" s="9" t="s">
        <v>17</v>
      </c>
      <c r="F12" s="47" t="s">
        <v>16</v>
      </c>
      <c r="G12" s="15"/>
      <c r="H12" s="15"/>
    </row>
    <row r="13" spans="1:8" x14ac:dyDescent="0.2">
      <c r="E13" s="9" t="s">
        <v>6</v>
      </c>
      <c r="F13" s="48">
        <v>0</v>
      </c>
      <c r="G13" s="15"/>
      <c r="H13" s="15"/>
    </row>
    <row r="14" spans="1:8" x14ac:dyDescent="0.2">
      <c r="A14" s="9" t="s">
        <v>5</v>
      </c>
      <c r="C14" s="4">
        <f>C10*C12</f>
        <v>0</v>
      </c>
      <c r="F14" s="13"/>
      <c r="G14" s="15"/>
      <c r="H14" s="15"/>
    </row>
    <row r="15" spans="1:8" x14ac:dyDescent="0.2">
      <c r="E15" s="9" t="s">
        <v>4</v>
      </c>
      <c r="F15" s="13"/>
    </row>
    <row r="16" spans="1:8" ht="15" customHeight="1" x14ac:dyDescent="0.2">
      <c r="C16" s="15"/>
      <c r="E16" s="9" t="s">
        <v>24</v>
      </c>
      <c r="F16" s="49">
        <f>H49</f>
        <v>0</v>
      </c>
    </row>
    <row r="17" spans="1:6" ht="15" customHeight="1" x14ac:dyDescent="0.2">
      <c r="F17" s="13"/>
    </row>
    <row r="18" spans="1:6" ht="15" customHeight="1" x14ac:dyDescent="0.2">
      <c r="E18" s="9" t="s">
        <v>23</v>
      </c>
      <c r="F18" s="6">
        <v>0</v>
      </c>
    </row>
    <row r="19" spans="1:6" ht="15" customHeight="1" x14ac:dyDescent="0.2">
      <c r="F19" s="13"/>
    </row>
    <row r="20" spans="1:6" ht="15" customHeight="1" x14ac:dyDescent="0.2">
      <c r="A20" s="50" t="s">
        <v>30</v>
      </c>
      <c r="C20" s="5">
        <f>IF(F10="ja",J283,I283)</f>
        <v>50</v>
      </c>
      <c r="E20" s="9" t="s">
        <v>22</v>
      </c>
      <c r="F20" s="48">
        <v>0</v>
      </c>
    </row>
    <row r="21" spans="1:6" ht="15" customHeight="1" x14ac:dyDescent="0.2">
      <c r="F21" s="13"/>
    </row>
    <row r="22" spans="1:6" ht="15" customHeight="1" x14ac:dyDescent="0.2">
      <c r="E22" s="9" t="s">
        <v>21</v>
      </c>
      <c r="F22" s="48">
        <v>0</v>
      </c>
    </row>
    <row r="23" spans="1:6" ht="15" customHeight="1" x14ac:dyDescent="0.2">
      <c r="F23" s="13"/>
    </row>
    <row r="24" spans="1:6" ht="15" customHeight="1" x14ac:dyDescent="0.2">
      <c r="E24" s="9" t="s">
        <v>20</v>
      </c>
      <c r="F24" s="48">
        <v>0</v>
      </c>
    </row>
    <row r="25" spans="1:6" ht="15" customHeight="1" x14ac:dyDescent="0.2">
      <c r="F25" s="15"/>
    </row>
    <row r="26" spans="1:6" ht="15" customHeight="1" x14ac:dyDescent="0.2">
      <c r="E26" s="9" t="s">
        <v>7</v>
      </c>
      <c r="F26" s="7">
        <v>0</v>
      </c>
    </row>
    <row r="27" spans="1:6" ht="15" customHeight="1" thickBot="1" x14ac:dyDescent="0.25">
      <c r="F27" s="15"/>
    </row>
    <row r="28" spans="1:6" ht="15" customHeight="1" thickTop="1" thickBot="1" x14ac:dyDescent="0.25">
      <c r="E28" s="16" t="s">
        <v>8</v>
      </c>
      <c r="F28" s="8">
        <f>SUM(F16:F24)-F26</f>
        <v>0</v>
      </c>
    </row>
    <row r="29" spans="1:6" ht="15" customHeight="1" thickTop="1" x14ac:dyDescent="0.2"/>
    <row r="30" spans="1:6" ht="15" customHeight="1" x14ac:dyDescent="0.2">
      <c r="D30" s="17" t="s">
        <v>9</v>
      </c>
    </row>
    <row r="31" spans="1:6" ht="15" customHeight="1" x14ac:dyDescent="0.2">
      <c r="D31" s="17" t="s">
        <v>10</v>
      </c>
    </row>
    <row r="32" spans="1:6" ht="15" customHeight="1" x14ac:dyDescent="0.2"/>
    <row r="33" spans="1:10" ht="15" customHeight="1" x14ac:dyDescent="0.2"/>
    <row r="34" spans="1:10" ht="15" customHeight="1" x14ac:dyDescent="0.2"/>
    <row r="35" spans="1:10" ht="15" customHeight="1" x14ac:dyDescent="0.2"/>
    <row r="36" spans="1:10" ht="15" customHeight="1" x14ac:dyDescent="0.2"/>
    <row r="37" spans="1:10" ht="15" customHeight="1" x14ac:dyDescent="0.2"/>
    <row r="38" spans="1:10" ht="15" customHeight="1" x14ac:dyDescent="0.2"/>
    <row r="39" spans="1:10" ht="15" customHeight="1" x14ac:dyDescent="0.2"/>
    <row r="40" spans="1:10" ht="15" customHeight="1" x14ac:dyDescent="0.2"/>
    <row r="41" spans="1:10" ht="15" hidden="1" customHeight="1" x14ac:dyDescent="0.25">
      <c r="A41" s="18"/>
      <c r="B41" s="18"/>
    </row>
    <row r="42" spans="1:10" ht="15" hidden="1" customHeight="1" x14ac:dyDescent="0.25">
      <c r="A42" s="18"/>
      <c r="B42" s="18"/>
      <c r="E42" s="14">
        <f>C45</f>
        <v>0.3</v>
      </c>
    </row>
    <row r="43" spans="1:10" ht="15" hidden="1" customHeight="1" x14ac:dyDescent="0.25">
      <c r="A43" s="18"/>
      <c r="B43" s="18"/>
    </row>
    <row r="44" spans="1:10" ht="15" hidden="1" customHeight="1" x14ac:dyDescent="0.25">
      <c r="A44" s="18"/>
      <c r="B44" s="18"/>
    </row>
    <row r="45" spans="1:10" ht="15" hidden="1" customHeight="1" x14ac:dyDescent="0.25">
      <c r="A45" s="19">
        <f>IF(C10&lt;=30000,C9,0)</f>
        <v>0.3</v>
      </c>
      <c r="B45" s="18"/>
      <c r="C45" s="14">
        <f>SUM(A45:A70)</f>
        <v>0.3</v>
      </c>
      <c r="H45" s="13">
        <f>IF(AND(F10="ja",F11="neen"),C14-(C10*5%),0)</f>
        <v>0</v>
      </c>
      <c r="I45" s="13">
        <f>(IF(AND(F10="ja",F11="ja",F12="neen"),C14-(C10*5%)-750,0))</f>
        <v>0</v>
      </c>
    </row>
    <row r="46" spans="1:10" ht="15.75" hidden="1" x14ac:dyDescent="0.25">
      <c r="A46" s="19">
        <f>IF(AND(C10&gt;40000,C10&lt;=50000),25.5%,0)</f>
        <v>0</v>
      </c>
      <c r="B46" s="19"/>
      <c r="H46" s="13">
        <f>(IF(AND(F10="neen",F11="ja",F12="neen"),C14-1500,0))</f>
        <v>0</v>
      </c>
      <c r="I46" s="13">
        <f>IF(AND(F10="ja",F11="ja",F12="neen",H45&gt;0),H45-750,0)</f>
        <v>0</v>
      </c>
    </row>
    <row r="47" spans="1:10" ht="15.75" hidden="1" x14ac:dyDescent="0.25">
      <c r="A47" s="19">
        <f>IF(AND(C10&gt;30000,C10&lt;=40000),29%,0)</f>
        <v>0</v>
      </c>
      <c r="B47" s="19"/>
      <c r="H47" s="13">
        <f>IF(AND(F10="neen",F11="ja",F12="ja"),C14-2500,0)</f>
        <v>0</v>
      </c>
      <c r="I47" s="13">
        <f>IF(AND(F10="ja",F11="ja",F12="ja"),C14-(C10*5%)-1750,0)</f>
        <v>0</v>
      </c>
      <c r="J47" s="13">
        <f>SUM(H45:I47)</f>
        <v>0</v>
      </c>
    </row>
    <row r="48" spans="1:10" ht="15.75" hidden="1" x14ac:dyDescent="0.25">
      <c r="A48" s="19">
        <f>IF(AND(C10&gt;50000,C10&lt;=60000),22%,0)</f>
        <v>0</v>
      </c>
      <c r="B48" s="19"/>
    </row>
    <row r="49" spans="1:8" ht="15.75" hidden="1" x14ac:dyDescent="0.25">
      <c r="A49" s="19">
        <f>IF(AND(C10&gt;60000,C10&lt;=70000),21%,0)</f>
        <v>0</v>
      </c>
      <c r="B49" s="19"/>
      <c r="H49" s="9">
        <f>IF(J47&gt;0,J47-F13,C14-F13)</f>
        <v>0</v>
      </c>
    </row>
    <row r="50" spans="1:8" ht="15.75" hidden="1" x14ac:dyDescent="0.25">
      <c r="A50" s="19">
        <f>IF(AND(C10&gt;70000,C10&lt;=80000),20.5%,0)</f>
        <v>0</v>
      </c>
      <c r="B50" s="19"/>
    </row>
    <row r="51" spans="1:8" ht="15.75" hidden="1" x14ac:dyDescent="0.25">
      <c r="A51" s="19">
        <f>IF(AND(C10&gt;80000,C10&lt;=90000),19.5%,0)</f>
        <v>0</v>
      </c>
      <c r="B51" s="19"/>
      <c r="F51" s="9">
        <f>IF(AND(F10="ja",F11="ja"),-750,-1500)</f>
        <v>-1500</v>
      </c>
    </row>
    <row r="52" spans="1:8" ht="15.75" hidden="1" x14ac:dyDescent="0.25">
      <c r="A52" s="19">
        <f>IF(AND(C10&gt;90000,C10&lt;=100000),19%,0)</f>
        <v>0</v>
      </c>
      <c r="B52" s="19"/>
      <c r="F52" s="9">
        <f>IF(AND(F11="ja",F12="ja"),-1000,0)</f>
        <v>0</v>
      </c>
    </row>
    <row r="53" spans="1:8" ht="15.75" hidden="1" x14ac:dyDescent="0.25">
      <c r="A53" s="19">
        <f>IF(AND(C10&gt;100000,C10&lt;=110000),18.5%,0)</f>
        <v>0</v>
      </c>
      <c r="B53" s="19"/>
    </row>
    <row r="54" spans="1:8" ht="15.75" hidden="1" x14ac:dyDescent="0.25">
      <c r="A54" s="19">
        <f>IF(AND(C10&gt;110000,C10&lt;=125000),18.25%,0)</f>
        <v>0</v>
      </c>
      <c r="B54" s="19"/>
    </row>
    <row r="55" spans="1:8" ht="15.75" hidden="1" x14ac:dyDescent="0.25">
      <c r="A55" s="19">
        <f>IF(AND(C10&gt;125000,C10&lt;=150000),17.5%,0)</f>
        <v>0</v>
      </c>
      <c r="B55" s="19"/>
    </row>
    <row r="56" spans="1:8" ht="15.75" hidden="1" x14ac:dyDescent="0.25">
      <c r="A56" s="19">
        <f>IF(AND(C10&gt;150000,C10&lt;=175000),17.25%,0)</f>
        <v>0</v>
      </c>
      <c r="B56" s="19"/>
    </row>
    <row r="57" spans="1:8" ht="15.75" hidden="1" x14ac:dyDescent="0.25">
      <c r="A57" s="19">
        <f>IF(AND(C10&gt;175000,C10&lt;=200000),16.75%,0)</f>
        <v>0</v>
      </c>
      <c r="B57" s="19"/>
    </row>
    <row r="58" spans="1:8" ht="15.75" hidden="1" x14ac:dyDescent="0.25">
      <c r="A58" s="19">
        <f>IF(AND(C10&gt;200000,C10&lt;=225000),16%,0)</f>
        <v>0</v>
      </c>
      <c r="B58" s="19"/>
    </row>
    <row r="59" spans="1:8" ht="15.75" hidden="1" x14ac:dyDescent="0.25">
      <c r="A59" s="19">
        <f>IF(AND(C10&gt;225000,C10&lt;=250000),15.5%,0)</f>
        <v>0</v>
      </c>
      <c r="B59" s="19"/>
    </row>
    <row r="60" spans="1:8" ht="15.75" hidden="1" x14ac:dyDescent="0.25">
      <c r="A60" s="19">
        <f>IF(AND(C10&gt;250000,C10&lt;=275000),15%,0)</f>
        <v>0</v>
      </c>
      <c r="B60" s="19"/>
      <c r="E60" s="15" t="e">
        <f>IF(AND(#REF!="ja",C8="neen"),D112,0)</f>
        <v>#REF!</v>
      </c>
    </row>
    <row r="61" spans="1:8" ht="15.75" hidden="1" x14ac:dyDescent="0.25">
      <c r="A61" s="19">
        <f>IF(AND(C10&gt;275000,C10&lt;=300000),14.75%,0)</f>
        <v>0</v>
      </c>
      <c r="B61" s="19"/>
      <c r="E61" s="9" t="e">
        <f>IF(AND(#REF!="neen",C8="neen"),D158,0)</f>
        <v>#REF!</v>
      </c>
    </row>
    <row r="62" spans="1:8" ht="15.75" hidden="1" x14ac:dyDescent="0.25">
      <c r="A62" s="19">
        <f>IF(AND(C10&gt;300000,C10&lt;=325000),14.25%,0)</f>
        <v>0</v>
      </c>
      <c r="B62" s="19"/>
      <c r="E62" s="9" t="e">
        <f>IF(AND(#REF!="ja",C8="ja"),D208,0)</f>
        <v>#REF!</v>
      </c>
    </row>
    <row r="63" spans="1:8" ht="13.5" hidden="1" customHeight="1" x14ac:dyDescent="0.25">
      <c r="A63" s="19">
        <f>IF(AND(C10&gt;325000,C10&lt;=375000),14%,0)</f>
        <v>0</v>
      </c>
      <c r="B63" s="19"/>
      <c r="E63" s="9" t="e">
        <f>IF(AND(#REF!="neen",C8="ja"),D258,0)</f>
        <v>#REF!</v>
      </c>
    </row>
    <row r="64" spans="1:8" ht="15.75" hidden="1" x14ac:dyDescent="0.25">
      <c r="A64" s="19">
        <f>IF(AND(C10&gt;375000,C10&lt;=400000),13.5%,0)</f>
        <v>0</v>
      </c>
      <c r="B64" s="19"/>
    </row>
    <row r="65" spans="1:11" ht="13.5" hidden="1" customHeight="1" x14ac:dyDescent="0.25">
      <c r="A65" s="19">
        <f>IF(AND(C10&gt;400000,C10&lt;=425000),13.25%,0)</f>
        <v>0</v>
      </c>
      <c r="B65" s="19"/>
      <c r="E65" s="15" t="e">
        <f>SUM(E60:E63)</f>
        <v>#REF!</v>
      </c>
    </row>
    <row r="66" spans="1:11" ht="15.75" hidden="1" x14ac:dyDescent="0.25">
      <c r="A66" s="19">
        <f>IF(AND(C10&gt;425000,C10&lt;=500000),13%,0)</f>
        <v>0</v>
      </c>
      <c r="B66" s="19"/>
      <c r="C66" s="9">
        <f>IF(C8="neen",D93,0)</f>
        <v>0</v>
      </c>
      <c r="D66" s="9" t="e">
        <f>IF(AND(#REF!="ja",C8="neen"),F97,0)</f>
        <v>#REF!</v>
      </c>
      <c r="G66" s="9" t="s">
        <v>15</v>
      </c>
      <c r="H66" s="9" t="s">
        <v>15</v>
      </c>
      <c r="I66" s="9" t="s">
        <v>15</v>
      </c>
      <c r="J66" s="9" t="s">
        <v>15</v>
      </c>
      <c r="K66" s="9" t="s">
        <v>15</v>
      </c>
    </row>
    <row r="67" spans="1:11" ht="15.75" hidden="1" x14ac:dyDescent="0.25">
      <c r="A67" s="19">
        <f>IF(AND(C10&gt;500000,C10&lt;=550000),12.75%,0)</f>
        <v>0</v>
      </c>
      <c r="B67" s="19"/>
      <c r="C67" s="9">
        <f>IF(C8="neen",D139,0)</f>
        <v>0</v>
      </c>
      <c r="D67" s="9" t="e">
        <f>IF(AND(#REF!="neen",C8="neen"),F143,0)</f>
        <v>#REF!</v>
      </c>
      <c r="G67" s="9" t="s">
        <v>16</v>
      </c>
      <c r="H67" s="9" t="s">
        <v>16</v>
      </c>
      <c r="I67" s="9" t="s">
        <v>16</v>
      </c>
      <c r="J67" s="9" t="s">
        <v>16</v>
      </c>
      <c r="K67" s="9" t="s">
        <v>16</v>
      </c>
    </row>
    <row r="68" spans="1:11" ht="15.75" hidden="1" x14ac:dyDescent="0.25">
      <c r="A68" s="19">
        <f>IF(AND(C10&gt;550000,C10&lt;=600000),12.5%,0)</f>
        <v>0</v>
      </c>
      <c r="B68" s="19"/>
      <c r="C68" s="9">
        <f>IF(C8="ja",D189,0)</f>
        <v>0</v>
      </c>
      <c r="D68" s="9" t="e">
        <f>IF(AND(#REF!="ja",C8="ja"),F193,0)</f>
        <v>#REF!</v>
      </c>
      <c r="E68" s="9">
        <f>IF(AND(F11="ja",F10="neen"),-1500,0)</f>
        <v>0</v>
      </c>
      <c r="F68" s="9">
        <f>SUM(D74:E74)</f>
        <v>50000</v>
      </c>
    </row>
    <row r="69" spans="1:11" ht="15.75" hidden="1" x14ac:dyDescent="0.25">
      <c r="A69" s="19">
        <f>IF(AND(C10&gt;600000,C10&lt;=750000),12.25%,0)</f>
        <v>0</v>
      </c>
      <c r="B69" s="19"/>
      <c r="C69" s="9">
        <f>IF(C8="ja",D239,0)</f>
        <v>0</v>
      </c>
      <c r="D69" s="9" t="e">
        <f>IF(AND(#REF!="neen",C8="ja"),F243,0)</f>
        <v>#REF!</v>
      </c>
    </row>
    <row r="70" spans="1:11" ht="15.75" hidden="1" x14ac:dyDescent="0.25">
      <c r="A70" s="19">
        <f>IF(C10&gt;750000,12%,0)</f>
        <v>0</v>
      </c>
      <c r="B70" s="19"/>
    </row>
    <row r="71" spans="1:11" ht="15.75" hidden="1" x14ac:dyDescent="0.25">
      <c r="A71" s="18"/>
      <c r="B71" s="18"/>
      <c r="C71" s="9">
        <f>SUM(C66:C70)</f>
        <v>0</v>
      </c>
      <c r="D71" s="9" t="e">
        <f>SUM(D66:D70)</f>
        <v>#REF!</v>
      </c>
      <c r="E71" s="9">
        <v>12500</v>
      </c>
      <c r="F71" s="15">
        <f>D77</f>
        <v>0</v>
      </c>
    </row>
    <row r="72" spans="1:11" ht="15.75" hidden="1" x14ac:dyDescent="0.25">
      <c r="A72" s="18"/>
      <c r="B72" s="18"/>
      <c r="E72" s="9">
        <v>25000</v>
      </c>
      <c r="F72" s="9">
        <f>E71*23.5%</f>
        <v>2937.5</v>
      </c>
    </row>
    <row r="73" spans="1:11" hidden="1" x14ac:dyDescent="0.2">
      <c r="E73" s="9">
        <v>37500</v>
      </c>
      <c r="F73" s="9">
        <f>E72*22.5%</f>
        <v>5625</v>
      </c>
    </row>
    <row r="74" spans="1:11" hidden="1" x14ac:dyDescent="0.2">
      <c r="A74" s="9" t="s">
        <v>11</v>
      </c>
      <c r="D74" s="9">
        <f>IF(AND(F11="ja",F10="ja"),-750,0)</f>
        <v>0</v>
      </c>
      <c r="E74" s="9">
        <v>50000</v>
      </c>
      <c r="F74" s="9">
        <f>E73*21.5%</f>
        <v>8062.5</v>
      </c>
    </row>
    <row r="75" spans="1:11" hidden="1" x14ac:dyDescent="0.2">
      <c r="E75" s="9">
        <v>62500</v>
      </c>
      <c r="F75" s="9">
        <f>E74*20.5%</f>
        <v>10250</v>
      </c>
    </row>
    <row r="76" spans="1:11" hidden="1" x14ac:dyDescent="0.2">
      <c r="E76" s="9">
        <v>75000</v>
      </c>
      <c r="F76" s="9">
        <f>E75*19.5%</f>
        <v>12187.5</v>
      </c>
    </row>
    <row r="77" spans="1:11" hidden="1" x14ac:dyDescent="0.2">
      <c r="A77" s="15">
        <f>$C$10*23.5/100</f>
        <v>0</v>
      </c>
      <c r="B77" s="15"/>
      <c r="D77" s="15">
        <f>IF($C$10&lt;12501,A77,0)</f>
        <v>0</v>
      </c>
      <c r="E77" s="9">
        <v>100000</v>
      </c>
      <c r="F77" s="9">
        <f>E76*18%</f>
        <v>13500</v>
      </c>
      <c r="H77" s="15">
        <f>D77</f>
        <v>0</v>
      </c>
    </row>
    <row r="78" spans="1:11" hidden="1" x14ac:dyDescent="0.2">
      <c r="A78" s="15">
        <f>$C$10*22.5/100</f>
        <v>0</v>
      </c>
      <c r="B78" s="15"/>
      <c r="D78" s="9">
        <f>IF(AND(12500&lt;$C$10,$C$10&lt;25001),A78,0)</f>
        <v>0</v>
      </c>
      <c r="E78" s="9">
        <v>125000</v>
      </c>
      <c r="F78" s="9">
        <f>E77*17.5%</f>
        <v>17500</v>
      </c>
      <c r="H78" s="9">
        <f t="shared" ref="H78:H92" si="0">IF(D78&lt;F72,F72,D78)</f>
        <v>2937.5</v>
      </c>
    </row>
    <row r="79" spans="1:11" hidden="1" x14ac:dyDescent="0.2">
      <c r="A79" s="15">
        <f>$C$10*21.5/100</f>
        <v>0</v>
      </c>
      <c r="B79" s="15"/>
      <c r="D79" s="9">
        <f>IF(AND(25000&lt;$C$10,$C$10&lt;37501),A79,0)</f>
        <v>0</v>
      </c>
      <c r="E79" s="9">
        <v>150000</v>
      </c>
      <c r="F79" s="9">
        <f>E78*17%</f>
        <v>21250</v>
      </c>
      <c r="H79" s="9">
        <f t="shared" si="0"/>
        <v>5625</v>
      </c>
    </row>
    <row r="80" spans="1:11" hidden="1" x14ac:dyDescent="0.2">
      <c r="A80" s="15">
        <f>$C$10*20.5/100</f>
        <v>0</v>
      </c>
      <c r="B80" s="15"/>
      <c r="D80" s="9">
        <f>IF(AND(37500&lt;$C$10,$C$10&lt;50001),A80,0)</f>
        <v>0</v>
      </c>
      <c r="E80" s="9">
        <v>200000</v>
      </c>
      <c r="F80" s="9">
        <f>E79*16.5%</f>
        <v>24750</v>
      </c>
      <c r="H80" s="9">
        <f t="shared" si="0"/>
        <v>8062.5</v>
      </c>
    </row>
    <row r="81" spans="1:8" hidden="1" x14ac:dyDescent="0.2">
      <c r="A81" s="15">
        <f>$C$10*19.5/100</f>
        <v>0</v>
      </c>
      <c r="B81" s="15"/>
      <c r="D81" s="9">
        <f>IF(AND(50000&lt;$C$10,$C$10&lt;62501),A81,0)</f>
        <v>0</v>
      </c>
      <c r="E81" s="9">
        <v>300000</v>
      </c>
      <c r="F81" s="9">
        <f>E80*16%</f>
        <v>32000</v>
      </c>
      <c r="H81" s="9">
        <f t="shared" si="0"/>
        <v>10250</v>
      </c>
    </row>
    <row r="82" spans="1:8" hidden="1" x14ac:dyDescent="0.2">
      <c r="A82" s="15">
        <f>$C$10*18/100</f>
        <v>0</v>
      </c>
      <c r="B82" s="15"/>
      <c r="D82" s="9">
        <f>IF(AND(62500&lt;$C$10,$C$10&lt;75001),A82,0)</f>
        <v>0</v>
      </c>
      <c r="E82" s="9">
        <v>375000</v>
      </c>
      <c r="F82" s="9">
        <f>E81*15.5%</f>
        <v>46500</v>
      </c>
      <c r="H82" s="9">
        <f t="shared" si="0"/>
        <v>12187.5</v>
      </c>
    </row>
    <row r="83" spans="1:8" hidden="1" x14ac:dyDescent="0.2">
      <c r="A83" s="15">
        <f>$C$10*17.5/100</f>
        <v>0</v>
      </c>
      <c r="B83" s="15"/>
      <c r="D83" s="9">
        <f>IF(AND(75000&lt;$C$10,$C$10&lt;100001),A83,0)</f>
        <v>0</v>
      </c>
      <c r="E83" s="9">
        <v>600000</v>
      </c>
      <c r="F83" s="9">
        <f>E82*14.5%</f>
        <v>54374.999999999993</v>
      </c>
      <c r="H83" s="9">
        <f t="shared" si="0"/>
        <v>13500</v>
      </c>
    </row>
    <row r="84" spans="1:8" hidden="1" x14ac:dyDescent="0.2">
      <c r="A84" s="15">
        <f>$C$10*17/100</f>
        <v>0</v>
      </c>
      <c r="B84" s="15"/>
      <c r="D84" s="9">
        <f>IF(AND(100000&lt;$C$10,$C$10&lt;125001),A84,0)</f>
        <v>0</v>
      </c>
      <c r="E84" s="9">
        <v>1000000</v>
      </c>
      <c r="F84" s="9">
        <f>E83*14%</f>
        <v>84000.000000000015</v>
      </c>
      <c r="H84" s="9">
        <f t="shared" si="0"/>
        <v>17500</v>
      </c>
    </row>
    <row r="85" spans="1:8" hidden="1" x14ac:dyDescent="0.2">
      <c r="A85" s="15">
        <f>$C$10*16.5/100</f>
        <v>0</v>
      </c>
      <c r="B85" s="15"/>
      <c r="D85" s="9">
        <f>IF(AND(125000&lt;$C$10,$C$10&lt;150001),A85,0)</f>
        <v>0</v>
      </c>
      <c r="E85" s="9">
        <v>1500000</v>
      </c>
      <c r="F85" s="9">
        <f>E84*13.5%</f>
        <v>135000</v>
      </c>
      <c r="H85" s="9">
        <f t="shared" si="0"/>
        <v>21250</v>
      </c>
    </row>
    <row r="86" spans="1:8" hidden="1" x14ac:dyDescent="0.2">
      <c r="A86" s="15">
        <f>$C$10*16/100</f>
        <v>0</v>
      </c>
      <c r="B86" s="15"/>
      <c r="D86" s="9">
        <f>IF(AND(150000&lt;$C$10,$C$10&lt;200001),A86,0)</f>
        <v>0</v>
      </c>
      <c r="F86" s="9">
        <f>E85*13.25%</f>
        <v>198750</v>
      </c>
      <c r="H86" s="9">
        <f t="shared" si="0"/>
        <v>24750</v>
      </c>
    </row>
    <row r="87" spans="1:8" hidden="1" x14ac:dyDescent="0.2">
      <c r="A87" s="15">
        <f>$C$10*15.5/100</f>
        <v>0</v>
      </c>
      <c r="B87" s="15"/>
      <c r="D87" s="9">
        <f>IF(AND(200000&lt;$C$10,$C$10&lt;300001),A87,0)</f>
        <v>0</v>
      </c>
      <c r="H87" s="9">
        <f t="shared" si="0"/>
        <v>32000</v>
      </c>
    </row>
    <row r="88" spans="1:8" hidden="1" x14ac:dyDescent="0.2">
      <c r="A88" s="15">
        <f>$C$10*14.5/100</f>
        <v>0</v>
      </c>
      <c r="B88" s="15"/>
      <c r="D88" s="9">
        <f>IF(AND(300000&lt;$C$10,$C$10&lt;375001),A88,0)</f>
        <v>0</v>
      </c>
      <c r="H88" s="9">
        <f t="shared" si="0"/>
        <v>46500</v>
      </c>
    </row>
    <row r="89" spans="1:8" hidden="1" x14ac:dyDescent="0.2">
      <c r="A89" s="15">
        <f>$C$10*14/100</f>
        <v>0</v>
      </c>
      <c r="B89" s="15"/>
      <c r="D89" s="9">
        <f>IF(AND(375000&lt;$C$10,$C$10&lt;600001),A89,0)</f>
        <v>0</v>
      </c>
      <c r="F89" s="15">
        <f>D112-$C$10*5/100</f>
        <v>0</v>
      </c>
      <c r="H89" s="9">
        <f t="shared" si="0"/>
        <v>54374.999999999993</v>
      </c>
    </row>
    <row r="90" spans="1:8" hidden="1" x14ac:dyDescent="0.2">
      <c r="A90" s="15">
        <f>$C$10*13.5/100</f>
        <v>0</v>
      </c>
      <c r="B90" s="15"/>
      <c r="D90" s="9">
        <f>IF(AND(600000&lt;$C$10,$C$10&lt;1000001),A90,0)</f>
        <v>0</v>
      </c>
      <c r="H90" s="9">
        <f t="shared" si="0"/>
        <v>84000.000000000015</v>
      </c>
    </row>
    <row r="91" spans="1:8" hidden="1" x14ac:dyDescent="0.2">
      <c r="A91" s="15">
        <f>$C$10*13.25/100</f>
        <v>0</v>
      </c>
      <c r="B91" s="15"/>
      <c r="D91" s="9">
        <f>IF(AND(1000000&lt;$C$10,$C$10&lt;1500001),A91,0)</f>
        <v>0</v>
      </c>
      <c r="F91" s="9">
        <f>IF(AND($F$11="ja",$F$10="ja"),H95-750,0)</f>
        <v>0</v>
      </c>
      <c r="H91" s="9">
        <f t="shared" si="0"/>
        <v>135000</v>
      </c>
    </row>
    <row r="92" spans="1:8" hidden="1" x14ac:dyDescent="0.2">
      <c r="A92" s="15">
        <f>$C$10*13/100</f>
        <v>0</v>
      </c>
      <c r="B92" s="15"/>
      <c r="D92" s="9">
        <f>IF(1500000&lt;$C$10,A92,0)</f>
        <v>0</v>
      </c>
      <c r="H92" s="9">
        <f t="shared" si="0"/>
        <v>198750</v>
      </c>
    </row>
    <row r="93" spans="1:8" hidden="1" x14ac:dyDescent="0.2">
      <c r="D93" s="15">
        <f>SUM(D77:D92)</f>
        <v>0</v>
      </c>
      <c r="F93" s="9">
        <f>IF(F91=0,H97,F91)</f>
        <v>0</v>
      </c>
    </row>
    <row r="94" spans="1:8" hidden="1" x14ac:dyDescent="0.2"/>
    <row r="95" spans="1:8" hidden="1" x14ac:dyDescent="0.2">
      <c r="D95" s="15">
        <f>D77</f>
        <v>0</v>
      </c>
      <c r="F95" s="9">
        <f>IF(F93=0,H95,F93)</f>
        <v>0</v>
      </c>
      <c r="H95" s="9">
        <f>IF($F$10="ja",F89,D112)</f>
        <v>0</v>
      </c>
    </row>
    <row r="96" spans="1:8" hidden="1" x14ac:dyDescent="0.2">
      <c r="D96" s="9">
        <f t="shared" ref="D96:D110" si="1">IF(D78&gt;0,H78,0)</f>
        <v>0</v>
      </c>
    </row>
    <row r="97" spans="4:8" hidden="1" x14ac:dyDescent="0.2">
      <c r="D97" s="9">
        <f t="shared" si="1"/>
        <v>0</v>
      </c>
      <c r="F97" s="9">
        <f>IF(AND($F$12="ja",$F$11="ja"),F95-1000,F95)</f>
        <v>0</v>
      </c>
      <c r="H97" s="9">
        <f>IF(AND($F$11="ja",$F$10="neen"),H95-1500,0)</f>
        <v>0</v>
      </c>
    </row>
    <row r="98" spans="4:8" hidden="1" x14ac:dyDescent="0.2">
      <c r="D98" s="9">
        <f t="shared" si="1"/>
        <v>0</v>
      </c>
    </row>
    <row r="99" spans="4:8" hidden="1" x14ac:dyDescent="0.2">
      <c r="D99" s="9">
        <f t="shared" si="1"/>
        <v>0</v>
      </c>
    </row>
    <row r="100" spans="4:8" hidden="1" x14ac:dyDescent="0.2">
      <c r="D100" s="9">
        <f t="shared" si="1"/>
        <v>0</v>
      </c>
    </row>
    <row r="101" spans="4:8" hidden="1" x14ac:dyDescent="0.2">
      <c r="D101" s="9">
        <f t="shared" si="1"/>
        <v>0</v>
      </c>
    </row>
    <row r="102" spans="4:8" hidden="1" x14ac:dyDescent="0.2">
      <c r="D102" s="9">
        <f t="shared" si="1"/>
        <v>0</v>
      </c>
    </row>
    <row r="103" spans="4:8" hidden="1" x14ac:dyDescent="0.2">
      <c r="D103" s="9">
        <f t="shared" si="1"/>
        <v>0</v>
      </c>
    </row>
    <row r="104" spans="4:8" hidden="1" x14ac:dyDescent="0.2">
      <c r="D104" s="9">
        <f t="shared" si="1"/>
        <v>0</v>
      </c>
    </row>
    <row r="105" spans="4:8" hidden="1" x14ac:dyDescent="0.2">
      <c r="D105" s="9">
        <f t="shared" si="1"/>
        <v>0</v>
      </c>
    </row>
    <row r="106" spans="4:8" hidden="1" x14ac:dyDescent="0.2">
      <c r="D106" s="9">
        <f t="shared" si="1"/>
        <v>0</v>
      </c>
    </row>
    <row r="107" spans="4:8" hidden="1" x14ac:dyDescent="0.2">
      <c r="D107" s="9">
        <f t="shared" si="1"/>
        <v>0</v>
      </c>
    </row>
    <row r="108" spans="4:8" hidden="1" x14ac:dyDescent="0.2">
      <c r="D108" s="9">
        <f t="shared" si="1"/>
        <v>0</v>
      </c>
    </row>
    <row r="109" spans="4:8" hidden="1" x14ac:dyDescent="0.2">
      <c r="D109" s="9">
        <f t="shared" si="1"/>
        <v>0</v>
      </c>
    </row>
    <row r="110" spans="4:8" hidden="1" x14ac:dyDescent="0.2">
      <c r="D110" s="9">
        <f t="shared" si="1"/>
        <v>0</v>
      </c>
    </row>
    <row r="111" spans="4:8" hidden="1" x14ac:dyDescent="0.2"/>
    <row r="112" spans="4:8" hidden="1" x14ac:dyDescent="0.2">
      <c r="D112" s="15">
        <f>SUM(D95:D110)</f>
        <v>0</v>
      </c>
    </row>
    <row r="113" spans="1:8" hidden="1" x14ac:dyDescent="0.2"/>
    <row r="114" spans="1:8" hidden="1" x14ac:dyDescent="0.2"/>
    <row r="115" spans="1:8" hidden="1" x14ac:dyDescent="0.2"/>
    <row r="116" spans="1:8" hidden="1" x14ac:dyDescent="0.2"/>
    <row r="117" spans="1:8" hidden="1" x14ac:dyDescent="0.2">
      <c r="C117" s="9">
        <f>IF(AND($F$11="ja",$F$10="ja"),-750,0)</f>
        <v>0</v>
      </c>
      <c r="E117" s="9">
        <v>12500</v>
      </c>
      <c r="F117" s="15">
        <f>D123</f>
        <v>0</v>
      </c>
    </row>
    <row r="118" spans="1:8" hidden="1" x14ac:dyDescent="0.2">
      <c r="C118" s="9">
        <f>IF(AND($F$11="ja",$F$10="neen"),-1500,0)</f>
        <v>0</v>
      </c>
      <c r="E118" s="9">
        <v>25000</v>
      </c>
      <c r="F118" s="9">
        <f>E117*23%</f>
        <v>2875</v>
      </c>
    </row>
    <row r="119" spans="1:8" hidden="1" x14ac:dyDescent="0.2">
      <c r="C119" s="9">
        <f>SUM(C117:C118)</f>
        <v>0</v>
      </c>
      <c r="E119" s="9">
        <v>37500</v>
      </c>
      <c r="F119" s="9">
        <f>E118*22%</f>
        <v>5500</v>
      </c>
    </row>
    <row r="120" spans="1:8" hidden="1" x14ac:dyDescent="0.2">
      <c r="E120" s="9">
        <v>50000</v>
      </c>
      <c r="F120" s="9">
        <f>E119*21%</f>
        <v>7875</v>
      </c>
    </row>
    <row r="121" spans="1:8" hidden="1" x14ac:dyDescent="0.2">
      <c r="A121" s="9" t="s">
        <v>12</v>
      </c>
      <c r="E121" s="9">
        <v>62500</v>
      </c>
      <c r="F121" s="9">
        <f>E120*20%</f>
        <v>10000</v>
      </c>
    </row>
    <row r="122" spans="1:8" hidden="1" x14ac:dyDescent="0.2">
      <c r="E122" s="9">
        <v>75000</v>
      </c>
      <c r="F122" s="9">
        <f>E121*19%</f>
        <v>11875</v>
      </c>
    </row>
    <row r="123" spans="1:8" hidden="1" x14ac:dyDescent="0.2">
      <c r="A123" s="15">
        <f>$C$10*23/100</f>
        <v>0</v>
      </c>
      <c r="B123" s="15"/>
      <c r="D123" s="15">
        <f>IF($C$10&lt;12501,A123,0)</f>
        <v>0</v>
      </c>
      <c r="E123" s="9">
        <v>100000</v>
      </c>
      <c r="F123" s="9">
        <f>E122*17.5%</f>
        <v>13125</v>
      </c>
      <c r="H123" s="15">
        <f>D123</f>
        <v>0</v>
      </c>
    </row>
    <row r="124" spans="1:8" hidden="1" x14ac:dyDescent="0.2">
      <c r="A124" s="15">
        <f>$C$10*22/100</f>
        <v>0</v>
      </c>
      <c r="B124" s="15"/>
      <c r="D124" s="9">
        <f>IF(AND(12500&lt;$C$10,$C$10&lt;25001),A124,0)</f>
        <v>0</v>
      </c>
      <c r="E124" s="9">
        <v>125000</v>
      </c>
      <c r="F124" s="9">
        <f>E123*17%</f>
        <v>17000</v>
      </c>
      <c r="H124" s="9">
        <f t="shared" ref="H124:H138" si="2">IF(D124&lt;F118,F118,D124)</f>
        <v>2875</v>
      </c>
    </row>
    <row r="125" spans="1:8" hidden="1" x14ac:dyDescent="0.2">
      <c r="A125" s="15">
        <f>$C$10*21/100</f>
        <v>0</v>
      </c>
      <c r="B125" s="15"/>
      <c r="D125" s="9">
        <f>IF(AND(25000&lt;$C$10,$C$10&lt;37501),A125,0)</f>
        <v>0</v>
      </c>
      <c r="E125" s="9">
        <v>150000</v>
      </c>
      <c r="F125" s="9">
        <f>E124*16.5%</f>
        <v>20625</v>
      </c>
      <c r="H125" s="9">
        <f t="shared" si="2"/>
        <v>5500</v>
      </c>
    </row>
    <row r="126" spans="1:8" hidden="1" x14ac:dyDescent="0.2">
      <c r="A126" s="15">
        <f>$C$10*20/100</f>
        <v>0</v>
      </c>
      <c r="B126" s="15"/>
      <c r="D126" s="9">
        <f>IF(AND(37500&lt;$C$10,$C$10&lt;50001),A126,0)</f>
        <v>0</v>
      </c>
      <c r="E126" s="9">
        <v>200000</v>
      </c>
      <c r="F126" s="9">
        <f>E125*16%</f>
        <v>24000</v>
      </c>
      <c r="H126" s="9">
        <f t="shared" si="2"/>
        <v>7875</v>
      </c>
    </row>
    <row r="127" spans="1:8" hidden="1" x14ac:dyDescent="0.2">
      <c r="A127" s="15">
        <f>$C$10*19/100</f>
        <v>0</v>
      </c>
      <c r="B127" s="15"/>
      <c r="D127" s="9">
        <f>IF(AND(50000&lt;$C$10,$C$10&lt;62501),A127,0)</f>
        <v>0</v>
      </c>
      <c r="E127" s="9">
        <v>300000</v>
      </c>
      <c r="F127" s="9">
        <f>E126*15.5%</f>
        <v>31000</v>
      </c>
      <c r="H127" s="9">
        <f t="shared" si="2"/>
        <v>10000</v>
      </c>
    </row>
    <row r="128" spans="1:8" hidden="1" x14ac:dyDescent="0.2">
      <c r="A128" s="15">
        <f>$C$10*17.5/100</f>
        <v>0</v>
      </c>
      <c r="B128" s="15"/>
      <c r="D128" s="9">
        <f>IF(AND(62500&lt;$C$10,$C$10&lt;75001),A128,0)</f>
        <v>0</v>
      </c>
      <c r="E128" s="9">
        <v>375000</v>
      </c>
      <c r="F128" s="9">
        <f>E127*15%</f>
        <v>45000</v>
      </c>
      <c r="H128" s="9">
        <f t="shared" si="2"/>
        <v>11875</v>
      </c>
    </row>
    <row r="129" spans="1:8" hidden="1" x14ac:dyDescent="0.2">
      <c r="A129" s="15">
        <f>$C$10*17/100</f>
        <v>0</v>
      </c>
      <c r="B129" s="15"/>
      <c r="D129" s="9">
        <f>IF(AND(75000&lt;$C$10,$C$10&lt;100001),A129,0)</f>
        <v>0</v>
      </c>
      <c r="E129" s="9">
        <v>600000</v>
      </c>
      <c r="F129" s="9">
        <f>E128*14%</f>
        <v>52500.000000000007</v>
      </c>
      <c r="H129" s="9">
        <f t="shared" si="2"/>
        <v>13125</v>
      </c>
    </row>
    <row r="130" spans="1:8" hidden="1" x14ac:dyDescent="0.2">
      <c r="A130" s="15">
        <f>$C$10*16.5/100</f>
        <v>0</v>
      </c>
      <c r="B130" s="15"/>
      <c r="D130" s="9">
        <f>IF(AND(100000&lt;$C$10,$C$10&lt;125001),A130,0)</f>
        <v>0</v>
      </c>
      <c r="E130" s="9">
        <v>1000000</v>
      </c>
      <c r="F130" s="9">
        <f>E129*13.5%</f>
        <v>81000</v>
      </c>
      <c r="H130" s="9">
        <f t="shared" si="2"/>
        <v>17000</v>
      </c>
    </row>
    <row r="131" spans="1:8" hidden="1" x14ac:dyDescent="0.2">
      <c r="A131" s="15">
        <f>$C$10*16/100</f>
        <v>0</v>
      </c>
      <c r="B131" s="15"/>
      <c r="D131" s="9">
        <f>IF(AND(125000&lt;$C$10,$C$10&lt;150001),A131,0)</f>
        <v>0</v>
      </c>
      <c r="E131" s="9">
        <v>1500000</v>
      </c>
      <c r="F131" s="9">
        <f>E130*13%</f>
        <v>130000</v>
      </c>
      <c r="H131" s="9">
        <f t="shared" si="2"/>
        <v>20625</v>
      </c>
    </row>
    <row r="132" spans="1:8" hidden="1" x14ac:dyDescent="0.2">
      <c r="A132" s="15">
        <f>$C$10*15.5/100</f>
        <v>0</v>
      </c>
      <c r="B132" s="15"/>
      <c r="D132" s="9">
        <f>IF(AND(150000&lt;$C$10,$C$10&lt;200001),A132,0)</f>
        <v>0</v>
      </c>
      <c r="F132" s="9">
        <f>E131*12.75%</f>
        <v>191250</v>
      </c>
      <c r="H132" s="9">
        <f t="shared" si="2"/>
        <v>24000</v>
      </c>
    </row>
    <row r="133" spans="1:8" hidden="1" x14ac:dyDescent="0.2">
      <c r="A133" s="15">
        <f>$C$10*15/100</f>
        <v>0</v>
      </c>
      <c r="B133" s="15"/>
      <c r="D133" s="9">
        <f>IF(AND(200000&lt;$C$10,$C$10&lt;300001),A133,0)</f>
        <v>0</v>
      </c>
      <c r="H133" s="9">
        <f t="shared" si="2"/>
        <v>31000</v>
      </c>
    </row>
    <row r="134" spans="1:8" hidden="1" x14ac:dyDescent="0.2">
      <c r="A134" s="15">
        <f>$C$10*14/100</f>
        <v>0</v>
      </c>
      <c r="B134" s="15"/>
      <c r="D134" s="9">
        <f>IF(AND(300000&lt;$C$10,$C$10&lt;375001),A134,0)</f>
        <v>0</v>
      </c>
      <c r="H134" s="9">
        <f t="shared" si="2"/>
        <v>45000</v>
      </c>
    </row>
    <row r="135" spans="1:8" hidden="1" x14ac:dyDescent="0.2">
      <c r="A135" s="15">
        <f>$C$10*13.5/100</f>
        <v>0</v>
      </c>
      <c r="B135" s="15"/>
      <c r="D135" s="9">
        <f>IF(AND(375000&lt;$C$10,$C$10&lt;600001),A135,0)</f>
        <v>0</v>
      </c>
      <c r="F135" s="15">
        <f>D158-$C$10*5/100</f>
        <v>0</v>
      </c>
      <c r="H135" s="9">
        <f t="shared" si="2"/>
        <v>52500.000000000007</v>
      </c>
    </row>
    <row r="136" spans="1:8" hidden="1" x14ac:dyDescent="0.2">
      <c r="A136" s="15">
        <f>$C$10*13/100</f>
        <v>0</v>
      </c>
      <c r="B136" s="15"/>
      <c r="D136" s="9">
        <f>IF(AND(600000&lt;$C$10,$C$10&lt;1000001),A136,0)</f>
        <v>0</v>
      </c>
      <c r="H136" s="9">
        <f t="shared" si="2"/>
        <v>81000</v>
      </c>
    </row>
    <row r="137" spans="1:8" hidden="1" x14ac:dyDescent="0.2">
      <c r="A137" s="15">
        <f>$C$10*12.75/100</f>
        <v>0</v>
      </c>
      <c r="B137" s="15"/>
      <c r="D137" s="9">
        <f>IF(AND(1000000&lt;$C$10,$C$10&lt;1500001),A137,0)</f>
        <v>0</v>
      </c>
      <c r="F137" s="9">
        <f>IF(AND($F$11="ja",$F$10="ja"),H141-750,0)</f>
        <v>0</v>
      </c>
      <c r="H137" s="9">
        <f t="shared" si="2"/>
        <v>130000</v>
      </c>
    </row>
    <row r="138" spans="1:8" hidden="1" x14ac:dyDescent="0.2">
      <c r="A138" s="15">
        <f>$C$10*12.5/100</f>
        <v>0</v>
      </c>
      <c r="B138" s="15"/>
      <c r="D138" s="9">
        <f>IF(1500000&lt;$C$10,A138,0)</f>
        <v>0</v>
      </c>
      <c r="H138" s="9">
        <f t="shared" si="2"/>
        <v>191250</v>
      </c>
    </row>
    <row r="139" spans="1:8" hidden="1" x14ac:dyDescent="0.2">
      <c r="D139" s="15">
        <f>SUM(D123:D138)</f>
        <v>0</v>
      </c>
      <c r="F139" s="9">
        <f>IF(F137=0,H143,F137)</f>
        <v>0</v>
      </c>
    </row>
    <row r="140" spans="1:8" hidden="1" x14ac:dyDescent="0.2"/>
    <row r="141" spans="1:8" hidden="1" x14ac:dyDescent="0.2">
      <c r="D141" s="15">
        <f>D123</f>
        <v>0</v>
      </c>
      <c r="F141" s="9">
        <f>IF(F139=0,H141,F139)</f>
        <v>0</v>
      </c>
      <c r="H141" s="9">
        <f>IF($F$10="ja",F135,D158)</f>
        <v>0</v>
      </c>
    </row>
    <row r="142" spans="1:8" hidden="1" x14ac:dyDescent="0.2">
      <c r="D142" s="9">
        <f t="shared" ref="D142:D156" si="3">IF(D124&gt;0,H124,0)</f>
        <v>0</v>
      </c>
    </row>
    <row r="143" spans="1:8" hidden="1" x14ac:dyDescent="0.2">
      <c r="D143" s="9">
        <f t="shared" si="3"/>
        <v>0</v>
      </c>
      <c r="F143" s="9">
        <f>IF(AND($F$12="ja",$F$11="ja"),F141-1000,F141)</f>
        <v>0</v>
      </c>
      <c r="H143" s="9">
        <f>IF(AND($F$11="ja",$F$10="neen"),H141-1500,0)</f>
        <v>0</v>
      </c>
    </row>
    <row r="144" spans="1:8" hidden="1" x14ac:dyDescent="0.2">
      <c r="D144" s="9">
        <f t="shared" si="3"/>
        <v>0</v>
      </c>
    </row>
    <row r="145" spans="4:4" hidden="1" x14ac:dyDescent="0.2">
      <c r="D145" s="9">
        <f t="shared" si="3"/>
        <v>0</v>
      </c>
    </row>
    <row r="146" spans="4:4" hidden="1" x14ac:dyDescent="0.2">
      <c r="D146" s="9">
        <f t="shared" si="3"/>
        <v>0</v>
      </c>
    </row>
    <row r="147" spans="4:4" hidden="1" x14ac:dyDescent="0.2">
      <c r="D147" s="9">
        <f t="shared" si="3"/>
        <v>0</v>
      </c>
    </row>
    <row r="148" spans="4:4" hidden="1" x14ac:dyDescent="0.2">
      <c r="D148" s="9">
        <f t="shared" si="3"/>
        <v>0</v>
      </c>
    </row>
    <row r="149" spans="4:4" hidden="1" x14ac:dyDescent="0.2">
      <c r="D149" s="9">
        <f t="shared" si="3"/>
        <v>0</v>
      </c>
    </row>
    <row r="150" spans="4:4" hidden="1" x14ac:dyDescent="0.2">
      <c r="D150" s="9">
        <f t="shared" si="3"/>
        <v>0</v>
      </c>
    </row>
    <row r="151" spans="4:4" hidden="1" x14ac:dyDescent="0.2">
      <c r="D151" s="9">
        <f t="shared" si="3"/>
        <v>0</v>
      </c>
    </row>
    <row r="152" spans="4:4" hidden="1" x14ac:dyDescent="0.2">
      <c r="D152" s="9">
        <f t="shared" si="3"/>
        <v>0</v>
      </c>
    </row>
    <row r="153" spans="4:4" hidden="1" x14ac:dyDescent="0.2">
      <c r="D153" s="9">
        <f t="shared" si="3"/>
        <v>0</v>
      </c>
    </row>
    <row r="154" spans="4:4" hidden="1" x14ac:dyDescent="0.2">
      <c r="D154" s="9">
        <f t="shared" si="3"/>
        <v>0</v>
      </c>
    </row>
    <row r="155" spans="4:4" hidden="1" x14ac:dyDescent="0.2">
      <c r="D155" s="9">
        <f t="shared" si="3"/>
        <v>0</v>
      </c>
    </row>
    <row r="156" spans="4:4" hidden="1" x14ac:dyDescent="0.2">
      <c r="D156" s="9">
        <f t="shared" si="3"/>
        <v>0</v>
      </c>
    </row>
    <row r="157" spans="4:4" hidden="1" x14ac:dyDescent="0.2"/>
    <row r="158" spans="4:4" hidden="1" x14ac:dyDescent="0.2">
      <c r="D158" s="15">
        <f>SUM(D141:D156)</f>
        <v>0</v>
      </c>
    </row>
    <row r="159" spans="4:4" hidden="1" x14ac:dyDescent="0.2"/>
    <row r="160" spans="4:4" hidden="1" x14ac:dyDescent="0.2"/>
    <row r="161" spans="1:8" hidden="1" x14ac:dyDescent="0.2"/>
    <row r="162" spans="1:8" hidden="1" x14ac:dyDescent="0.2"/>
    <row r="163" spans="1:8" hidden="1" x14ac:dyDescent="0.2">
      <c r="C163" s="9">
        <f>IF(AND($F$11="ja",$F$10="ja"),-750,0)</f>
        <v>0</v>
      </c>
    </row>
    <row r="164" spans="1:8" hidden="1" x14ac:dyDescent="0.2">
      <c r="C164" s="9">
        <f>IF(AND($F$11="ja",$F$10="neen"),-1500,0)</f>
        <v>0</v>
      </c>
    </row>
    <row r="165" spans="1:8" hidden="1" x14ac:dyDescent="0.2">
      <c r="C165" s="9">
        <f>SUM(C163:C164)</f>
        <v>0</v>
      </c>
    </row>
    <row r="166" spans="1:8" hidden="1" x14ac:dyDescent="0.2"/>
    <row r="167" spans="1:8" hidden="1" x14ac:dyDescent="0.2">
      <c r="E167" s="9">
        <v>12500</v>
      </c>
      <c r="F167" s="15">
        <f>D173</f>
        <v>0</v>
      </c>
    </row>
    <row r="168" spans="1:8" hidden="1" x14ac:dyDescent="0.2">
      <c r="E168" s="9">
        <v>25000</v>
      </c>
      <c r="F168" s="9">
        <f>E167*22.5%</f>
        <v>2812.5</v>
      </c>
    </row>
    <row r="169" spans="1:8" hidden="1" x14ac:dyDescent="0.2">
      <c r="E169" s="9">
        <v>37500</v>
      </c>
      <c r="F169" s="9">
        <f>E168*21.5%</f>
        <v>5375</v>
      </c>
    </row>
    <row r="170" spans="1:8" hidden="1" x14ac:dyDescent="0.2">
      <c r="E170" s="9">
        <v>50000</v>
      </c>
      <c r="F170" s="9">
        <f>E169*20.5%</f>
        <v>7687.4999999999991</v>
      </c>
    </row>
    <row r="171" spans="1:8" hidden="1" x14ac:dyDescent="0.2">
      <c r="A171" s="9" t="s">
        <v>13</v>
      </c>
      <c r="E171" s="9">
        <v>62500</v>
      </c>
      <c r="F171" s="9">
        <f>E170*19.5%</f>
        <v>9750</v>
      </c>
    </row>
    <row r="172" spans="1:8" hidden="1" x14ac:dyDescent="0.2">
      <c r="E172" s="9">
        <v>75000</v>
      </c>
      <c r="F172" s="9">
        <f>E171*18.5%</f>
        <v>11562.5</v>
      </c>
    </row>
    <row r="173" spans="1:8" hidden="1" x14ac:dyDescent="0.2">
      <c r="A173" s="15">
        <f>$C$10*22.5/100</f>
        <v>0</v>
      </c>
      <c r="B173" s="15"/>
      <c r="D173" s="15">
        <f>IF($C$10&lt;12501,A173,0)</f>
        <v>0</v>
      </c>
      <c r="E173" s="9">
        <v>100000</v>
      </c>
      <c r="F173" s="9">
        <f>E172*17%</f>
        <v>12750.000000000002</v>
      </c>
      <c r="H173" s="15">
        <f>D173</f>
        <v>0</v>
      </c>
    </row>
    <row r="174" spans="1:8" hidden="1" x14ac:dyDescent="0.2">
      <c r="A174" s="15">
        <f>$C$10*21.5/100</f>
        <v>0</v>
      </c>
      <c r="B174" s="15"/>
      <c r="D174" s="9">
        <f>IF(AND(12500&lt;$C$10,$C$10&lt;25001),A174,0)</f>
        <v>0</v>
      </c>
      <c r="E174" s="9">
        <v>125000</v>
      </c>
      <c r="F174" s="9">
        <f>E173*16.5%</f>
        <v>16500</v>
      </c>
      <c r="H174" s="9">
        <f t="shared" ref="H174:H188" si="4">IF(D174&lt;F168,F168,D174)</f>
        <v>2812.5</v>
      </c>
    </row>
    <row r="175" spans="1:8" hidden="1" x14ac:dyDescent="0.2">
      <c r="A175" s="15">
        <f>$C$10*20.5/100</f>
        <v>0</v>
      </c>
      <c r="B175" s="15"/>
      <c r="D175" s="9">
        <f>IF(AND(25000&lt;$C$10,$C$10&lt;37501),A175,0)</f>
        <v>0</v>
      </c>
      <c r="E175" s="9">
        <v>150000</v>
      </c>
      <c r="F175" s="9">
        <f>E174*16%</f>
        <v>20000</v>
      </c>
      <c r="H175" s="9">
        <f t="shared" si="4"/>
        <v>5375</v>
      </c>
    </row>
    <row r="176" spans="1:8" hidden="1" x14ac:dyDescent="0.2">
      <c r="A176" s="15">
        <f>$C$10*19.5/100</f>
        <v>0</v>
      </c>
      <c r="B176" s="15"/>
      <c r="D176" s="9">
        <f>IF(AND(37500&lt;$C$10,$C$10&lt;50001),A176,0)</f>
        <v>0</v>
      </c>
      <c r="E176" s="9">
        <v>200000</v>
      </c>
      <c r="F176" s="9">
        <f>E175*15.5%</f>
        <v>23250</v>
      </c>
      <c r="H176" s="9">
        <f t="shared" si="4"/>
        <v>7687.4999999999991</v>
      </c>
    </row>
    <row r="177" spans="1:8" hidden="1" x14ac:dyDescent="0.2">
      <c r="A177" s="15">
        <f>$C$10*18.5/100</f>
        <v>0</v>
      </c>
      <c r="B177" s="15"/>
      <c r="D177" s="9">
        <f>IF(AND(50000&lt;$C$10,$C$10&lt;62501),A177,0)</f>
        <v>0</v>
      </c>
      <c r="E177" s="9">
        <v>300000</v>
      </c>
      <c r="F177" s="9">
        <f>E176*15%</f>
        <v>30000</v>
      </c>
      <c r="H177" s="9">
        <f t="shared" si="4"/>
        <v>9750</v>
      </c>
    </row>
    <row r="178" spans="1:8" hidden="1" x14ac:dyDescent="0.2">
      <c r="A178" s="15">
        <f>$C$10*17/100</f>
        <v>0</v>
      </c>
      <c r="B178" s="15"/>
      <c r="D178" s="9">
        <f>IF(AND(62500&lt;$C$10,$C$10&lt;75001),A178,0)</f>
        <v>0</v>
      </c>
      <c r="E178" s="9">
        <v>375000</v>
      </c>
      <c r="F178" s="9">
        <f>E177*14.5%</f>
        <v>43500</v>
      </c>
      <c r="H178" s="9">
        <f t="shared" si="4"/>
        <v>11562.5</v>
      </c>
    </row>
    <row r="179" spans="1:8" hidden="1" x14ac:dyDescent="0.2">
      <c r="A179" s="15">
        <f>$C$10*16.5/100</f>
        <v>0</v>
      </c>
      <c r="B179" s="15"/>
      <c r="D179" s="9">
        <f>IF(AND(75000&lt;$C$10,$C$10&lt;100001),A179,0)</f>
        <v>0</v>
      </c>
      <c r="E179" s="9">
        <v>600000</v>
      </c>
      <c r="F179" s="9">
        <f>E178*13.5%</f>
        <v>50625</v>
      </c>
      <c r="H179" s="9">
        <f t="shared" si="4"/>
        <v>12750.000000000002</v>
      </c>
    </row>
    <row r="180" spans="1:8" hidden="1" x14ac:dyDescent="0.2">
      <c r="A180" s="15">
        <f>$C$10*16/100</f>
        <v>0</v>
      </c>
      <c r="B180" s="15"/>
      <c r="D180" s="9">
        <f>IF(AND(100000&lt;$C$10,$C$10&lt;125001),A180,0)</f>
        <v>0</v>
      </c>
      <c r="E180" s="9">
        <v>1000000</v>
      </c>
      <c r="F180" s="9">
        <f>E179*13%</f>
        <v>78000</v>
      </c>
      <c r="H180" s="9">
        <f t="shared" si="4"/>
        <v>16500</v>
      </c>
    </row>
    <row r="181" spans="1:8" hidden="1" x14ac:dyDescent="0.2">
      <c r="A181" s="15">
        <f>$C$10*15.5/100</f>
        <v>0</v>
      </c>
      <c r="B181" s="15"/>
      <c r="D181" s="9">
        <f>IF(AND(125000&lt;$C$10,$C$10&lt;150001),A181,0)</f>
        <v>0</v>
      </c>
      <c r="E181" s="9">
        <v>1500000</v>
      </c>
      <c r="F181" s="9">
        <f>E180*12.5%</f>
        <v>125000</v>
      </c>
      <c r="H181" s="9">
        <f t="shared" si="4"/>
        <v>20000</v>
      </c>
    </row>
    <row r="182" spans="1:8" hidden="1" x14ac:dyDescent="0.2">
      <c r="A182" s="15">
        <f>$C$10*15/100</f>
        <v>0</v>
      </c>
      <c r="B182" s="15"/>
      <c r="D182" s="9">
        <f>IF(AND(150000&lt;$C$10,$C$10&lt;200001),A182,0)</f>
        <v>0</v>
      </c>
      <c r="F182" s="9">
        <f>E181*12.25%</f>
        <v>183750</v>
      </c>
      <c r="H182" s="9">
        <f t="shared" si="4"/>
        <v>23250</v>
      </c>
    </row>
    <row r="183" spans="1:8" hidden="1" x14ac:dyDescent="0.2">
      <c r="A183" s="15">
        <f>$C$10*14.5/100</f>
        <v>0</v>
      </c>
      <c r="B183" s="15"/>
      <c r="D183" s="9">
        <f>IF(AND(200000&lt;$C$10,$C$10&lt;300001),A183,0)</f>
        <v>0</v>
      </c>
      <c r="H183" s="9">
        <f t="shared" si="4"/>
        <v>30000</v>
      </c>
    </row>
    <row r="184" spans="1:8" hidden="1" x14ac:dyDescent="0.2">
      <c r="A184" s="15">
        <f>$C$10*13.5/100</f>
        <v>0</v>
      </c>
      <c r="B184" s="15"/>
      <c r="D184" s="9">
        <f>IF(AND(300000&lt;$C$10,$C$10&lt;375001),A184,0)</f>
        <v>0</v>
      </c>
      <c r="H184" s="9">
        <f t="shared" si="4"/>
        <v>43500</v>
      </c>
    </row>
    <row r="185" spans="1:8" hidden="1" x14ac:dyDescent="0.2">
      <c r="A185" s="15">
        <f>$C$10*13/100</f>
        <v>0</v>
      </c>
      <c r="B185" s="15"/>
      <c r="D185" s="9">
        <f>IF(AND(375000&lt;$C$10,$C$10&lt;600001),A185,0)</f>
        <v>0</v>
      </c>
      <c r="F185" s="15">
        <f>D208-$C$10*5/100</f>
        <v>0</v>
      </c>
      <c r="H185" s="9">
        <f t="shared" si="4"/>
        <v>50625</v>
      </c>
    </row>
    <row r="186" spans="1:8" hidden="1" x14ac:dyDescent="0.2">
      <c r="A186" s="15">
        <f>$C$10*12.5/100</f>
        <v>0</v>
      </c>
      <c r="B186" s="15"/>
      <c r="D186" s="9">
        <f>IF(AND(600000&lt;$C$10,$C$10&lt;1000001),A186,0)</f>
        <v>0</v>
      </c>
      <c r="H186" s="9">
        <f t="shared" si="4"/>
        <v>78000</v>
      </c>
    </row>
    <row r="187" spans="1:8" hidden="1" x14ac:dyDescent="0.2">
      <c r="A187" s="15">
        <f>$C$10*12.25/100</f>
        <v>0</v>
      </c>
      <c r="B187" s="15"/>
      <c r="D187" s="9">
        <f>IF(AND(1000000&lt;$C$10,$C$10&lt;1500001),A187,0)</f>
        <v>0</v>
      </c>
      <c r="F187" s="9">
        <f>IF(AND($F$11="ja",$F$10="ja"),H191-750,0)</f>
        <v>0</v>
      </c>
      <c r="H187" s="9">
        <f t="shared" si="4"/>
        <v>125000</v>
      </c>
    </row>
    <row r="188" spans="1:8" hidden="1" x14ac:dyDescent="0.2">
      <c r="A188" s="15">
        <f>$C$10*12/100</f>
        <v>0</v>
      </c>
      <c r="B188" s="15"/>
      <c r="D188" s="9">
        <f>IF(1500000&lt;$C$10,A188,0)</f>
        <v>0</v>
      </c>
      <c r="H188" s="9">
        <f t="shared" si="4"/>
        <v>183750</v>
      </c>
    </row>
    <row r="189" spans="1:8" hidden="1" x14ac:dyDescent="0.2">
      <c r="D189" s="15">
        <f>SUM(D173:D188)</f>
        <v>0</v>
      </c>
      <c r="F189" s="9">
        <f>IF(F187=0,H193,F187)</f>
        <v>0</v>
      </c>
    </row>
    <row r="190" spans="1:8" hidden="1" x14ac:dyDescent="0.2"/>
    <row r="191" spans="1:8" hidden="1" x14ac:dyDescent="0.2">
      <c r="D191" s="15">
        <f>D173</f>
        <v>0</v>
      </c>
      <c r="F191" s="9">
        <f>IF(F189=0,H191,F189)</f>
        <v>0</v>
      </c>
      <c r="H191" s="9">
        <f>IF($F$10="ja",F185,D208)</f>
        <v>0</v>
      </c>
    </row>
    <row r="192" spans="1:8" hidden="1" x14ac:dyDescent="0.2">
      <c r="D192" s="9">
        <f t="shared" ref="D192:D206" si="5">IF(D174&gt;0,H174,0)</f>
        <v>0</v>
      </c>
    </row>
    <row r="193" spans="4:8" hidden="1" x14ac:dyDescent="0.2">
      <c r="D193" s="9">
        <f t="shared" si="5"/>
        <v>0</v>
      </c>
      <c r="F193" s="9">
        <f>IF(AND($F$12="ja",$F$11="ja"),F191-1000,F191)</f>
        <v>0</v>
      </c>
      <c r="H193" s="9">
        <f>IF(AND($F$11="ja",$F$10="neen"),H191-1500,0)</f>
        <v>0</v>
      </c>
    </row>
    <row r="194" spans="4:8" hidden="1" x14ac:dyDescent="0.2">
      <c r="D194" s="9">
        <f t="shared" si="5"/>
        <v>0</v>
      </c>
    </row>
    <row r="195" spans="4:8" hidden="1" x14ac:dyDescent="0.2">
      <c r="D195" s="9">
        <f t="shared" si="5"/>
        <v>0</v>
      </c>
    </row>
    <row r="196" spans="4:8" hidden="1" x14ac:dyDescent="0.2">
      <c r="D196" s="9">
        <f t="shared" si="5"/>
        <v>0</v>
      </c>
    </row>
    <row r="197" spans="4:8" hidden="1" x14ac:dyDescent="0.2">
      <c r="D197" s="9">
        <f t="shared" si="5"/>
        <v>0</v>
      </c>
    </row>
    <row r="198" spans="4:8" hidden="1" x14ac:dyDescent="0.2">
      <c r="D198" s="9">
        <f t="shared" si="5"/>
        <v>0</v>
      </c>
    </row>
    <row r="199" spans="4:8" hidden="1" x14ac:dyDescent="0.2">
      <c r="D199" s="9">
        <f t="shared" si="5"/>
        <v>0</v>
      </c>
    </row>
    <row r="200" spans="4:8" hidden="1" x14ac:dyDescent="0.2">
      <c r="D200" s="9">
        <f t="shared" si="5"/>
        <v>0</v>
      </c>
    </row>
    <row r="201" spans="4:8" hidden="1" x14ac:dyDescent="0.2">
      <c r="D201" s="9">
        <f t="shared" si="5"/>
        <v>0</v>
      </c>
    </row>
    <row r="202" spans="4:8" hidden="1" x14ac:dyDescent="0.2">
      <c r="D202" s="9">
        <f t="shared" si="5"/>
        <v>0</v>
      </c>
    </row>
    <row r="203" spans="4:8" hidden="1" x14ac:dyDescent="0.2">
      <c r="D203" s="9">
        <f t="shared" si="5"/>
        <v>0</v>
      </c>
    </row>
    <row r="204" spans="4:8" hidden="1" x14ac:dyDescent="0.2">
      <c r="D204" s="9">
        <f t="shared" si="5"/>
        <v>0</v>
      </c>
    </row>
    <row r="205" spans="4:8" hidden="1" x14ac:dyDescent="0.2">
      <c r="D205" s="9">
        <f t="shared" si="5"/>
        <v>0</v>
      </c>
    </row>
    <row r="206" spans="4:8" hidden="1" x14ac:dyDescent="0.2">
      <c r="D206" s="9">
        <f t="shared" si="5"/>
        <v>0</v>
      </c>
    </row>
    <row r="207" spans="4:8" hidden="1" x14ac:dyDescent="0.2"/>
    <row r="208" spans="4:8" hidden="1" x14ac:dyDescent="0.2">
      <c r="D208" s="15">
        <f>SUM(D191:D206)</f>
        <v>0</v>
      </c>
    </row>
    <row r="209" spans="1:8" hidden="1" x14ac:dyDescent="0.2"/>
    <row r="210" spans="1:8" hidden="1" x14ac:dyDescent="0.2"/>
    <row r="211" spans="1:8" hidden="1" x14ac:dyDescent="0.2"/>
    <row r="212" spans="1:8" hidden="1" x14ac:dyDescent="0.2"/>
    <row r="213" spans="1:8" hidden="1" x14ac:dyDescent="0.2">
      <c r="C213" s="9">
        <f>IF(AND($F$11="ja",$F$10="ja"),-750,0)</f>
        <v>0</v>
      </c>
    </row>
    <row r="214" spans="1:8" hidden="1" x14ac:dyDescent="0.2">
      <c r="C214" s="9">
        <f>IF(AND($F$11="ja",$F$10="neen"),-1500,0)</f>
        <v>0</v>
      </c>
    </row>
    <row r="215" spans="1:8" hidden="1" x14ac:dyDescent="0.2">
      <c r="C215" s="9">
        <f>SUM(C213:C214)</f>
        <v>0</v>
      </c>
    </row>
    <row r="216" spans="1:8" hidden="1" x14ac:dyDescent="0.2"/>
    <row r="217" spans="1:8" hidden="1" x14ac:dyDescent="0.2">
      <c r="E217" s="9">
        <v>12500</v>
      </c>
      <c r="F217" s="15">
        <f>D223</f>
        <v>0</v>
      </c>
    </row>
    <row r="218" spans="1:8" hidden="1" x14ac:dyDescent="0.2">
      <c r="E218" s="9">
        <v>25000</v>
      </c>
      <c r="F218" s="9">
        <f>E217*22%</f>
        <v>2750</v>
      </c>
    </row>
    <row r="219" spans="1:8" hidden="1" x14ac:dyDescent="0.2">
      <c r="E219" s="9">
        <v>37500</v>
      </c>
      <c r="F219" s="9">
        <f>E218*21%</f>
        <v>5250</v>
      </c>
    </row>
    <row r="220" spans="1:8" hidden="1" x14ac:dyDescent="0.2">
      <c r="E220" s="9">
        <v>50000</v>
      </c>
      <c r="F220" s="9">
        <f>E219*20%</f>
        <v>7500</v>
      </c>
    </row>
    <row r="221" spans="1:8" hidden="1" x14ac:dyDescent="0.2">
      <c r="A221" s="9" t="s">
        <v>14</v>
      </c>
      <c r="E221" s="9">
        <v>62500</v>
      </c>
      <c r="F221" s="9">
        <f>E220*19%</f>
        <v>9500</v>
      </c>
    </row>
    <row r="222" spans="1:8" hidden="1" x14ac:dyDescent="0.2">
      <c r="E222" s="9">
        <v>75000</v>
      </c>
      <c r="F222" s="9">
        <f>E221*18%</f>
        <v>11250</v>
      </c>
    </row>
    <row r="223" spans="1:8" hidden="1" x14ac:dyDescent="0.2">
      <c r="A223" s="15">
        <f>$C$10*22/100</f>
        <v>0</v>
      </c>
      <c r="B223" s="15"/>
      <c r="D223" s="15">
        <f>IF($C$10&lt;12501,A223,0)</f>
        <v>0</v>
      </c>
      <c r="E223" s="9">
        <v>100000</v>
      </c>
      <c r="F223" s="9">
        <f>E222*16.5%</f>
        <v>12375</v>
      </c>
      <c r="H223" s="15">
        <f>D223</f>
        <v>0</v>
      </c>
    </row>
    <row r="224" spans="1:8" hidden="1" x14ac:dyDescent="0.2">
      <c r="A224" s="15">
        <f>$C$10*21/100</f>
        <v>0</v>
      </c>
      <c r="B224" s="15"/>
      <c r="D224" s="9">
        <f>IF(AND(12500&lt;$C$10,$C$10&lt;25001),A224,0)</f>
        <v>0</v>
      </c>
      <c r="E224" s="9">
        <v>125000</v>
      </c>
      <c r="F224" s="9">
        <f>E223*16%</f>
        <v>16000</v>
      </c>
      <c r="H224" s="9">
        <f t="shared" ref="H224:H238" si="6">IF(D224&lt;F218,F218,D224)</f>
        <v>2750</v>
      </c>
    </row>
    <row r="225" spans="1:8" hidden="1" x14ac:dyDescent="0.2">
      <c r="A225" s="15">
        <f>$C$10*20/100</f>
        <v>0</v>
      </c>
      <c r="B225" s="15"/>
      <c r="D225" s="9">
        <f>IF(AND(25000&lt;$C$10,$C$10&lt;37501),A225,0)</f>
        <v>0</v>
      </c>
      <c r="E225" s="9">
        <v>150000</v>
      </c>
      <c r="F225" s="9">
        <f>E224*15.5%</f>
        <v>19375</v>
      </c>
      <c r="H225" s="9">
        <f t="shared" si="6"/>
        <v>5250</v>
      </c>
    </row>
    <row r="226" spans="1:8" hidden="1" x14ac:dyDescent="0.2">
      <c r="A226" s="15">
        <f>$C$10*19/100</f>
        <v>0</v>
      </c>
      <c r="B226" s="15"/>
      <c r="D226" s="9">
        <f>IF(AND(37500&lt;$C$10,$C$10&lt;50001),A226,0)</f>
        <v>0</v>
      </c>
      <c r="E226" s="9">
        <v>200000</v>
      </c>
      <c r="F226" s="9">
        <f>E225*15%</f>
        <v>22500</v>
      </c>
      <c r="H226" s="9">
        <f t="shared" si="6"/>
        <v>7500</v>
      </c>
    </row>
    <row r="227" spans="1:8" hidden="1" x14ac:dyDescent="0.2">
      <c r="A227" s="15">
        <f>$C$10*18/100</f>
        <v>0</v>
      </c>
      <c r="B227" s="15"/>
      <c r="D227" s="9">
        <f>IF(AND(50000&lt;$C$10,$C$10&lt;62501),A227,0)</f>
        <v>0</v>
      </c>
      <c r="E227" s="9">
        <v>300000</v>
      </c>
      <c r="F227" s="9">
        <f>E226*14.5%</f>
        <v>28999.999999999996</v>
      </c>
      <c r="H227" s="9">
        <f t="shared" si="6"/>
        <v>9500</v>
      </c>
    </row>
    <row r="228" spans="1:8" hidden="1" x14ac:dyDescent="0.2">
      <c r="A228" s="15">
        <f>$C$10*16.5/100</f>
        <v>0</v>
      </c>
      <c r="B228" s="15"/>
      <c r="D228" s="9">
        <f>IF(AND(62500&lt;$C$10,$C$10&lt;75001),A228,0)</f>
        <v>0</v>
      </c>
      <c r="E228" s="9">
        <v>375000</v>
      </c>
      <c r="F228" s="9">
        <f>E227*14%</f>
        <v>42000.000000000007</v>
      </c>
      <c r="H228" s="9">
        <f t="shared" si="6"/>
        <v>11250</v>
      </c>
    </row>
    <row r="229" spans="1:8" hidden="1" x14ac:dyDescent="0.2">
      <c r="A229" s="15">
        <f>$C$10*16/100</f>
        <v>0</v>
      </c>
      <c r="B229" s="15"/>
      <c r="D229" s="9">
        <f>IF(AND(75000&lt;$C$10,$C$10&lt;100001),A229,0)</f>
        <v>0</v>
      </c>
      <c r="E229" s="9">
        <v>600000</v>
      </c>
      <c r="F229" s="9">
        <f>E228*13%</f>
        <v>48750</v>
      </c>
      <c r="H229" s="9">
        <f t="shared" si="6"/>
        <v>12375</v>
      </c>
    </row>
    <row r="230" spans="1:8" hidden="1" x14ac:dyDescent="0.2">
      <c r="A230" s="15">
        <f>$C$10*15.5/100</f>
        <v>0</v>
      </c>
      <c r="B230" s="15"/>
      <c r="D230" s="9">
        <f>IF(AND(100000&lt;$C$10,$C$10&lt;125001),A230,0)</f>
        <v>0</v>
      </c>
      <c r="E230" s="9">
        <v>1000000</v>
      </c>
      <c r="F230" s="9">
        <f>E229*12.5%</f>
        <v>75000</v>
      </c>
      <c r="H230" s="9">
        <f t="shared" si="6"/>
        <v>16000</v>
      </c>
    </row>
    <row r="231" spans="1:8" hidden="1" x14ac:dyDescent="0.2">
      <c r="A231" s="15">
        <f>$C$10*15/100</f>
        <v>0</v>
      </c>
      <c r="B231" s="15"/>
      <c r="D231" s="9">
        <f>IF(AND(125000&lt;$C$10,$C$10&lt;150001),A231,0)</f>
        <v>0</v>
      </c>
      <c r="E231" s="9">
        <v>1500000</v>
      </c>
      <c r="F231" s="9">
        <f>E230*12%</f>
        <v>120000</v>
      </c>
      <c r="H231" s="9">
        <f t="shared" si="6"/>
        <v>19375</v>
      </c>
    </row>
    <row r="232" spans="1:8" hidden="1" x14ac:dyDescent="0.2">
      <c r="A232" s="15">
        <f>$C$10*14.5/100</f>
        <v>0</v>
      </c>
      <c r="B232" s="15"/>
      <c r="D232" s="9">
        <f>IF(AND(150000&lt;$C$10,$C$10&lt;200001),A232,0)</f>
        <v>0</v>
      </c>
      <c r="F232" s="9">
        <f>E231*11.75%</f>
        <v>176250</v>
      </c>
      <c r="H232" s="9">
        <f t="shared" si="6"/>
        <v>22500</v>
      </c>
    </row>
    <row r="233" spans="1:8" hidden="1" x14ac:dyDescent="0.2">
      <c r="A233" s="15">
        <f>$C$10*14/100</f>
        <v>0</v>
      </c>
      <c r="B233" s="15"/>
      <c r="D233" s="9">
        <f>IF(AND(200000&lt;$C$10,$C$10&lt;300001),A233,0)</f>
        <v>0</v>
      </c>
      <c r="H233" s="9">
        <f t="shared" si="6"/>
        <v>28999.999999999996</v>
      </c>
    </row>
    <row r="234" spans="1:8" hidden="1" x14ac:dyDescent="0.2">
      <c r="A234" s="15">
        <f>$C$10*13/100</f>
        <v>0</v>
      </c>
      <c r="B234" s="15"/>
      <c r="D234" s="9">
        <f>IF(AND(300000&lt;$C$10,$C$10&lt;375001),A234,0)</f>
        <v>0</v>
      </c>
      <c r="H234" s="9">
        <f t="shared" si="6"/>
        <v>42000.000000000007</v>
      </c>
    </row>
    <row r="235" spans="1:8" hidden="1" x14ac:dyDescent="0.2">
      <c r="A235" s="15">
        <f>$C$10*12.5/100</f>
        <v>0</v>
      </c>
      <c r="B235" s="15"/>
      <c r="D235" s="9">
        <f>IF(AND(375000&lt;$C$10,$C$10&lt;600001),A235,0)</f>
        <v>0</v>
      </c>
      <c r="F235" s="15">
        <f>D258-$C$10*5/100</f>
        <v>0</v>
      </c>
      <c r="H235" s="9">
        <f t="shared" si="6"/>
        <v>48750</v>
      </c>
    </row>
    <row r="236" spans="1:8" hidden="1" x14ac:dyDescent="0.2">
      <c r="A236" s="15">
        <f>$C$10*12/100</f>
        <v>0</v>
      </c>
      <c r="B236" s="15"/>
      <c r="D236" s="9">
        <f>IF(AND(600000&lt;$C$10,$C$10&lt;1000001),A236,0)</f>
        <v>0</v>
      </c>
      <c r="H236" s="9">
        <f t="shared" si="6"/>
        <v>75000</v>
      </c>
    </row>
    <row r="237" spans="1:8" hidden="1" x14ac:dyDescent="0.2">
      <c r="A237" s="15">
        <f>$C$10*11.75/100</f>
        <v>0</v>
      </c>
      <c r="B237" s="15"/>
      <c r="D237" s="9">
        <f>IF(AND(1000000&lt;$C$10,$C$10&lt;1500001),A237,0)</f>
        <v>0</v>
      </c>
      <c r="F237" s="9">
        <f>IF(AND($F$11="ja",$F$10="ja"),H241-750,0)</f>
        <v>0</v>
      </c>
      <c r="H237" s="9">
        <f t="shared" si="6"/>
        <v>120000</v>
      </c>
    </row>
    <row r="238" spans="1:8" hidden="1" x14ac:dyDescent="0.2">
      <c r="A238" s="15">
        <f>$C$10*11.5/100</f>
        <v>0</v>
      </c>
      <c r="B238" s="15"/>
      <c r="D238" s="9">
        <f>IF(1500000&lt;$C$10,A238,0)</f>
        <v>0</v>
      </c>
      <c r="H238" s="9">
        <f t="shared" si="6"/>
        <v>176250</v>
      </c>
    </row>
    <row r="239" spans="1:8" hidden="1" x14ac:dyDescent="0.2">
      <c r="D239" s="15">
        <f>SUM(D223:D238)</f>
        <v>0</v>
      </c>
      <c r="F239" s="9">
        <f>IF(F237=0,H243,F237)</f>
        <v>0</v>
      </c>
    </row>
    <row r="240" spans="1:8" hidden="1" x14ac:dyDescent="0.2"/>
    <row r="241" spans="4:8" hidden="1" x14ac:dyDescent="0.2">
      <c r="D241" s="15">
        <f>D223</f>
        <v>0</v>
      </c>
      <c r="F241" s="9">
        <f>IF(F239=0,H241,F239)</f>
        <v>0</v>
      </c>
      <c r="H241" s="9">
        <f>IF($F$10="ja",F235,D258)</f>
        <v>0</v>
      </c>
    </row>
    <row r="242" spans="4:8" hidden="1" x14ac:dyDescent="0.2">
      <c r="D242" s="9">
        <f t="shared" ref="D242:D256" si="7">IF(D224&gt;0,H224,0)</f>
        <v>0</v>
      </c>
    </row>
    <row r="243" spans="4:8" hidden="1" x14ac:dyDescent="0.2">
      <c r="D243" s="9">
        <f t="shared" si="7"/>
        <v>0</v>
      </c>
      <c r="F243" s="9">
        <f>IF(AND($F$12="ja",$F$11="ja"),F241-1000,F241)</f>
        <v>0</v>
      </c>
      <c r="H243" s="9">
        <f>IF(AND($F$11="ja",$F$10="neen"),H241-1500,0)</f>
        <v>0</v>
      </c>
    </row>
    <row r="244" spans="4:8" hidden="1" x14ac:dyDescent="0.2">
      <c r="D244" s="9">
        <f t="shared" si="7"/>
        <v>0</v>
      </c>
    </row>
    <row r="245" spans="4:8" hidden="1" x14ac:dyDescent="0.2">
      <c r="D245" s="9">
        <f t="shared" si="7"/>
        <v>0</v>
      </c>
    </row>
    <row r="246" spans="4:8" hidden="1" x14ac:dyDescent="0.2">
      <c r="D246" s="9">
        <f t="shared" si="7"/>
        <v>0</v>
      </c>
    </row>
    <row r="247" spans="4:8" hidden="1" x14ac:dyDescent="0.2">
      <c r="D247" s="9">
        <f t="shared" si="7"/>
        <v>0</v>
      </c>
    </row>
    <row r="248" spans="4:8" hidden="1" x14ac:dyDescent="0.2">
      <c r="D248" s="9">
        <f t="shared" si="7"/>
        <v>0</v>
      </c>
    </row>
    <row r="249" spans="4:8" hidden="1" x14ac:dyDescent="0.2">
      <c r="D249" s="9">
        <f t="shared" si="7"/>
        <v>0</v>
      </c>
    </row>
    <row r="250" spans="4:8" hidden="1" x14ac:dyDescent="0.2">
      <c r="D250" s="9">
        <f t="shared" si="7"/>
        <v>0</v>
      </c>
    </row>
    <row r="251" spans="4:8" hidden="1" x14ac:dyDescent="0.2">
      <c r="D251" s="9">
        <f t="shared" si="7"/>
        <v>0</v>
      </c>
    </row>
    <row r="252" spans="4:8" hidden="1" x14ac:dyDescent="0.2">
      <c r="D252" s="9">
        <f t="shared" si="7"/>
        <v>0</v>
      </c>
    </row>
    <row r="253" spans="4:8" hidden="1" x14ac:dyDescent="0.2">
      <c r="D253" s="9">
        <f t="shared" si="7"/>
        <v>0</v>
      </c>
    </row>
    <row r="254" spans="4:8" hidden="1" x14ac:dyDescent="0.2">
      <c r="D254" s="9">
        <f t="shared" si="7"/>
        <v>0</v>
      </c>
    </row>
    <row r="255" spans="4:8" hidden="1" x14ac:dyDescent="0.2">
      <c r="D255" s="9">
        <f t="shared" si="7"/>
        <v>0</v>
      </c>
    </row>
    <row r="256" spans="4:8" hidden="1" x14ac:dyDescent="0.2">
      <c r="D256" s="9">
        <f t="shared" si="7"/>
        <v>0</v>
      </c>
    </row>
    <row r="257" spans="1:8" hidden="1" x14ac:dyDescent="0.2"/>
    <row r="258" spans="1:8" hidden="1" x14ac:dyDescent="0.2">
      <c r="D258" s="15">
        <f>SUM(D241:D256)</f>
        <v>0</v>
      </c>
    </row>
    <row r="259" spans="1:8" hidden="1" x14ac:dyDescent="0.2"/>
    <row r="260" spans="1:8" hidden="1" x14ac:dyDescent="0.2"/>
    <row r="261" spans="1:8" hidden="1" x14ac:dyDescent="0.2"/>
    <row r="262" spans="1:8" hidden="1" x14ac:dyDescent="0.2"/>
    <row r="263" spans="1:8" hidden="1" x14ac:dyDescent="0.2">
      <c r="C263" s="9">
        <f>IF(AND($F$11="ja",$F$10="ja"),-750,0)</f>
        <v>0</v>
      </c>
    </row>
    <row r="264" spans="1:8" hidden="1" x14ac:dyDescent="0.2">
      <c r="C264" s="9">
        <f>IF(AND($F$11="ja",$F$10="neen"),-1500,0)</f>
        <v>0</v>
      </c>
    </row>
    <row r="265" spans="1:8" hidden="1" x14ac:dyDescent="0.2">
      <c r="C265" s="9">
        <f>SUM(C263:C264)</f>
        <v>0</v>
      </c>
    </row>
    <row r="266" spans="1:8" hidden="1" x14ac:dyDescent="0.2"/>
    <row r="267" spans="1:8" hidden="1" x14ac:dyDescent="0.2"/>
    <row r="268" spans="1:8" hidden="1" x14ac:dyDescent="0.2"/>
    <row r="269" spans="1:8" hidden="1" x14ac:dyDescent="0.2">
      <c r="A269" s="9" t="s">
        <v>31</v>
      </c>
      <c r="C269" s="14">
        <f>IF(F10="ja",C12-5%,C12)</f>
        <v>0.31</v>
      </c>
      <c r="D269" s="13">
        <f>C10*C269</f>
        <v>0</v>
      </c>
      <c r="F269" s="9" t="s">
        <v>45</v>
      </c>
      <c r="H269" s="13">
        <f>C10+D274</f>
        <v>0</v>
      </c>
    </row>
    <row r="270" spans="1:8" hidden="1" x14ac:dyDescent="0.2">
      <c r="D270" s="13">
        <f>D269+F18+F20</f>
        <v>0</v>
      </c>
    </row>
    <row r="271" spans="1:8" hidden="1" x14ac:dyDescent="0.2"/>
    <row r="272" spans="1:8" hidden="1" x14ac:dyDescent="0.2">
      <c r="A272" s="9" t="s">
        <v>43</v>
      </c>
      <c r="D272" s="13">
        <f>IF(F10="ja",G333,G294)</f>
        <v>0</v>
      </c>
    </row>
    <row r="273" spans="1:10" hidden="1" x14ac:dyDescent="0.2"/>
    <row r="274" spans="1:10" hidden="1" x14ac:dyDescent="0.2">
      <c r="A274" s="9" t="s">
        <v>44</v>
      </c>
      <c r="D274" s="13">
        <f>D270-D272</f>
        <v>0</v>
      </c>
      <c r="I274" s="20">
        <v>0.1</v>
      </c>
      <c r="J274" s="20">
        <v>0.05</v>
      </c>
    </row>
    <row r="275" spans="1:10" hidden="1" x14ac:dyDescent="0.2"/>
    <row r="276" spans="1:10" hidden="1" x14ac:dyDescent="0.2">
      <c r="I276" s="13">
        <f>IF(AND(F11="neen",F13=0),H269*10%,0)</f>
        <v>0</v>
      </c>
      <c r="J276" s="13">
        <f>IF(AND(F11="neen",F13=0),H269*5%,0)</f>
        <v>0</v>
      </c>
    </row>
    <row r="277" spans="1:10" hidden="1" x14ac:dyDescent="0.2">
      <c r="A277" s="21" t="s">
        <v>33</v>
      </c>
      <c r="B277" s="21"/>
      <c r="C277" s="22">
        <f>C10</f>
        <v>0</v>
      </c>
      <c r="D277" s="23"/>
      <c r="E277" s="24"/>
      <c r="F277" s="25"/>
      <c r="G277" s="25"/>
      <c r="I277" s="13">
        <f>IF(AND(F11="ja",F12="ja"),(H269-25000)*10%,0)</f>
        <v>0</v>
      </c>
      <c r="J277" s="13">
        <f>IF(AND(F11="ja",F12="ja"),(H269-35000)*5%,0)</f>
        <v>0</v>
      </c>
    </row>
    <row r="278" spans="1:10" hidden="1" x14ac:dyDescent="0.2">
      <c r="A278" s="26"/>
      <c r="B278" s="21"/>
      <c r="C278" s="21"/>
      <c r="D278" s="23"/>
      <c r="E278" s="24"/>
      <c r="F278" s="25"/>
      <c r="G278" s="25"/>
      <c r="I278" s="13">
        <f>IF(AND(F11="ja",F12="neen"),(H269-15000)*10%,0)</f>
        <v>0</v>
      </c>
      <c r="J278" s="13">
        <f>IF(AND(F11="ja",F12="neen"),(H269-15000)*5%,0)</f>
        <v>0</v>
      </c>
    </row>
    <row r="279" spans="1:10" hidden="1" x14ac:dyDescent="0.2">
      <c r="A279" s="27" t="s">
        <v>34</v>
      </c>
      <c r="B279" s="21"/>
      <c r="C279" s="21"/>
      <c r="D279" s="23"/>
      <c r="E279" s="24"/>
      <c r="F279" s="25"/>
      <c r="G279" s="25"/>
      <c r="I279" s="13">
        <f>IF(AND(F11="neen",F13&gt;0),(H269*10%)-F13,0)</f>
        <v>0</v>
      </c>
      <c r="J279" s="13">
        <f>IF(AND(F11="neen",F13&gt;0),(H269*5%)-F13,0)</f>
        <v>0</v>
      </c>
    </row>
    <row r="280" spans="1:10" hidden="1" x14ac:dyDescent="0.2">
      <c r="A280" s="27"/>
      <c r="B280" s="21"/>
      <c r="C280" s="21"/>
      <c r="D280" s="23"/>
      <c r="E280" s="24"/>
      <c r="F280" s="25"/>
      <c r="G280" s="25"/>
      <c r="J280" s="13"/>
    </row>
    <row r="281" spans="1:10" hidden="1" x14ac:dyDescent="0.2">
      <c r="A281" s="27" t="s">
        <v>35</v>
      </c>
      <c r="B281" s="21"/>
      <c r="C281" s="21"/>
      <c r="D281" s="23"/>
      <c r="E281" s="24"/>
      <c r="F281" s="25"/>
      <c r="G281" s="25"/>
      <c r="I281" s="13">
        <f>SUM(I276:I280)</f>
        <v>0</v>
      </c>
      <c r="J281" s="13">
        <f>SUM(J276:J280)</f>
        <v>0</v>
      </c>
    </row>
    <row r="282" spans="1:10" hidden="1" x14ac:dyDescent="0.2">
      <c r="A282" s="27"/>
      <c r="B282" s="21"/>
      <c r="C282" s="21"/>
      <c r="D282" s="23"/>
      <c r="E282" s="24"/>
      <c r="F282" s="25"/>
      <c r="G282" s="25"/>
      <c r="J282" s="13"/>
    </row>
    <row r="283" spans="1:10" hidden="1" x14ac:dyDescent="0.2">
      <c r="A283" s="27" t="s">
        <v>36</v>
      </c>
      <c r="B283" s="21"/>
      <c r="C283" s="21"/>
      <c r="D283" s="23"/>
      <c r="E283" s="24"/>
      <c r="F283" s="25"/>
      <c r="G283" s="28" t="s">
        <v>37</v>
      </c>
      <c r="I283" s="13">
        <f>IF(I281&gt;50,I281,50)</f>
        <v>50</v>
      </c>
      <c r="J283" s="13">
        <f>IF(J281&gt;50,J281,50)</f>
        <v>50</v>
      </c>
    </row>
    <row r="284" spans="1:10" hidden="1" x14ac:dyDescent="0.2">
      <c r="A284" s="27"/>
      <c r="B284" s="21"/>
      <c r="C284" s="21"/>
      <c r="D284" s="23"/>
      <c r="E284" s="24"/>
      <c r="F284" s="25"/>
      <c r="G284" s="25"/>
    </row>
    <row r="285" spans="1:10" hidden="1" x14ac:dyDescent="0.2">
      <c r="A285" s="29" t="s">
        <v>38</v>
      </c>
      <c r="B285" s="30" t="s">
        <v>39</v>
      </c>
      <c r="C285" s="21"/>
      <c r="D285" s="23"/>
      <c r="E285" s="24"/>
      <c r="F285" s="25"/>
      <c r="G285" s="25"/>
    </row>
    <row r="286" spans="1:10" hidden="1" x14ac:dyDescent="0.2">
      <c r="A286" s="21">
        <v>0</v>
      </c>
      <c r="B286" s="21">
        <v>7500</v>
      </c>
      <c r="C286" s="21">
        <f>IF(AND(C277&gt;A286,C277&lt;=B286),C277,0)</f>
        <v>0</v>
      </c>
      <c r="D286" s="23">
        <v>0.16900000000000001</v>
      </c>
      <c r="E286" s="31">
        <f>D286*C286</f>
        <v>0</v>
      </c>
      <c r="F286" s="25">
        <v>500</v>
      </c>
      <c r="G286" s="32">
        <f t="shared" ref="G286:G292" si="8">IF(E286&gt;0,SUM(E286:F286),0)</f>
        <v>0</v>
      </c>
    </row>
    <row r="287" spans="1:10" hidden="1" x14ac:dyDescent="0.2">
      <c r="A287" s="21">
        <f t="shared" ref="A287:A292" si="9">B286</f>
        <v>7500</v>
      </c>
      <c r="B287" s="21">
        <v>10000</v>
      </c>
      <c r="C287" s="21">
        <f>IF(AND(C277&gt;A287,C277&lt;=B287),C277,0)</f>
        <v>0</v>
      </c>
      <c r="D287" s="23">
        <v>0.16209999999999999</v>
      </c>
      <c r="E287" s="31">
        <f t="shared" ref="E287:E292" si="10">D287*C287</f>
        <v>0</v>
      </c>
      <c r="F287" s="25">
        <v>551.73</v>
      </c>
      <c r="G287" s="32">
        <f t="shared" si="8"/>
        <v>0</v>
      </c>
    </row>
    <row r="288" spans="1:10" hidden="1" x14ac:dyDescent="0.2">
      <c r="A288" s="21">
        <f t="shared" si="9"/>
        <v>10000</v>
      </c>
      <c r="B288" s="21">
        <v>12500</v>
      </c>
      <c r="C288" s="21">
        <f>IF(AND(C277&gt;A288,C277&lt;=B288),C277,0)</f>
        <v>0</v>
      </c>
      <c r="D288" s="23">
        <v>0.1552</v>
      </c>
      <c r="E288" s="31">
        <f t="shared" si="10"/>
        <v>0</v>
      </c>
      <c r="F288" s="25">
        <v>620.71</v>
      </c>
      <c r="G288" s="32">
        <f t="shared" si="8"/>
        <v>0</v>
      </c>
    </row>
    <row r="289" spans="1:7" hidden="1" x14ac:dyDescent="0.2">
      <c r="A289" s="21">
        <f t="shared" si="9"/>
        <v>12500</v>
      </c>
      <c r="B289" s="21">
        <v>15495</v>
      </c>
      <c r="C289" s="21">
        <f>IF(AND(C277&gt;A289,C277&lt;=B289),C277,0)</f>
        <v>0</v>
      </c>
      <c r="D289" s="23">
        <v>0.14829999999999999</v>
      </c>
      <c r="E289" s="31">
        <f t="shared" si="10"/>
        <v>0</v>
      </c>
      <c r="F289" s="25">
        <v>706.91</v>
      </c>
      <c r="G289" s="32">
        <f t="shared" si="8"/>
        <v>0</v>
      </c>
    </row>
    <row r="290" spans="1:7" hidden="1" x14ac:dyDescent="0.2">
      <c r="A290" s="21">
        <f t="shared" si="9"/>
        <v>15495</v>
      </c>
      <c r="B290" s="21">
        <v>18600</v>
      </c>
      <c r="C290" s="21">
        <f>IF(AND(C277&gt;A290,C277&lt;=B290),C277,0)</f>
        <v>0</v>
      </c>
      <c r="D290" s="23">
        <v>0.13450000000000001</v>
      </c>
      <c r="E290" s="31">
        <f t="shared" si="10"/>
        <v>0</v>
      </c>
      <c r="F290" s="25">
        <v>920.65</v>
      </c>
      <c r="G290" s="32">
        <f t="shared" si="8"/>
        <v>0</v>
      </c>
    </row>
    <row r="291" spans="1:7" hidden="1" x14ac:dyDescent="0.2">
      <c r="A291" s="21">
        <f t="shared" si="9"/>
        <v>18600</v>
      </c>
      <c r="B291" s="21">
        <v>186000</v>
      </c>
      <c r="C291" s="21">
        <f>IF(AND(C277&gt;A291,C277&lt;=B291),C277,0)</f>
        <v>0</v>
      </c>
      <c r="D291" s="23">
        <v>0.1166</v>
      </c>
      <c r="E291" s="31">
        <f t="shared" si="10"/>
        <v>0</v>
      </c>
      <c r="F291" s="25">
        <v>4256.04</v>
      </c>
      <c r="G291" s="32">
        <f t="shared" si="8"/>
        <v>0</v>
      </c>
    </row>
    <row r="292" spans="1:7" hidden="1" x14ac:dyDescent="0.2">
      <c r="A292" s="21">
        <f t="shared" si="9"/>
        <v>186000</v>
      </c>
      <c r="B292" s="21">
        <v>999999999</v>
      </c>
      <c r="C292" s="21">
        <f>IF(AND(C277&gt;A292,C277&lt;=B292),C277,0)</f>
        <v>0</v>
      </c>
      <c r="D292" s="23">
        <v>0.1014</v>
      </c>
      <c r="E292" s="31">
        <f t="shared" si="10"/>
        <v>0</v>
      </c>
      <c r="F292" s="25">
        <v>7078.29</v>
      </c>
      <c r="G292" s="32">
        <f t="shared" si="8"/>
        <v>0</v>
      </c>
    </row>
    <row r="293" spans="1:7" hidden="1" x14ac:dyDescent="0.2">
      <c r="A293" s="21"/>
      <c r="B293" s="21"/>
      <c r="C293" s="21"/>
      <c r="D293" s="23"/>
      <c r="E293" s="31"/>
      <c r="F293" s="25"/>
      <c r="G293" s="25"/>
    </row>
    <row r="294" spans="1:7" hidden="1" x14ac:dyDescent="0.2">
      <c r="A294" s="27" t="s">
        <v>40</v>
      </c>
      <c r="B294" s="21"/>
      <c r="C294" s="21"/>
      <c r="D294" s="23"/>
      <c r="E294" s="31">
        <f>SUM(E286:E293)</f>
        <v>0</v>
      </c>
      <c r="F294" s="25"/>
      <c r="G294" s="33">
        <f>SUM(G286:G293)</f>
        <v>0</v>
      </c>
    </row>
    <row r="295" spans="1:7" hidden="1" x14ac:dyDescent="0.2">
      <c r="A295" s="21"/>
      <c r="B295" s="21"/>
      <c r="C295" s="21"/>
      <c r="D295" s="23"/>
      <c r="E295" s="31"/>
      <c r="F295" s="25"/>
      <c r="G295" s="25"/>
    </row>
    <row r="296" spans="1:7" hidden="1" x14ac:dyDescent="0.2">
      <c r="A296" s="27" t="s">
        <v>36</v>
      </c>
      <c r="B296" s="21"/>
      <c r="C296" s="21"/>
      <c r="D296" s="23"/>
      <c r="E296" s="31"/>
      <c r="F296" s="25"/>
      <c r="G296" s="28" t="s">
        <v>37</v>
      </c>
    </row>
    <row r="297" spans="1:7" hidden="1" x14ac:dyDescent="0.2">
      <c r="A297" s="21"/>
      <c r="B297" s="21"/>
      <c r="C297" s="21"/>
      <c r="D297" s="23"/>
      <c r="E297" s="31"/>
      <c r="F297" s="25"/>
      <c r="G297" s="25"/>
    </row>
    <row r="298" spans="1:7" hidden="1" x14ac:dyDescent="0.2">
      <c r="A298" s="21" t="s">
        <v>38</v>
      </c>
      <c r="B298" s="21" t="s">
        <v>39</v>
      </c>
      <c r="C298" s="21"/>
      <c r="D298" s="23"/>
      <c r="E298" s="31"/>
      <c r="F298" s="25"/>
      <c r="G298" s="25"/>
    </row>
    <row r="299" spans="1:7" hidden="1" x14ac:dyDescent="0.2">
      <c r="A299" s="21">
        <v>0</v>
      </c>
      <c r="B299" s="21">
        <v>7500</v>
      </c>
      <c r="C299" s="21">
        <f>IF(AND(C277&gt;A299,C277&lt;=B299),C277,0)</f>
        <v>0</v>
      </c>
      <c r="D299" s="23">
        <v>0.19400000000000001</v>
      </c>
      <c r="E299" s="31">
        <f>D299*C299</f>
        <v>0</v>
      </c>
      <c r="F299" s="25">
        <v>500</v>
      </c>
      <c r="G299" s="32">
        <f t="shared" ref="G299:G305" si="11">IF(E299&gt;0,SUM(E299:F299),0)</f>
        <v>0</v>
      </c>
    </row>
    <row r="300" spans="1:7" hidden="1" x14ac:dyDescent="0.2">
      <c r="A300" s="21">
        <f t="shared" ref="A300:A305" si="12">B299</f>
        <v>7500</v>
      </c>
      <c r="B300" s="21">
        <v>10000</v>
      </c>
      <c r="C300" s="21">
        <f>IF(AND(C277&gt;A300,C277&lt;=B300),C277,0)</f>
        <v>0</v>
      </c>
      <c r="D300" s="23">
        <v>0.18709999999999999</v>
      </c>
      <c r="E300" s="31">
        <f t="shared" ref="E300:E305" si="13">D300*C300</f>
        <v>0</v>
      </c>
      <c r="F300" s="25">
        <v>551.73</v>
      </c>
      <c r="G300" s="32">
        <f t="shared" si="11"/>
        <v>0</v>
      </c>
    </row>
    <row r="301" spans="1:7" hidden="1" x14ac:dyDescent="0.2">
      <c r="A301" s="21">
        <f t="shared" si="12"/>
        <v>10000</v>
      </c>
      <c r="B301" s="21">
        <v>12500</v>
      </c>
      <c r="C301" s="21">
        <f>IF(AND(C277&gt;A301,C277&lt;=B301),C277,0)</f>
        <v>0</v>
      </c>
      <c r="D301" s="23">
        <v>0.1802</v>
      </c>
      <c r="E301" s="31">
        <f t="shared" si="13"/>
        <v>0</v>
      </c>
      <c r="F301" s="25">
        <v>620.71</v>
      </c>
      <c r="G301" s="32">
        <f t="shared" si="11"/>
        <v>0</v>
      </c>
    </row>
    <row r="302" spans="1:7" hidden="1" x14ac:dyDescent="0.2">
      <c r="A302" s="21">
        <f t="shared" si="12"/>
        <v>12500</v>
      </c>
      <c r="B302" s="21">
        <v>15495</v>
      </c>
      <c r="C302" s="21">
        <f>IF(AND(C277&gt;A302,C277&lt;=B302),C277,0)</f>
        <v>0</v>
      </c>
      <c r="D302" s="23">
        <v>0.17330000000000001</v>
      </c>
      <c r="E302" s="31">
        <f t="shared" si="13"/>
        <v>0</v>
      </c>
      <c r="F302" s="25">
        <v>706.91</v>
      </c>
      <c r="G302" s="32">
        <f t="shared" si="11"/>
        <v>0</v>
      </c>
    </row>
    <row r="303" spans="1:7" hidden="1" x14ac:dyDescent="0.2">
      <c r="A303" s="21">
        <f t="shared" si="12"/>
        <v>15495</v>
      </c>
      <c r="B303" s="21">
        <v>18600</v>
      </c>
      <c r="C303" s="21">
        <f>IF(AND(C277&gt;A303,C277&lt;=B303),C277,0)</f>
        <v>0</v>
      </c>
      <c r="D303" s="23">
        <v>0.1595</v>
      </c>
      <c r="E303" s="31">
        <f t="shared" si="13"/>
        <v>0</v>
      </c>
      <c r="F303" s="25">
        <v>920.65</v>
      </c>
      <c r="G303" s="32">
        <f t="shared" si="11"/>
        <v>0</v>
      </c>
    </row>
    <row r="304" spans="1:7" hidden="1" x14ac:dyDescent="0.2">
      <c r="A304" s="21">
        <f t="shared" si="12"/>
        <v>18600</v>
      </c>
      <c r="B304" s="21">
        <v>186000</v>
      </c>
      <c r="C304" s="21">
        <f>IF(AND(C277&gt;A304,C277&lt;=B304),C277,0)</f>
        <v>0</v>
      </c>
      <c r="D304" s="23">
        <v>0.1416</v>
      </c>
      <c r="E304" s="31">
        <f t="shared" si="13"/>
        <v>0</v>
      </c>
      <c r="F304" s="25">
        <v>4256.04</v>
      </c>
      <c r="G304" s="32">
        <f t="shared" si="11"/>
        <v>0</v>
      </c>
    </row>
    <row r="305" spans="1:7" hidden="1" x14ac:dyDescent="0.2">
      <c r="A305" s="21">
        <f t="shared" si="12"/>
        <v>186000</v>
      </c>
      <c r="B305" s="21">
        <v>999999999</v>
      </c>
      <c r="C305" s="21">
        <f>IF(AND(C277&gt;A305,C277&lt;=B305),C277,0)</f>
        <v>0</v>
      </c>
      <c r="D305" s="23">
        <v>0.12640000000000001</v>
      </c>
      <c r="E305" s="31">
        <f t="shared" si="13"/>
        <v>0</v>
      </c>
      <c r="F305" s="25">
        <v>7078.29</v>
      </c>
      <c r="G305" s="32">
        <f t="shared" si="11"/>
        <v>0</v>
      </c>
    </row>
    <row r="306" spans="1:7" hidden="1" x14ac:dyDescent="0.2">
      <c r="A306" s="21"/>
      <c r="B306" s="21"/>
      <c r="C306" s="21"/>
      <c r="D306" s="23"/>
      <c r="E306" s="31"/>
      <c r="F306" s="25"/>
      <c r="G306" s="25"/>
    </row>
    <row r="307" spans="1:7" hidden="1" x14ac:dyDescent="0.2">
      <c r="A307" s="27" t="s">
        <v>41</v>
      </c>
      <c r="B307" s="21"/>
      <c r="C307" s="21"/>
      <c r="D307" s="23"/>
      <c r="E307" s="31"/>
      <c r="F307" s="25"/>
      <c r="G307" s="33">
        <f>SUM(G299:G306)</f>
        <v>0</v>
      </c>
    </row>
    <row r="308" spans="1:7" hidden="1" x14ac:dyDescent="0.2">
      <c r="A308" s="21"/>
      <c r="B308" s="21"/>
      <c r="C308" s="21"/>
      <c r="D308" s="23"/>
      <c r="E308" s="31"/>
      <c r="F308" s="25"/>
      <c r="G308" s="25"/>
    </row>
    <row r="309" spans="1:7" hidden="1" x14ac:dyDescent="0.2">
      <c r="A309" s="27" t="s">
        <v>36</v>
      </c>
      <c r="B309" s="21"/>
      <c r="C309" s="21"/>
      <c r="D309" s="23"/>
      <c r="E309" s="31"/>
      <c r="F309" s="25"/>
      <c r="G309" s="28" t="s">
        <v>37</v>
      </c>
    </row>
    <row r="310" spans="1:7" hidden="1" x14ac:dyDescent="0.2">
      <c r="A310" s="21"/>
      <c r="B310" s="21"/>
      <c r="C310" s="21"/>
      <c r="D310" s="23"/>
      <c r="E310" s="31"/>
      <c r="F310" s="25"/>
      <c r="G310" s="25"/>
    </row>
    <row r="311" spans="1:7" hidden="1" x14ac:dyDescent="0.2">
      <c r="A311" s="21" t="s">
        <v>38</v>
      </c>
      <c r="B311" s="21" t="s">
        <v>39</v>
      </c>
      <c r="C311" s="21"/>
      <c r="D311" s="23"/>
      <c r="E311" s="31"/>
      <c r="F311" s="25"/>
      <c r="G311" s="25"/>
    </row>
    <row r="312" spans="1:7" hidden="1" x14ac:dyDescent="0.2">
      <c r="A312" s="21">
        <v>0</v>
      </c>
      <c r="B312" s="21">
        <v>7500</v>
      </c>
      <c r="C312" s="21">
        <f>IF(AND(C277&gt;A312,C277&lt;=B312),C277,0)</f>
        <v>0</v>
      </c>
      <c r="D312" s="23">
        <v>0.129</v>
      </c>
      <c r="E312" s="31">
        <f>D312*C312</f>
        <v>0</v>
      </c>
      <c r="F312" s="25">
        <v>500</v>
      </c>
      <c r="G312" s="32">
        <f t="shared" ref="G312:G318" si="14">IF(E312&gt;0,SUM(E312:F312),0)</f>
        <v>0</v>
      </c>
    </row>
    <row r="313" spans="1:7" hidden="1" x14ac:dyDescent="0.2">
      <c r="A313" s="21">
        <f t="shared" ref="A313:A318" si="15">B312</f>
        <v>7500</v>
      </c>
      <c r="B313" s="21">
        <v>10000</v>
      </c>
      <c r="C313" s="21">
        <f>IF(AND(C277&gt;A313,C277&lt;=B313),C277,0)</f>
        <v>0</v>
      </c>
      <c r="D313" s="23">
        <v>0.1221</v>
      </c>
      <c r="E313" s="31">
        <f t="shared" ref="E313:E318" si="16">D313*C313</f>
        <v>0</v>
      </c>
      <c r="F313" s="25">
        <v>551.73</v>
      </c>
      <c r="G313" s="32">
        <f t="shared" si="14"/>
        <v>0</v>
      </c>
    </row>
    <row r="314" spans="1:7" hidden="1" x14ac:dyDescent="0.2">
      <c r="A314" s="21">
        <f t="shared" si="15"/>
        <v>10000</v>
      </c>
      <c r="B314" s="21">
        <v>12500</v>
      </c>
      <c r="C314" s="21">
        <f>IF(AND(C277&gt;A314,C277&lt;=B314),C277,0)</f>
        <v>0</v>
      </c>
      <c r="D314" s="23">
        <v>0.1152</v>
      </c>
      <c r="E314" s="31">
        <f t="shared" si="16"/>
        <v>0</v>
      </c>
      <c r="F314" s="25">
        <v>620.71</v>
      </c>
      <c r="G314" s="32">
        <f t="shared" si="14"/>
        <v>0</v>
      </c>
    </row>
    <row r="315" spans="1:7" hidden="1" x14ac:dyDescent="0.2">
      <c r="A315" s="21">
        <f t="shared" si="15"/>
        <v>12500</v>
      </c>
      <c r="B315" s="21">
        <v>15495</v>
      </c>
      <c r="C315" s="21">
        <f>IF(AND(C277&gt;A315,C277&lt;=B315),C277,0)</f>
        <v>0</v>
      </c>
      <c r="D315" s="23">
        <v>0.10829999999999999</v>
      </c>
      <c r="E315" s="31">
        <f t="shared" si="16"/>
        <v>0</v>
      </c>
      <c r="F315" s="25">
        <v>706.91</v>
      </c>
      <c r="G315" s="32">
        <f t="shared" si="14"/>
        <v>0</v>
      </c>
    </row>
    <row r="316" spans="1:7" hidden="1" x14ac:dyDescent="0.2">
      <c r="A316" s="21">
        <f t="shared" si="15"/>
        <v>15495</v>
      </c>
      <c r="B316" s="21">
        <v>18600</v>
      </c>
      <c r="C316" s="21">
        <f>IF(AND(C277&gt;A316,C277&lt;=B316),C277,0)</f>
        <v>0</v>
      </c>
      <c r="D316" s="23">
        <v>9.4500000000000001E-2</v>
      </c>
      <c r="E316" s="31">
        <f t="shared" si="16"/>
        <v>0</v>
      </c>
      <c r="F316" s="25">
        <v>920.65</v>
      </c>
      <c r="G316" s="32">
        <f t="shared" si="14"/>
        <v>0</v>
      </c>
    </row>
    <row r="317" spans="1:7" hidden="1" x14ac:dyDescent="0.2">
      <c r="A317" s="21">
        <f t="shared" si="15"/>
        <v>18600</v>
      </c>
      <c r="B317" s="21">
        <v>186000</v>
      </c>
      <c r="C317" s="21">
        <f>IF(AND(C277&gt;A317,C277&lt;=B317),C277,0)</f>
        <v>0</v>
      </c>
      <c r="D317" s="23">
        <v>7.6600000000000001E-2</v>
      </c>
      <c r="E317" s="31">
        <f t="shared" si="16"/>
        <v>0</v>
      </c>
      <c r="F317" s="25">
        <v>4256.04</v>
      </c>
      <c r="G317" s="32">
        <f t="shared" si="14"/>
        <v>0</v>
      </c>
    </row>
    <row r="318" spans="1:7" hidden="1" x14ac:dyDescent="0.2">
      <c r="A318" s="21">
        <f t="shared" si="15"/>
        <v>186000</v>
      </c>
      <c r="B318" s="21">
        <v>999999999</v>
      </c>
      <c r="C318" s="21">
        <f>IF(AND(C277&gt;A318,C277&lt;=B318),C277,0)</f>
        <v>0</v>
      </c>
      <c r="D318" s="23">
        <v>6.1400000000000003E-2</v>
      </c>
      <c r="E318" s="31">
        <f t="shared" si="16"/>
        <v>0</v>
      </c>
      <c r="F318" s="25">
        <v>7078.29</v>
      </c>
      <c r="G318" s="32">
        <f t="shared" si="14"/>
        <v>0</v>
      </c>
    </row>
    <row r="319" spans="1:7" hidden="1" x14ac:dyDescent="0.2">
      <c r="A319" s="21"/>
      <c r="B319" s="21"/>
      <c r="C319" s="21"/>
      <c r="D319" s="23"/>
      <c r="E319" s="31"/>
      <c r="F319" s="25"/>
      <c r="G319" s="25"/>
    </row>
    <row r="320" spans="1:7" hidden="1" x14ac:dyDescent="0.2">
      <c r="A320" s="27" t="s">
        <v>42</v>
      </c>
      <c r="B320" s="21"/>
      <c r="C320" s="21"/>
      <c r="D320" s="23"/>
      <c r="E320" s="31"/>
      <c r="F320" s="25"/>
      <c r="G320" s="33">
        <f>SUM(G312:G319)</f>
        <v>0</v>
      </c>
    </row>
    <row r="321" spans="1:7" hidden="1" x14ac:dyDescent="0.2">
      <c r="A321" s="21"/>
      <c r="B321" s="21"/>
      <c r="C321" s="21"/>
      <c r="D321" s="23"/>
      <c r="E321" s="31"/>
      <c r="F321" s="25"/>
      <c r="G321" s="25"/>
    </row>
    <row r="322" spans="1:7" hidden="1" x14ac:dyDescent="0.2">
      <c r="A322" s="27" t="s">
        <v>36</v>
      </c>
      <c r="B322" s="21"/>
      <c r="C322" s="21"/>
      <c r="D322" s="23"/>
      <c r="E322" s="31"/>
      <c r="F322" s="25"/>
      <c r="G322" s="28" t="s">
        <v>37</v>
      </c>
    </row>
    <row r="323" spans="1:7" hidden="1" x14ac:dyDescent="0.2">
      <c r="A323" s="21"/>
      <c r="B323" s="21"/>
      <c r="C323" s="21"/>
      <c r="D323" s="23"/>
      <c r="E323" s="31"/>
      <c r="F323" s="25"/>
      <c r="G323" s="25"/>
    </row>
    <row r="324" spans="1:7" hidden="1" x14ac:dyDescent="0.2">
      <c r="A324" s="21" t="s">
        <v>38</v>
      </c>
      <c r="B324" s="21" t="s">
        <v>39</v>
      </c>
      <c r="C324" s="21"/>
      <c r="D324" s="23"/>
      <c r="E324" s="31"/>
      <c r="F324" s="25"/>
      <c r="G324" s="25"/>
    </row>
    <row r="325" spans="1:7" hidden="1" x14ac:dyDescent="0.2">
      <c r="A325" s="21">
        <v>0</v>
      </c>
      <c r="B325" s="21">
        <v>7500</v>
      </c>
      <c r="C325" s="21">
        <f>IF(AND(C277&gt;A325,C277&lt;=B325),C277,0)</f>
        <v>0</v>
      </c>
      <c r="D325" s="23">
        <v>0.11899999999999999</v>
      </c>
      <c r="E325" s="31">
        <f>D325*C325</f>
        <v>0</v>
      </c>
      <c r="F325" s="25">
        <v>500</v>
      </c>
      <c r="G325" s="32">
        <f t="shared" ref="G325:G331" si="17">IF(E325&gt;0,SUM(E325:F325),0)</f>
        <v>0</v>
      </c>
    </row>
    <row r="326" spans="1:7" hidden="1" x14ac:dyDescent="0.2">
      <c r="A326" s="21">
        <f t="shared" ref="A326:A331" si="18">B325</f>
        <v>7500</v>
      </c>
      <c r="B326" s="21">
        <v>10000</v>
      </c>
      <c r="C326" s="21">
        <f>IF(AND(C277&gt;A326,C277&lt;=B326),C277,0)</f>
        <v>0</v>
      </c>
      <c r="D326" s="23">
        <v>0.11210000000000001</v>
      </c>
      <c r="E326" s="31">
        <f t="shared" ref="E326:E331" si="19">D326*C326</f>
        <v>0</v>
      </c>
      <c r="F326" s="25">
        <v>551.73</v>
      </c>
      <c r="G326" s="32">
        <f t="shared" si="17"/>
        <v>0</v>
      </c>
    </row>
    <row r="327" spans="1:7" hidden="1" x14ac:dyDescent="0.2">
      <c r="A327" s="21">
        <f t="shared" si="18"/>
        <v>10000</v>
      </c>
      <c r="B327" s="21">
        <v>12500</v>
      </c>
      <c r="C327" s="21">
        <f>IF(AND(C277&gt;A327,C277&lt;=B327),C277,0)</f>
        <v>0</v>
      </c>
      <c r="D327" s="23">
        <v>0.1052</v>
      </c>
      <c r="E327" s="31">
        <f t="shared" si="19"/>
        <v>0</v>
      </c>
      <c r="F327" s="25">
        <v>620.71</v>
      </c>
      <c r="G327" s="32">
        <f t="shared" si="17"/>
        <v>0</v>
      </c>
    </row>
    <row r="328" spans="1:7" hidden="1" x14ac:dyDescent="0.2">
      <c r="A328" s="21">
        <f t="shared" si="18"/>
        <v>12500</v>
      </c>
      <c r="B328" s="21">
        <v>15495</v>
      </c>
      <c r="C328" s="21">
        <f>IF(AND(C277&gt;A328,C277&lt;=B328),C277,0)</f>
        <v>0</v>
      </c>
      <c r="D328" s="23">
        <v>9.8299999999999998E-2</v>
      </c>
      <c r="E328" s="31">
        <f t="shared" si="19"/>
        <v>0</v>
      </c>
      <c r="F328" s="25">
        <v>706.91</v>
      </c>
      <c r="G328" s="32">
        <f t="shared" si="17"/>
        <v>0</v>
      </c>
    </row>
    <row r="329" spans="1:7" hidden="1" x14ac:dyDescent="0.2">
      <c r="A329" s="21">
        <f t="shared" si="18"/>
        <v>15495</v>
      </c>
      <c r="B329" s="21">
        <v>18600</v>
      </c>
      <c r="C329" s="21">
        <f>IF(AND(C277&gt;A329,C277&lt;=B329),C277,0)</f>
        <v>0</v>
      </c>
      <c r="D329" s="23">
        <v>8.4500000000000006E-2</v>
      </c>
      <c r="E329" s="31">
        <f t="shared" si="19"/>
        <v>0</v>
      </c>
      <c r="F329" s="25">
        <v>920.65</v>
      </c>
      <c r="G329" s="32">
        <f t="shared" si="17"/>
        <v>0</v>
      </c>
    </row>
    <row r="330" spans="1:7" hidden="1" x14ac:dyDescent="0.2">
      <c r="A330" s="21">
        <f t="shared" si="18"/>
        <v>18600</v>
      </c>
      <c r="B330" s="21">
        <v>186000</v>
      </c>
      <c r="C330" s="21">
        <f>IF(AND(C277&gt;A330,C277&lt;=B330),C277,0)</f>
        <v>0</v>
      </c>
      <c r="D330" s="23">
        <v>6.6600000000000006E-2</v>
      </c>
      <c r="E330" s="31">
        <f t="shared" si="19"/>
        <v>0</v>
      </c>
      <c r="F330" s="25">
        <v>4256.04</v>
      </c>
      <c r="G330" s="32">
        <f t="shared" si="17"/>
        <v>0</v>
      </c>
    </row>
    <row r="331" spans="1:7" hidden="1" x14ac:dyDescent="0.2">
      <c r="A331" s="21">
        <f t="shared" si="18"/>
        <v>186000</v>
      </c>
      <c r="B331" s="21">
        <v>999999999</v>
      </c>
      <c r="C331" s="21">
        <f>IF(AND(C277&gt;A331,C277&lt;=B331),C277,0)</f>
        <v>0</v>
      </c>
      <c r="D331" s="23">
        <v>5.1400000000000001E-2</v>
      </c>
      <c r="E331" s="31">
        <f t="shared" si="19"/>
        <v>0</v>
      </c>
      <c r="F331" s="25">
        <v>7078.29</v>
      </c>
      <c r="G331" s="32">
        <f t="shared" si="17"/>
        <v>0</v>
      </c>
    </row>
    <row r="332" spans="1:7" hidden="1" x14ac:dyDescent="0.2"/>
    <row r="333" spans="1:7" hidden="1" x14ac:dyDescent="0.2">
      <c r="G333" s="34">
        <f>SUM(G325:G332)</f>
        <v>0</v>
      </c>
    </row>
    <row r="334" spans="1:7" hidden="1" x14ac:dyDescent="0.2"/>
  </sheetData>
  <sheetProtection algorithmName="SHA-512" hashValue="8PxVwwolZRfHgQf2JIzk9v0ChM37wzfGpCukxd6gCvdENYHEfghMWfsKRO0iJ/08g2ZOVCLrD7Qm51P2G76hWA==" saltValue="17Rjz3EFSNfIbiz9OERDAQ==" spinCount="100000" sheet="1" objects="1" scenarios="1"/>
  <phoneticPr fontId="0" type="noConversion"/>
  <dataValidations count="4">
    <dataValidation type="list" allowBlank="1" showInputMessage="1" showErrorMessage="1" sqref="C8">
      <formula1>$H$66:$H$67</formula1>
    </dataValidation>
    <dataValidation type="list" allowBlank="1" showInputMessage="1" showErrorMessage="1" sqref="F10">
      <formula1>$I$66:$I$67</formula1>
    </dataValidation>
    <dataValidation type="list" allowBlank="1" showInputMessage="1" showErrorMessage="1" sqref="F11">
      <formula1>$J$66:$J$67</formula1>
    </dataValidation>
    <dataValidation type="list" allowBlank="1" showInputMessage="1" showErrorMessage="1" sqref="F12">
      <formula1>$K$66:$K$67</formula1>
    </dataValidation>
  </dataValidations>
  <hyperlinks>
    <hyperlink ref="D30" r:id="rId1"/>
    <hyperlink ref="D31" r:id="rId2"/>
  </hyperlinks>
  <pageMargins left="0.75" right="0.75" top="1" bottom="1" header="0.5" footer="0.5"/>
  <pageSetup paperSize="9" orientation="portrait" r:id="rId3"/>
  <headerFooter alignWithMargins="0"/>
  <legacyDrawing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OVVLA</vt:lpstr>
      <vt:lpstr>OVVLA!Afdrukbereik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Jo Hermans</cp:lastModifiedBy>
  <dcterms:created xsi:type="dcterms:W3CDTF">2012-08-13T15:51:33Z</dcterms:created>
  <dcterms:modified xsi:type="dcterms:W3CDTF">2014-11-10T22:20:55Z</dcterms:modified>
</cp:coreProperties>
</file>