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30" windowWidth="15480" windowHeight="11640"/>
  </bookViews>
  <sheets>
    <sheet name="SCHOV" sheetId="1" r:id="rId1"/>
    <sheet name="Blad1" sheetId="2" state="hidden" r:id="rId2"/>
  </sheets>
  <externalReferences>
    <externalReference r:id="rId3"/>
    <externalReference r:id="rId4"/>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ntal">[1]Notif!#REF!</definedName>
    <definedName name="Aard">#REF!</definedName>
    <definedName name="_xlnm.Print_Area" localSheetId="0">SCHOV!$A$1:$J$87</definedName>
    <definedName name="Afgehandelddoor">[1]Notif!#REF!</definedName>
    <definedName name="BTW">[1]Notif!#REF!</definedName>
    <definedName name="Conf">[2]NOT!$A$1:$T$65536</definedName>
    <definedName name="Confraters">[2]VK!$A$1</definedName>
    <definedName name="Datum">#REF!</definedName>
    <definedName name="Factuurdatum">[1]Notif!#REF!</definedName>
    <definedName name="Factuurnummer">[1]Notif!#REF!</definedName>
    <definedName name="gemeentelijke_info">#REF!</definedName>
    <definedName name="kantoor">[2]VK!$B$1</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js">[1]Notif!#REF!</definedName>
    <definedName name="Print_Area_Reset">OFFSET(Full_Print,0,0,Last_Row)</definedName>
    <definedName name="Rep.">#REF!</definedName>
    <definedName name="Totaal">[1]Notif!#REF!</definedName>
    <definedName name="Totaalprijs">[1]Notif!#REF!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AL159" i="1" l="1"/>
  <c r="AK159" i="1"/>
  <c r="AJ159" i="1"/>
  <c r="AI159" i="1"/>
  <c r="AH159" i="1"/>
  <c r="AG159" i="1"/>
  <c r="AF159" i="1"/>
  <c r="AE159" i="1"/>
  <c r="N131" i="1"/>
  <c r="K131" i="1"/>
  <c r="J131" i="1"/>
  <c r="I131" i="1"/>
  <c r="H131" i="1"/>
  <c r="G131" i="1"/>
  <c r="F131" i="1"/>
  <c r="A131" i="1"/>
  <c r="T1060" i="2" l="1"/>
  <c r="N1060" i="2"/>
  <c r="T1059" i="2"/>
  <c r="N1059" i="2"/>
  <c r="T1058" i="2"/>
  <c r="N1058" i="2"/>
  <c r="T1057" i="2"/>
  <c r="N1057" i="2"/>
  <c r="T1056" i="2"/>
  <c r="N1056" i="2"/>
  <c r="T1055" i="2"/>
  <c r="N1055" i="2"/>
  <c r="T1054" i="2"/>
  <c r="N1054" i="2"/>
  <c r="T1053" i="2"/>
  <c r="N1053" i="2"/>
  <c r="T957" i="2"/>
  <c r="N957" i="2"/>
  <c r="T956" i="2"/>
  <c r="N956" i="2"/>
  <c r="T955" i="2"/>
  <c r="N955" i="2"/>
  <c r="T954" i="2"/>
  <c r="N954" i="2"/>
  <c r="T953" i="2"/>
  <c r="N953" i="2"/>
  <c r="T952" i="2"/>
  <c r="N952" i="2"/>
  <c r="T951" i="2"/>
  <c r="N951" i="2"/>
  <c r="T950" i="2"/>
  <c r="N950" i="2"/>
  <c r="T854" i="2"/>
  <c r="N854" i="2"/>
  <c r="T853" i="2"/>
  <c r="N853" i="2"/>
  <c r="T852" i="2"/>
  <c r="N852" i="2"/>
  <c r="T851" i="2"/>
  <c r="N851" i="2"/>
  <c r="T850" i="2"/>
  <c r="N850" i="2"/>
  <c r="T849" i="2"/>
  <c r="N849" i="2"/>
  <c r="T848" i="2"/>
  <c r="N848" i="2"/>
  <c r="T847" i="2"/>
  <c r="N847" i="2"/>
  <c r="T751" i="2"/>
  <c r="N751" i="2"/>
  <c r="T750" i="2"/>
  <c r="N750" i="2"/>
  <c r="T749" i="2"/>
  <c r="N749" i="2"/>
  <c r="T748" i="2"/>
  <c r="N748" i="2"/>
  <c r="T747" i="2"/>
  <c r="N747" i="2"/>
  <c r="T746" i="2"/>
  <c r="N746" i="2"/>
  <c r="T745" i="2"/>
  <c r="N745" i="2"/>
  <c r="T744" i="2"/>
  <c r="N744" i="2"/>
  <c r="T648" i="2"/>
  <c r="N648" i="2"/>
  <c r="T647" i="2"/>
  <c r="N647" i="2"/>
  <c r="T646" i="2"/>
  <c r="N646" i="2"/>
  <c r="T645" i="2"/>
  <c r="N645" i="2"/>
  <c r="T644" i="2"/>
  <c r="N644" i="2"/>
  <c r="T643" i="2"/>
  <c r="N643" i="2"/>
  <c r="T642" i="2"/>
  <c r="N642" i="2"/>
  <c r="T641" i="2"/>
  <c r="N641" i="2"/>
  <c r="T545" i="2"/>
  <c r="N545" i="2"/>
  <c r="T544" i="2"/>
  <c r="N544" i="2"/>
  <c r="T543" i="2"/>
  <c r="N543" i="2"/>
  <c r="T542" i="2"/>
  <c r="N542" i="2"/>
  <c r="T541" i="2"/>
  <c r="N541" i="2"/>
  <c r="T540" i="2"/>
  <c r="N540" i="2"/>
  <c r="T539" i="2"/>
  <c r="N539" i="2"/>
  <c r="T538" i="2"/>
  <c r="N538" i="2"/>
  <c r="T442" i="2"/>
  <c r="N442" i="2"/>
  <c r="T441" i="2"/>
  <c r="N441" i="2"/>
  <c r="T440" i="2"/>
  <c r="N440" i="2"/>
  <c r="T439" i="2"/>
  <c r="N439" i="2"/>
  <c r="T438" i="2"/>
  <c r="N438" i="2"/>
  <c r="T437" i="2"/>
  <c r="N437" i="2"/>
  <c r="T436" i="2"/>
  <c r="N436" i="2"/>
  <c r="T435" i="2"/>
  <c r="N435" i="2"/>
  <c r="T339" i="2"/>
  <c r="N339" i="2"/>
  <c r="T338" i="2"/>
  <c r="N338" i="2"/>
  <c r="T337" i="2"/>
  <c r="N337" i="2"/>
  <c r="T336" i="2"/>
  <c r="N336" i="2"/>
  <c r="T335" i="2"/>
  <c r="N335" i="2"/>
  <c r="T334" i="2"/>
  <c r="N334" i="2"/>
  <c r="T332" i="2"/>
  <c r="N332" i="2"/>
  <c r="T203" i="2"/>
  <c r="N203" i="2"/>
  <c r="T202" i="2"/>
  <c r="N202" i="2"/>
  <c r="T201" i="2"/>
  <c r="N201" i="2"/>
  <c r="T200" i="2"/>
  <c r="N200" i="2"/>
  <c r="T199" i="2"/>
  <c r="N199" i="2"/>
  <c r="T198" i="2"/>
  <c r="N198" i="2"/>
  <c r="T196" i="2"/>
  <c r="N196" i="2"/>
  <c r="T1060" i="1"/>
  <c r="N1060" i="1"/>
  <c r="T1059" i="1"/>
  <c r="N1059" i="1"/>
  <c r="T1058" i="1"/>
  <c r="N1058" i="1"/>
  <c r="T1057" i="1"/>
  <c r="N1057" i="1"/>
  <c r="T1056" i="1"/>
  <c r="N1056" i="1"/>
  <c r="T1055" i="1"/>
  <c r="N1055" i="1"/>
  <c r="T1054" i="1"/>
  <c r="N1054" i="1"/>
  <c r="T1053" i="1"/>
  <c r="N1053" i="1"/>
  <c r="T957" i="1"/>
  <c r="N957" i="1"/>
  <c r="T956" i="1"/>
  <c r="N956" i="1"/>
  <c r="T955" i="1"/>
  <c r="N955" i="1"/>
  <c r="T954" i="1"/>
  <c r="N954" i="1"/>
  <c r="T953" i="1"/>
  <c r="N953" i="1"/>
  <c r="T952" i="1"/>
  <c r="N952" i="1"/>
  <c r="T951" i="1"/>
  <c r="N951" i="1"/>
  <c r="T950" i="1"/>
  <c r="N950" i="1"/>
  <c r="T854" i="1"/>
  <c r="N854" i="1"/>
  <c r="T853" i="1"/>
  <c r="N853" i="1"/>
  <c r="T852" i="1"/>
  <c r="N852" i="1"/>
  <c r="T851" i="1"/>
  <c r="N851" i="1"/>
  <c r="T850" i="1"/>
  <c r="N850" i="1"/>
  <c r="T849" i="1"/>
  <c r="N849" i="1"/>
  <c r="T848" i="1"/>
  <c r="N848" i="1"/>
  <c r="T847" i="1"/>
  <c r="N847" i="1"/>
  <c r="T751" i="1"/>
  <c r="N751" i="1"/>
  <c r="T750" i="1"/>
  <c r="N750" i="1"/>
  <c r="T749" i="1"/>
  <c r="N749" i="1"/>
  <c r="T748" i="1"/>
  <c r="N748" i="1"/>
  <c r="T747" i="1"/>
  <c r="N747" i="1"/>
  <c r="T746" i="1"/>
  <c r="N746" i="1"/>
  <c r="T745" i="1"/>
  <c r="N745" i="1"/>
  <c r="T744" i="1"/>
  <c r="N744" i="1"/>
  <c r="T648" i="1"/>
  <c r="N648" i="1"/>
  <c r="T647" i="1"/>
  <c r="N647" i="1"/>
  <c r="T646" i="1"/>
  <c r="N646" i="1"/>
  <c r="T645" i="1"/>
  <c r="N645" i="1"/>
  <c r="T644" i="1"/>
  <c r="N644" i="1"/>
  <c r="T643" i="1"/>
  <c r="N643" i="1"/>
  <c r="T642" i="1"/>
  <c r="N642" i="1"/>
  <c r="T641" i="1"/>
  <c r="N641" i="1"/>
  <c r="T545" i="1"/>
  <c r="N545" i="1"/>
  <c r="T544" i="1"/>
  <c r="N544" i="1"/>
  <c r="T543" i="1"/>
  <c r="N543" i="1"/>
  <c r="T542" i="1"/>
  <c r="N542" i="1"/>
  <c r="T541" i="1"/>
  <c r="N541" i="1"/>
  <c r="T540" i="1"/>
  <c r="N540" i="1"/>
  <c r="T539" i="1"/>
  <c r="N539" i="1"/>
  <c r="T538" i="1"/>
  <c r="N538" i="1"/>
  <c r="T442" i="1"/>
  <c r="N442" i="1"/>
  <c r="T441" i="1"/>
  <c r="N441" i="1"/>
  <c r="T440" i="1"/>
  <c r="N440" i="1"/>
  <c r="T439" i="1"/>
  <c r="N439" i="1"/>
  <c r="T438" i="1"/>
  <c r="N438" i="1"/>
  <c r="T437" i="1"/>
  <c r="N437" i="1"/>
  <c r="T436" i="1"/>
  <c r="N436" i="1"/>
  <c r="T435" i="1"/>
  <c r="N435" i="1"/>
  <c r="T339" i="1"/>
  <c r="N339" i="1"/>
  <c r="T338" i="1"/>
  <c r="N338" i="1"/>
  <c r="T337" i="1"/>
  <c r="N337" i="1"/>
  <c r="T336" i="1"/>
  <c r="N336" i="1"/>
  <c r="T335" i="1"/>
  <c r="N335" i="1"/>
  <c r="T334" i="1"/>
  <c r="N334" i="1"/>
  <c r="T332" i="1"/>
  <c r="N332" i="1"/>
  <c r="T203" i="1"/>
  <c r="N203" i="1"/>
  <c r="T202" i="1"/>
  <c r="N202" i="1"/>
  <c r="T201" i="1"/>
  <c r="N201" i="1"/>
  <c r="T200" i="1"/>
  <c r="N200" i="1"/>
  <c r="T199" i="1"/>
  <c r="N199" i="1"/>
  <c r="T198" i="1"/>
  <c r="N198" i="1"/>
  <c r="T196" i="1"/>
  <c r="N196" i="1"/>
  <c r="J1056" i="2"/>
  <c r="J1055" i="2"/>
  <c r="J1054" i="2"/>
  <c r="J1053" i="2"/>
  <c r="J1052" i="2"/>
  <c r="J1051" i="2"/>
  <c r="J1049" i="2"/>
  <c r="J1048" i="2"/>
  <c r="J1047" i="2"/>
  <c r="J953" i="2"/>
  <c r="J952" i="2"/>
  <c r="J951" i="2"/>
  <c r="J950" i="2"/>
  <c r="J949" i="2"/>
  <c r="J948" i="2"/>
  <c r="J946" i="2"/>
  <c r="J945" i="2"/>
  <c r="J944" i="2"/>
  <c r="J850" i="2"/>
  <c r="J849" i="2"/>
  <c r="J848" i="2"/>
  <c r="J847" i="2"/>
  <c r="J846" i="2"/>
  <c r="J845" i="2"/>
  <c r="J843" i="2"/>
  <c r="J842" i="2"/>
  <c r="J841" i="2"/>
  <c r="J747" i="2"/>
  <c r="J746" i="2"/>
  <c r="J745" i="2"/>
  <c r="J744" i="2"/>
  <c r="J743" i="2"/>
  <c r="J742" i="2"/>
  <c r="J740" i="2"/>
  <c r="J739" i="2"/>
  <c r="J738" i="2"/>
  <c r="J644" i="2"/>
  <c r="J643" i="2"/>
  <c r="J642" i="2"/>
  <c r="J641" i="2"/>
  <c r="J640" i="2"/>
  <c r="J639" i="2"/>
  <c r="J637" i="2"/>
  <c r="J636" i="2"/>
  <c r="J635" i="2"/>
  <c r="J541" i="2"/>
  <c r="J540" i="2"/>
  <c r="J539" i="2"/>
  <c r="J538" i="2"/>
  <c r="J537" i="2"/>
  <c r="J536" i="2"/>
  <c r="J534" i="2"/>
  <c r="J533" i="2"/>
  <c r="J532" i="2"/>
  <c r="J438" i="2"/>
  <c r="J437" i="2"/>
  <c r="J436" i="2"/>
  <c r="J435" i="2"/>
  <c r="J434" i="2"/>
  <c r="J433" i="2"/>
  <c r="J431" i="2"/>
  <c r="J430" i="2"/>
  <c r="J429" i="2"/>
  <c r="J335" i="2"/>
  <c r="J334" i="2"/>
  <c r="J333" i="2"/>
  <c r="J332" i="2"/>
  <c r="J331" i="2"/>
  <c r="J330" i="2"/>
  <c r="J328" i="2"/>
  <c r="J327" i="2"/>
  <c r="J326" i="2"/>
  <c r="J199" i="2"/>
  <c r="J198" i="2"/>
  <c r="J197" i="2"/>
  <c r="J196" i="2"/>
  <c r="J195" i="2"/>
  <c r="J194" i="2"/>
  <c r="J193" i="2"/>
  <c r="J192" i="2"/>
  <c r="J190" i="2"/>
  <c r="A128" i="2"/>
  <c r="J1056" i="1"/>
  <c r="J1055" i="1"/>
  <c r="J1054" i="1"/>
  <c r="J1053" i="1"/>
  <c r="J1052" i="1"/>
  <c r="J1051" i="1"/>
  <c r="J1049" i="1"/>
  <c r="J1048" i="1"/>
  <c r="J1047" i="1"/>
  <c r="J953" i="1"/>
  <c r="J952" i="1"/>
  <c r="J951" i="1"/>
  <c r="J950" i="1"/>
  <c r="J949" i="1"/>
  <c r="J948" i="1"/>
  <c r="J946" i="1"/>
  <c r="J945" i="1"/>
  <c r="J944" i="1"/>
  <c r="J850" i="1"/>
  <c r="J849" i="1"/>
  <c r="J848" i="1"/>
  <c r="J847" i="1"/>
  <c r="J846" i="1"/>
  <c r="J845" i="1"/>
  <c r="J843" i="1"/>
  <c r="J842" i="1"/>
  <c r="J841" i="1"/>
  <c r="J747" i="1"/>
  <c r="J746" i="1"/>
  <c r="J745" i="1"/>
  <c r="J744" i="1"/>
  <c r="J743" i="1"/>
  <c r="J742" i="1"/>
  <c r="J740" i="1"/>
  <c r="J739" i="1"/>
  <c r="J738" i="1"/>
  <c r="J644" i="1"/>
  <c r="J643" i="1"/>
  <c r="J642" i="1"/>
  <c r="J641" i="1"/>
  <c r="J640" i="1"/>
  <c r="J639" i="1"/>
  <c r="J637" i="1"/>
  <c r="J636" i="1"/>
  <c r="J635" i="1"/>
  <c r="J541" i="1"/>
  <c r="J540" i="1"/>
  <c r="J539" i="1"/>
  <c r="J538" i="1"/>
  <c r="J537" i="1"/>
  <c r="J536" i="1"/>
  <c r="J534" i="1"/>
  <c r="J533" i="1"/>
  <c r="J532" i="1"/>
  <c r="J438" i="1"/>
  <c r="J437" i="1"/>
  <c r="J436" i="1"/>
  <c r="J435" i="1"/>
  <c r="J434" i="1"/>
  <c r="J433" i="1"/>
  <c r="J431" i="1"/>
  <c r="J430" i="1"/>
  <c r="J429" i="1"/>
  <c r="J335" i="1"/>
  <c r="J334" i="1"/>
  <c r="J333" i="1"/>
  <c r="J332" i="1"/>
  <c r="J331" i="1"/>
  <c r="J330" i="1"/>
  <c r="J328" i="1"/>
  <c r="J326" i="1"/>
  <c r="N120" i="1"/>
  <c r="X120" i="1" s="1"/>
  <c r="N118" i="1"/>
  <c r="X118" i="1" s="1"/>
  <c r="N116" i="1"/>
  <c r="X116" i="1" s="1"/>
  <c r="N114" i="1"/>
  <c r="X114" i="1" s="1"/>
  <c r="N112" i="1"/>
  <c r="X112" i="1" s="1"/>
  <c r="N110" i="1"/>
  <c r="X110" i="1" s="1"/>
  <c r="N108" i="1"/>
  <c r="X108" i="1" s="1"/>
  <c r="N106" i="1"/>
  <c r="X106" i="1" s="1"/>
  <c r="N104" i="1"/>
  <c r="X104" i="1" s="1"/>
  <c r="N102" i="1"/>
  <c r="X102" i="1" s="1"/>
  <c r="N100" i="1"/>
  <c r="X100" i="1" s="1"/>
  <c r="K120" i="1"/>
  <c r="W120" i="1" s="1"/>
  <c r="K118" i="1"/>
  <c r="W118" i="1" s="1"/>
  <c r="K116" i="1"/>
  <c r="W116" i="1" s="1"/>
  <c r="K114" i="1"/>
  <c r="W114" i="1" s="1"/>
  <c r="K112" i="1"/>
  <c r="W112" i="1" s="1"/>
  <c r="K110" i="1"/>
  <c r="W110" i="1" s="1"/>
  <c r="K108" i="1"/>
  <c r="W108" i="1" s="1"/>
  <c r="K106" i="1"/>
  <c r="W106" i="1" s="1"/>
  <c r="K104" i="1"/>
  <c r="W104" i="1" s="1"/>
  <c r="K102" i="1"/>
  <c r="W102" i="1" s="1"/>
  <c r="K100" i="1"/>
  <c r="W100" i="1" s="1"/>
  <c r="J120" i="1"/>
  <c r="V120" i="1" s="1"/>
  <c r="J118" i="1"/>
  <c r="V118" i="1" s="1"/>
  <c r="J116" i="1"/>
  <c r="V116" i="1" s="1"/>
  <c r="J114" i="1"/>
  <c r="V114" i="1" s="1"/>
  <c r="J112" i="1"/>
  <c r="V112" i="1" s="1"/>
  <c r="J110" i="1"/>
  <c r="V110" i="1" s="1"/>
  <c r="J108" i="1"/>
  <c r="V108" i="1" s="1"/>
  <c r="J106" i="1"/>
  <c r="V106" i="1" s="1"/>
  <c r="V137" i="1" s="1"/>
  <c r="J104" i="1"/>
  <c r="V104" i="1" s="1"/>
  <c r="J102" i="1"/>
  <c r="V102" i="1" s="1"/>
  <c r="J100" i="1"/>
  <c r="V100" i="1" s="1"/>
  <c r="I120" i="1"/>
  <c r="U120" i="1" s="1"/>
  <c r="I118" i="1"/>
  <c r="U118" i="1" s="1"/>
  <c r="I116" i="1"/>
  <c r="U116" i="1" s="1"/>
  <c r="I114" i="1"/>
  <c r="U114" i="1" s="1"/>
  <c r="I112" i="1"/>
  <c r="U112" i="1" s="1"/>
  <c r="I110" i="1"/>
  <c r="U110" i="1" s="1"/>
  <c r="I108" i="1"/>
  <c r="U108" i="1" s="1"/>
  <c r="I106" i="1"/>
  <c r="U106" i="1" s="1"/>
  <c r="I104" i="1"/>
  <c r="U104" i="1" s="1"/>
  <c r="I102" i="1"/>
  <c r="U102" i="1" s="1"/>
  <c r="I100" i="1"/>
  <c r="U100" i="1" s="1"/>
  <c r="G102" i="1"/>
  <c r="S102" i="1" s="1"/>
  <c r="G120" i="1"/>
  <c r="S120" i="1" s="1"/>
  <c r="G118" i="1"/>
  <c r="S118" i="1" s="1"/>
  <c r="G116" i="1"/>
  <c r="S116" i="1" s="1"/>
  <c r="G114" i="1"/>
  <c r="S114" i="1" s="1"/>
  <c r="G112" i="1"/>
  <c r="S112" i="1" s="1"/>
  <c r="G110" i="1"/>
  <c r="S110" i="1" s="1"/>
  <c r="G108" i="1"/>
  <c r="S108" i="1" s="1"/>
  <c r="G106" i="1"/>
  <c r="S106" i="1" s="1"/>
  <c r="S137" i="1" s="1"/>
  <c r="G104" i="1"/>
  <c r="S104" i="1" s="1"/>
  <c r="H120" i="1"/>
  <c r="T120" i="1" s="1"/>
  <c r="H118" i="1"/>
  <c r="T118" i="1" s="1"/>
  <c r="H116" i="1"/>
  <c r="T116" i="1" s="1"/>
  <c r="H114" i="1"/>
  <c r="T114" i="1" s="1"/>
  <c r="H112" i="1"/>
  <c r="T112" i="1" s="1"/>
  <c r="H110" i="1"/>
  <c r="T110" i="1" s="1"/>
  <c r="H108" i="1"/>
  <c r="T108" i="1" s="1"/>
  <c r="H106" i="1"/>
  <c r="T106" i="1" s="1"/>
  <c r="H104" i="1"/>
  <c r="T104" i="1" s="1"/>
  <c r="H102" i="1"/>
  <c r="T102" i="1" s="1"/>
  <c r="T131" i="1" s="1"/>
  <c r="H100" i="1"/>
  <c r="T100" i="1" s="1"/>
  <c r="X151" i="1"/>
  <c r="X149" i="1"/>
  <c r="X147" i="1"/>
  <c r="X145" i="1"/>
  <c r="X143" i="1"/>
  <c r="X141" i="1"/>
  <c r="X139" i="1"/>
  <c r="X137" i="1"/>
  <c r="X133" i="1"/>
  <c r="X131" i="1"/>
  <c r="X129" i="1"/>
  <c r="W151" i="1"/>
  <c r="W149" i="1"/>
  <c r="W147" i="1"/>
  <c r="W145" i="1"/>
  <c r="W143" i="1"/>
  <c r="W141" i="1"/>
  <c r="W139" i="1"/>
  <c r="W137" i="1"/>
  <c r="W133" i="1"/>
  <c r="W131" i="1"/>
  <c r="W129" i="1"/>
  <c r="V151" i="1"/>
  <c r="V149" i="1"/>
  <c r="V147" i="1"/>
  <c r="V145" i="1"/>
  <c r="V143" i="1"/>
  <c r="V141" i="1"/>
  <c r="V139" i="1"/>
  <c r="V133" i="1"/>
  <c r="V131" i="1"/>
  <c r="V129" i="1"/>
  <c r="U151" i="1"/>
  <c r="U149" i="1"/>
  <c r="U147" i="1"/>
  <c r="U145" i="1"/>
  <c r="U143" i="1"/>
  <c r="U141" i="1"/>
  <c r="U139" i="1"/>
  <c r="U137" i="1"/>
  <c r="U133" i="1"/>
  <c r="U131" i="1"/>
  <c r="U129" i="1"/>
  <c r="T151" i="1"/>
  <c r="T149" i="1"/>
  <c r="T147" i="1"/>
  <c r="T145" i="1"/>
  <c r="T143" i="1"/>
  <c r="T141" i="1"/>
  <c r="T139" i="1"/>
  <c r="T137" i="1"/>
  <c r="T133" i="1"/>
  <c r="T129" i="1"/>
  <c r="S151" i="1"/>
  <c r="S149" i="1"/>
  <c r="S147" i="1"/>
  <c r="S145" i="1"/>
  <c r="S143" i="1"/>
  <c r="S141" i="1"/>
  <c r="S139" i="1"/>
  <c r="S133" i="1"/>
  <c r="S131" i="1"/>
  <c r="G100" i="1" l="1"/>
  <c r="S100" i="1" s="1"/>
  <c r="S129" i="1" s="1"/>
  <c r="F120" i="1"/>
  <c r="R120" i="1" s="1"/>
  <c r="F118" i="1"/>
  <c r="R118" i="1" s="1"/>
  <c r="F116" i="1"/>
  <c r="R116" i="1" s="1"/>
  <c r="F114" i="1"/>
  <c r="R114" i="1" s="1"/>
  <c r="F112" i="1"/>
  <c r="R112" i="1" s="1"/>
  <c r="F110" i="1"/>
  <c r="R110" i="1" s="1"/>
  <c r="F108" i="1"/>
  <c r="R108" i="1" s="1"/>
  <c r="F106" i="1"/>
  <c r="R106" i="1" s="1"/>
  <c r="R137" i="1" s="1"/>
  <c r="F104" i="1"/>
  <c r="R104" i="1" s="1"/>
  <c r="F102" i="1"/>
  <c r="R102" i="1" s="1"/>
  <c r="F100" i="1"/>
  <c r="R100" i="1" s="1"/>
  <c r="R151" i="1"/>
  <c r="R149" i="1"/>
  <c r="R147" i="1"/>
  <c r="R145" i="1"/>
  <c r="R143" i="1"/>
  <c r="R141" i="1"/>
  <c r="R139" i="1"/>
  <c r="R133" i="1"/>
  <c r="R131" i="1"/>
  <c r="R129" i="1"/>
  <c r="E120" i="1"/>
  <c r="Q120" i="1" s="1"/>
  <c r="E118" i="1"/>
  <c r="Q118" i="1" s="1"/>
  <c r="E116" i="1"/>
  <c r="Q116" i="1" s="1"/>
  <c r="E114" i="1"/>
  <c r="Q114" i="1" s="1"/>
  <c r="E112" i="1"/>
  <c r="Q112" i="1" s="1"/>
  <c r="E110" i="1"/>
  <c r="Q110" i="1" s="1"/>
  <c r="E108" i="1"/>
  <c r="Q108" i="1" s="1"/>
  <c r="E106" i="1"/>
  <c r="Q106" i="1" s="1"/>
  <c r="E104" i="1"/>
  <c r="Q104" i="1" s="1"/>
  <c r="E102" i="1"/>
  <c r="Q102" i="1" s="1"/>
  <c r="Q151" i="1"/>
  <c r="Q149" i="1"/>
  <c r="Q147" i="1"/>
  <c r="Q145" i="1"/>
  <c r="Q143" i="1"/>
  <c r="Q141" i="1"/>
  <c r="Q139" i="1"/>
  <c r="Q137" i="1"/>
  <c r="Q133" i="1"/>
  <c r="Q131" i="1"/>
  <c r="Q129" i="1"/>
  <c r="E100" i="1"/>
  <c r="Q100" i="1" s="1"/>
  <c r="N133" i="1"/>
  <c r="N129" i="1"/>
  <c r="N135" i="1"/>
  <c r="K133" i="1"/>
  <c r="K129" i="1"/>
  <c r="K135" i="1"/>
  <c r="J133" i="1"/>
  <c r="J135" i="1"/>
  <c r="I133" i="1"/>
  <c r="I135" i="1"/>
  <c r="H133" i="1"/>
  <c r="H135" i="1"/>
  <c r="G133" i="1"/>
  <c r="F133" i="1"/>
  <c r="E133" i="1"/>
  <c r="E129" i="1"/>
  <c r="A1069" i="2" l="1"/>
  <c r="A1068" i="2"/>
  <c r="A1067" i="2"/>
  <c r="A1061" i="2"/>
  <c r="O1060" i="2"/>
  <c r="A1060" i="2"/>
  <c r="O1059" i="2"/>
  <c r="A1059" i="2"/>
  <c r="O1058" i="2"/>
  <c r="A1058" i="2"/>
  <c r="O1057" i="2"/>
  <c r="A1057" i="2"/>
  <c r="O1056" i="2"/>
  <c r="A1056" i="2"/>
  <c r="O1055" i="2"/>
  <c r="A1055" i="2"/>
  <c r="O1054" i="2"/>
  <c r="A1054" i="2"/>
  <c r="O1053" i="2"/>
  <c r="A966" i="2"/>
  <c r="A965" i="2"/>
  <c r="A964" i="2"/>
  <c r="A958" i="2"/>
  <c r="O957" i="2"/>
  <c r="A957" i="2"/>
  <c r="O956" i="2"/>
  <c r="A956" i="2"/>
  <c r="O955" i="2"/>
  <c r="A955" i="2"/>
  <c r="O954" i="2"/>
  <c r="A954" i="2"/>
  <c r="O953" i="2"/>
  <c r="A953" i="2"/>
  <c r="O952" i="2"/>
  <c r="A952" i="2"/>
  <c r="O951" i="2"/>
  <c r="A951" i="2"/>
  <c r="O950" i="2"/>
  <c r="A863" i="2"/>
  <c r="A862" i="2"/>
  <c r="A861" i="2"/>
  <c r="A855" i="2"/>
  <c r="O854" i="2"/>
  <c r="A854" i="2"/>
  <c r="O853" i="2"/>
  <c r="A853" i="2"/>
  <c r="O852" i="2"/>
  <c r="A852" i="2"/>
  <c r="O851" i="2"/>
  <c r="A851" i="2"/>
  <c r="O850" i="2"/>
  <c r="A850" i="2"/>
  <c r="O849" i="2"/>
  <c r="A849" i="2"/>
  <c r="O848" i="2"/>
  <c r="A848" i="2"/>
  <c r="O847" i="2"/>
  <c r="A760" i="2"/>
  <c r="A759" i="2"/>
  <c r="A758" i="2"/>
  <c r="A752" i="2"/>
  <c r="O751" i="2"/>
  <c r="A751" i="2"/>
  <c r="O750" i="2"/>
  <c r="A750" i="2"/>
  <c r="O749" i="2"/>
  <c r="A749" i="2"/>
  <c r="O748" i="2"/>
  <c r="A748" i="2"/>
  <c r="O747" i="2"/>
  <c r="A747" i="2"/>
  <c r="O746" i="2"/>
  <c r="A746" i="2"/>
  <c r="O745" i="2"/>
  <c r="A745" i="2"/>
  <c r="O744" i="2"/>
  <c r="A657" i="2"/>
  <c r="A656" i="2"/>
  <c r="A655" i="2"/>
  <c r="A649" i="2"/>
  <c r="O648" i="2"/>
  <c r="A648" i="2"/>
  <c r="O647" i="2"/>
  <c r="A647" i="2"/>
  <c r="O646" i="2"/>
  <c r="A646" i="2"/>
  <c r="O645" i="2"/>
  <c r="A645" i="2"/>
  <c r="O644" i="2"/>
  <c r="A644" i="2"/>
  <c r="O643" i="2"/>
  <c r="A643" i="2"/>
  <c r="O642" i="2"/>
  <c r="A642" i="2"/>
  <c r="O641" i="2"/>
  <c r="A554" i="2"/>
  <c r="A553" i="2"/>
  <c r="A552" i="2"/>
  <c r="A546" i="2"/>
  <c r="O545" i="2"/>
  <c r="A545" i="2"/>
  <c r="O544" i="2"/>
  <c r="A544" i="2"/>
  <c r="O543" i="2"/>
  <c r="A543" i="2"/>
  <c r="O542" i="2"/>
  <c r="A542" i="2"/>
  <c r="O541" i="2"/>
  <c r="A541" i="2"/>
  <c r="O540" i="2"/>
  <c r="A540" i="2"/>
  <c r="O539" i="2"/>
  <c r="A539" i="2"/>
  <c r="O538" i="2"/>
  <c r="A451" i="2"/>
  <c r="A450" i="2"/>
  <c r="A449" i="2"/>
  <c r="A443" i="2"/>
  <c r="O442" i="2"/>
  <c r="A442" i="2"/>
  <c r="O441" i="2"/>
  <c r="A441" i="2"/>
  <c r="O440" i="2"/>
  <c r="A440" i="2"/>
  <c r="O439" i="2"/>
  <c r="A439" i="2"/>
  <c r="O438" i="2"/>
  <c r="A438" i="2"/>
  <c r="O437" i="2"/>
  <c r="A437" i="2"/>
  <c r="O436" i="2"/>
  <c r="A436" i="2"/>
  <c r="O435" i="2"/>
  <c r="A348" i="2"/>
  <c r="A347" i="2"/>
  <c r="A346" i="2"/>
  <c r="A340" i="2"/>
  <c r="O339" i="2"/>
  <c r="A339" i="2"/>
  <c r="O338" i="2"/>
  <c r="A338" i="2"/>
  <c r="O337" i="2"/>
  <c r="A337" i="2"/>
  <c r="O336" i="2"/>
  <c r="A336" i="2"/>
  <c r="O335" i="2"/>
  <c r="A335" i="2"/>
  <c r="O334" i="2"/>
  <c r="A334" i="2"/>
  <c r="A333" i="2"/>
  <c r="O332" i="2"/>
  <c r="A212" i="2"/>
  <c r="A211" i="2"/>
  <c r="A210" i="2"/>
  <c r="A204" i="2"/>
  <c r="O203" i="2"/>
  <c r="A203" i="2"/>
  <c r="O202" i="2"/>
  <c r="A202" i="2"/>
  <c r="O201" i="2"/>
  <c r="A201" i="2"/>
  <c r="O200" i="2"/>
  <c r="A200" i="2"/>
  <c r="O199" i="2"/>
  <c r="A199" i="2"/>
  <c r="O198" i="2"/>
  <c r="A198" i="2"/>
  <c r="A197" i="2"/>
  <c r="O196" i="2"/>
  <c r="O1062" i="2" l="1"/>
  <c r="T1062" i="2"/>
  <c r="O959" i="2"/>
  <c r="T959" i="2"/>
  <c r="O753" i="2"/>
  <c r="T753" i="2"/>
  <c r="T650" i="2"/>
  <c r="O650" i="2"/>
  <c r="T547" i="2"/>
  <c r="O547" i="2"/>
  <c r="O444" i="2"/>
  <c r="T444" i="2"/>
  <c r="O856" i="2"/>
  <c r="T856" i="2"/>
  <c r="AL163" i="1" l="1"/>
  <c r="AK163" i="1"/>
  <c r="AJ163" i="1"/>
  <c r="AI163" i="1"/>
  <c r="AH163" i="1"/>
  <c r="AE163" i="1"/>
  <c r="AA163" i="1"/>
  <c r="AL161" i="1"/>
  <c r="AK161" i="1"/>
  <c r="AJ161" i="1"/>
  <c r="AI161" i="1"/>
  <c r="AH161" i="1"/>
  <c r="AG161" i="1"/>
  <c r="AF161" i="1"/>
  <c r="AE161" i="1"/>
  <c r="AA161" i="1"/>
  <c r="AL157" i="1"/>
  <c r="AK157" i="1"/>
  <c r="AJ157" i="1"/>
  <c r="AI157" i="1"/>
  <c r="AH157" i="1"/>
  <c r="AG157" i="1"/>
  <c r="AE157" i="1"/>
  <c r="AA157" i="1"/>
  <c r="G135" i="1"/>
  <c r="E135" i="1"/>
  <c r="A135" i="1"/>
  <c r="X179" i="2"/>
  <c r="X177" i="2"/>
  <c r="X175" i="2"/>
  <c r="X173" i="2"/>
  <c r="X171" i="2"/>
  <c r="X169" i="2"/>
  <c r="X167" i="2"/>
  <c r="X165" i="2"/>
  <c r="X161" i="2"/>
  <c r="X159" i="2"/>
  <c r="N148" i="2"/>
  <c r="X148" i="2" s="1"/>
  <c r="N146" i="2"/>
  <c r="X146" i="2" s="1"/>
  <c r="N144" i="2"/>
  <c r="X144" i="2" s="1"/>
  <c r="N142" i="2"/>
  <c r="N140" i="2"/>
  <c r="X140" i="2" s="1"/>
  <c r="N138" i="2"/>
  <c r="X138" i="2" s="1"/>
  <c r="N136" i="2"/>
  <c r="X136" i="2" s="1"/>
  <c r="N134" i="2"/>
  <c r="N132" i="2"/>
  <c r="X132" i="2" s="1"/>
  <c r="N130" i="2"/>
  <c r="X130" i="2" s="1"/>
  <c r="N128" i="2"/>
  <c r="W179" i="2"/>
  <c r="W177" i="2"/>
  <c r="W175" i="2"/>
  <c r="W173" i="2"/>
  <c r="W171" i="2"/>
  <c r="W169" i="2"/>
  <c r="W167" i="2"/>
  <c r="W165" i="2"/>
  <c r="W161" i="2"/>
  <c r="W159" i="2"/>
  <c r="K148" i="2"/>
  <c r="W148" i="2" s="1"/>
  <c r="K146" i="2"/>
  <c r="W146" i="2" s="1"/>
  <c r="K144" i="2"/>
  <c r="W144" i="2" s="1"/>
  <c r="K142" i="2"/>
  <c r="W142" i="2" s="1"/>
  <c r="K140" i="2"/>
  <c r="W140" i="2" s="1"/>
  <c r="K138" i="2"/>
  <c r="W138" i="2" s="1"/>
  <c r="K136" i="2"/>
  <c r="W136" i="2" s="1"/>
  <c r="K134" i="2"/>
  <c r="W134" i="2" s="1"/>
  <c r="K132" i="2"/>
  <c r="K130" i="2"/>
  <c r="W130" i="2" s="1"/>
  <c r="K128" i="2"/>
  <c r="W128" i="2" s="1"/>
  <c r="V179" i="2"/>
  <c r="V177" i="2"/>
  <c r="V175" i="2"/>
  <c r="V173" i="2"/>
  <c r="V171" i="2"/>
  <c r="V169" i="2"/>
  <c r="V167" i="2"/>
  <c r="V161" i="2"/>
  <c r="V159" i="2"/>
  <c r="J148" i="2"/>
  <c r="V148" i="2" s="1"/>
  <c r="J146" i="2"/>
  <c r="V146" i="2" s="1"/>
  <c r="J144" i="2"/>
  <c r="V144" i="2" s="1"/>
  <c r="J142" i="2"/>
  <c r="V142" i="2" s="1"/>
  <c r="J140" i="2"/>
  <c r="V140" i="2" s="1"/>
  <c r="J138" i="2"/>
  <c r="V138" i="2" s="1"/>
  <c r="J136" i="2"/>
  <c r="V136" i="2" s="1"/>
  <c r="J134" i="2"/>
  <c r="V134" i="2" s="1"/>
  <c r="V165" i="2" s="1"/>
  <c r="J132" i="2"/>
  <c r="V132" i="2" s="1"/>
  <c r="J130" i="2"/>
  <c r="V130" i="2" s="1"/>
  <c r="J128" i="2"/>
  <c r="V128" i="2" s="1"/>
  <c r="V157" i="2" s="1"/>
  <c r="U179" i="2"/>
  <c r="U177" i="2"/>
  <c r="U175" i="2"/>
  <c r="U173" i="2"/>
  <c r="U171" i="2"/>
  <c r="U169" i="2"/>
  <c r="U167" i="2"/>
  <c r="U165" i="2"/>
  <c r="U159" i="2"/>
  <c r="I148" i="2"/>
  <c r="U148" i="2" s="1"/>
  <c r="I146" i="2"/>
  <c r="U146" i="2" s="1"/>
  <c r="I144" i="2"/>
  <c r="U144" i="2" s="1"/>
  <c r="I142" i="2"/>
  <c r="U142" i="2" s="1"/>
  <c r="I140" i="2"/>
  <c r="U140" i="2" s="1"/>
  <c r="I138" i="2"/>
  <c r="U138" i="2" s="1"/>
  <c r="I136" i="2"/>
  <c r="U136" i="2" s="1"/>
  <c r="I134" i="2"/>
  <c r="U134" i="2" s="1"/>
  <c r="I132" i="2"/>
  <c r="U132" i="2" s="1"/>
  <c r="U161" i="2" s="1"/>
  <c r="I130" i="2"/>
  <c r="U130" i="2" s="1"/>
  <c r="I128" i="2"/>
  <c r="U128" i="2" s="1"/>
  <c r="T179" i="2"/>
  <c r="T177" i="2"/>
  <c r="T175" i="2"/>
  <c r="T173" i="2"/>
  <c r="T171" i="2"/>
  <c r="T169" i="2"/>
  <c r="T167" i="2"/>
  <c r="T165" i="2"/>
  <c r="T161" i="2"/>
  <c r="H148" i="2"/>
  <c r="T148" i="2" s="1"/>
  <c r="H146" i="2"/>
  <c r="T146" i="2" s="1"/>
  <c r="H144" i="2"/>
  <c r="T144" i="2" s="1"/>
  <c r="H142" i="2"/>
  <c r="T142" i="2" s="1"/>
  <c r="H140" i="2"/>
  <c r="T140" i="2" s="1"/>
  <c r="H138" i="2"/>
  <c r="T138" i="2" s="1"/>
  <c r="H136" i="2"/>
  <c r="T136" i="2" s="1"/>
  <c r="H134" i="2"/>
  <c r="T134" i="2" s="1"/>
  <c r="H132" i="2"/>
  <c r="T132" i="2" s="1"/>
  <c r="H130" i="2"/>
  <c r="T130" i="2" s="1"/>
  <c r="T159" i="2" s="1"/>
  <c r="H128" i="2"/>
  <c r="T128" i="2" s="1"/>
  <c r="T157" i="2" s="1"/>
  <c r="S179" i="2"/>
  <c r="S177" i="2"/>
  <c r="S175" i="2"/>
  <c r="S173" i="2"/>
  <c r="S171" i="2"/>
  <c r="S169" i="2"/>
  <c r="S167" i="2"/>
  <c r="S161" i="2"/>
  <c r="S159" i="2"/>
  <c r="G148" i="2"/>
  <c r="S148" i="2" s="1"/>
  <c r="G146" i="2"/>
  <c r="S146" i="2" s="1"/>
  <c r="G144" i="2"/>
  <c r="S144" i="2" s="1"/>
  <c r="G142" i="2"/>
  <c r="S142" i="2" s="1"/>
  <c r="G140" i="2"/>
  <c r="S140" i="2" s="1"/>
  <c r="G138" i="2"/>
  <c r="S138" i="2" s="1"/>
  <c r="G136" i="2"/>
  <c r="S136" i="2" s="1"/>
  <c r="G134" i="2"/>
  <c r="S134" i="2" s="1"/>
  <c r="S165" i="2" s="1"/>
  <c r="G132" i="2"/>
  <c r="S132" i="2" s="1"/>
  <c r="G130" i="2"/>
  <c r="S130" i="2" s="1"/>
  <c r="G128" i="2"/>
  <c r="S128" i="2" s="1"/>
  <c r="R179" i="2"/>
  <c r="R177" i="2"/>
  <c r="R175" i="2"/>
  <c r="R173" i="2"/>
  <c r="R169" i="2"/>
  <c r="R167" i="2"/>
  <c r="R161" i="2"/>
  <c r="F148" i="2"/>
  <c r="R148" i="2" s="1"/>
  <c r="F146" i="2"/>
  <c r="R146" i="2" s="1"/>
  <c r="F144" i="2"/>
  <c r="R144" i="2" s="1"/>
  <c r="F142" i="2"/>
  <c r="R142" i="2" s="1"/>
  <c r="F140" i="2"/>
  <c r="R140" i="2" s="1"/>
  <c r="R171" i="2" s="1"/>
  <c r="F138" i="2"/>
  <c r="R138" i="2" s="1"/>
  <c r="F136" i="2"/>
  <c r="R136" i="2" s="1"/>
  <c r="F134" i="2"/>
  <c r="R134" i="2" s="1"/>
  <c r="R165" i="2" s="1"/>
  <c r="F132" i="2"/>
  <c r="F130" i="2"/>
  <c r="R130" i="2" s="1"/>
  <c r="R159" i="2" s="1"/>
  <c r="F128" i="2"/>
  <c r="Q179" i="2"/>
  <c r="Q177" i="2"/>
  <c r="Q175" i="2"/>
  <c r="Q173" i="2"/>
  <c r="Q171" i="2"/>
  <c r="Q169" i="2"/>
  <c r="Q167" i="2"/>
  <c r="Q165" i="2"/>
  <c r="Q161" i="2"/>
  <c r="Q159" i="2"/>
  <c r="E148" i="2"/>
  <c r="Q148" i="2" s="1"/>
  <c r="E146" i="2"/>
  <c r="Q146" i="2" s="1"/>
  <c r="E144" i="2"/>
  <c r="Q144" i="2" s="1"/>
  <c r="E142" i="2"/>
  <c r="Q142" i="2" s="1"/>
  <c r="E140" i="2"/>
  <c r="Q140" i="2" s="1"/>
  <c r="E138" i="2"/>
  <c r="Q138" i="2" s="1"/>
  <c r="E136" i="2"/>
  <c r="Q136" i="2" s="1"/>
  <c r="E134" i="2"/>
  <c r="Q134" i="2" s="1"/>
  <c r="E132" i="2"/>
  <c r="Q132" i="2" s="1"/>
  <c r="E130" i="2"/>
  <c r="Q130" i="2" s="1"/>
  <c r="E128" i="2"/>
  <c r="P179" i="2"/>
  <c r="P177" i="2"/>
  <c r="P175" i="2"/>
  <c r="P173" i="2"/>
  <c r="P171" i="2"/>
  <c r="P169" i="2"/>
  <c r="P167" i="2"/>
  <c r="P165" i="2"/>
  <c r="P161" i="2"/>
  <c r="P159" i="2"/>
  <c r="A148" i="2"/>
  <c r="P148" i="2" s="1"/>
  <c r="A146" i="2"/>
  <c r="P146" i="2" s="1"/>
  <c r="A144" i="2"/>
  <c r="P144" i="2" s="1"/>
  <c r="A142" i="2"/>
  <c r="P142" i="2" s="1"/>
  <c r="A140" i="2"/>
  <c r="P140" i="2" s="1"/>
  <c r="A138" i="2"/>
  <c r="P138" i="2" s="1"/>
  <c r="A136" i="2"/>
  <c r="P136" i="2" s="1"/>
  <c r="A134" i="2"/>
  <c r="P134" i="2" s="1"/>
  <c r="A132" i="2"/>
  <c r="P132" i="2" s="1"/>
  <c r="A130" i="2"/>
  <c r="P130" i="2" s="1"/>
  <c r="B63" i="1"/>
  <c r="B58" i="1"/>
  <c r="B53" i="1"/>
  <c r="B48" i="1"/>
  <c r="B43" i="1"/>
  <c r="B38" i="1"/>
  <c r="B33" i="1"/>
  <c r="AR167" i="1" s="1"/>
  <c r="B28" i="1"/>
  <c r="B23" i="1"/>
  <c r="M175" i="2"/>
  <c r="M174" i="2"/>
  <c r="M173" i="2"/>
  <c r="M172" i="2"/>
  <c r="M171" i="2"/>
  <c r="M170" i="2"/>
  <c r="M169" i="2"/>
  <c r="F169" i="2"/>
  <c r="X142" i="2"/>
  <c r="X134" i="2"/>
  <c r="W132" i="2"/>
  <c r="R132" i="2"/>
  <c r="Q128" i="2"/>
  <c r="Q157" i="2" s="1"/>
  <c r="P128" i="2"/>
  <c r="P157" i="2" s="1"/>
  <c r="A177" i="2"/>
  <c r="A176" i="2"/>
  <c r="A175" i="2"/>
  <c r="A174" i="2"/>
  <c r="A173" i="2"/>
  <c r="H289" i="1"/>
  <c r="F289" i="1"/>
  <c r="H288" i="1"/>
  <c r="F288" i="1"/>
  <c r="H287" i="1"/>
  <c r="F287" i="1"/>
  <c r="H286" i="1"/>
  <c r="F286" i="1"/>
  <c r="H285" i="1"/>
  <c r="F285" i="1"/>
  <c r="H284" i="1"/>
  <c r="F284" i="1"/>
  <c r="H283" i="1"/>
  <c r="F283" i="1"/>
  <c r="H282" i="1"/>
  <c r="F282" i="1"/>
  <c r="H281" i="1"/>
  <c r="F281" i="1"/>
  <c r="H280" i="1"/>
  <c r="F280" i="1"/>
  <c r="H279" i="1"/>
  <c r="F279" i="1"/>
  <c r="G72" i="1"/>
  <c r="G75" i="1"/>
  <c r="G77" i="1"/>
  <c r="G79" i="1"/>
  <c r="A100" i="1"/>
  <c r="P100" i="1" s="1"/>
  <c r="A102" i="1"/>
  <c r="P102" i="1" s="1"/>
  <c r="A104" i="1"/>
  <c r="P104" i="1" s="1"/>
  <c r="A106" i="1"/>
  <c r="P106" i="1" s="1"/>
  <c r="A108" i="1"/>
  <c r="P108" i="1" s="1"/>
  <c r="A110" i="1"/>
  <c r="P110" i="1" s="1"/>
  <c r="A112" i="1"/>
  <c r="P112" i="1" s="1"/>
  <c r="A114" i="1"/>
  <c r="P114" i="1" s="1"/>
  <c r="A116" i="1"/>
  <c r="P116" i="1" s="1"/>
  <c r="A118" i="1"/>
  <c r="P118" i="1" s="1"/>
  <c r="A120" i="1"/>
  <c r="P120" i="1" s="1"/>
  <c r="N137" i="1"/>
  <c r="G60" i="1" s="1"/>
  <c r="F1050" i="1" s="1"/>
  <c r="P129" i="1"/>
  <c r="P131" i="1"/>
  <c r="A133" i="1"/>
  <c r="P133" i="1"/>
  <c r="P137" i="1"/>
  <c r="P139" i="1"/>
  <c r="P141" i="1"/>
  <c r="P143" i="1"/>
  <c r="P145" i="1"/>
  <c r="P147" i="1"/>
  <c r="P149" i="1"/>
  <c r="P151" i="1"/>
  <c r="J190" i="1"/>
  <c r="J192" i="1"/>
  <c r="J193" i="1"/>
  <c r="J194" i="1"/>
  <c r="J195" i="1"/>
  <c r="J196" i="1"/>
  <c r="O196" i="1"/>
  <c r="A197" i="1"/>
  <c r="J197" i="1"/>
  <c r="A198" i="1"/>
  <c r="J198" i="1"/>
  <c r="A199" i="1"/>
  <c r="J199" i="1"/>
  <c r="O199" i="1"/>
  <c r="A200" i="1"/>
  <c r="O200" i="1"/>
  <c r="A201" i="1"/>
  <c r="O201" i="1"/>
  <c r="A202" i="1"/>
  <c r="O202" i="1"/>
  <c r="A203" i="1"/>
  <c r="O203" i="1"/>
  <c r="A204" i="1"/>
  <c r="A210" i="1"/>
  <c r="A211" i="1"/>
  <c r="A212" i="1"/>
  <c r="J327" i="1"/>
  <c r="O332" i="1"/>
  <c r="A333" i="1"/>
  <c r="A334" i="1"/>
  <c r="A335" i="1"/>
  <c r="O335" i="1"/>
  <c r="A336" i="1"/>
  <c r="O336" i="1"/>
  <c r="A337" i="1"/>
  <c r="O337" i="1"/>
  <c r="A338" i="1"/>
  <c r="O338" i="1"/>
  <c r="A339" i="1"/>
  <c r="O339" i="1"/>
  <c r="A340" i="1"/>
  <c r="A346" i="1"/>
  <c r="A347" i="1"/>
  <c r="A348" i="1"/>
  <c r="O435" i="1"/>
  <c r="A436" i="1"/>
  <c r="O436" i="1"/>
  <c r="A437" i="1"/>
  <c r="O437" i="1"/>
  <c r="A438" i="1"/>
  <c r="O438" i="1"/>
  <c r="A439" i="1"/>
  <c r="O439" i="1"/>
  <c r="A440" i="1"/>
  <c r="O440" i="1"/>
  <c r="A441" i="1"/>
  <c r="O441" i="1"/>
  <c r="A442" i="1"/>
  <c r="O442" i="1"/>
  <c r="A443" i="1"/>
  <c r="A449" i="1"/>
  <c r="A450" i="1"/>
  <c r="A451" i="1"/>
  <c r="O538" i="1"/>
  <c r="A539" i="1"/>
  <c r="A540" i="1"/>
  <c r="O540" i="1"/>
  <c r="A541" i="1"/>
  <c r="O541" i="1"/>
  <c r="A542" i="1"/>
  <c r="O542" i="1"/>
  <c r="A543" i="1"/>
  <c r="O543" i="1"/>
  <c r="A544" i="1"/>
  <c r="O544" i="1"/>
  <c r="A545" i="1"/>
  <c r="O545" i="1"/>
  <c r="A546" i="1"/>
  <c r="A552" i="1"/>
  <c r="A553" i="1"/>
  <c r="A554" i="1"/>
  <c r="O641" i="1"/>
  <c r="A642" i="1"/>
  <c r="O642" i="1"/>
  <c r="A643" i="1"/>
  <c r="O643" i="1"/>
  <c r="A644" i="1"/>
  <c r="O644" i="1"/>
  <c r="A645" i="1"/>
  <c r="O645" i="1"/>
  <c r="A646" i="1"/>
  <c r="O646" i="1"/>
  <c r="A647" i="1"/>
  <c r="O647" i="1"/>
  <c r="A648" i="1"/>
  <c r="O648" i="1"/>
  <c r="A649" i="1"/>
  <c r="A655" i="1"/>
  <c r="A656" i="1"/>
  <c r="A657" i="1"/>
  <c r="O744" i="1"/>
  <c r="A745" i="1"/>
  <c r="A746" i="1"/>
  <c r="O746" i="1"/>
  <c r="A747" i="1"/>
  <c r="O747" i="1"/>
  <c r="A748" i="1"/>
  <c r="O748" i="1"/>
  <c r="A749" i="1"/>
  <c r="O749" i="1"/>
  <c r="A750" i="1"/>
  <c r="O750" i="1"/>
  <c r="A751" i="1"/>
  <c r="O751" i="1"/>
  <c r="A752" i="1"/>
  <c r="A758" i="1"/>
  <c r="A759" i="1"/>
  <c r="A760" i="1"/>
  <c r="O847" i="1"/>
  <c r="A848" i="1"/>
  <c r="O848" i="1"/>
  <c r="A849" i="1"/>
  <c r="O849" i="1"/>
  <c r="A850" i="1"/>
  <c r="O850" i="1"/>
  <c r="A851" i="1"/>
  <c r="A852" i="1"/>
  <c r="O852" i="1"/>
  <c r="A853" i="1"/>
  <c r="O853" i="1"/>
  <c r="A854" i="1"/>
  <c r="O854" i="1"/>
  <c r="A855" i="1"/>
  <c r="A861" i="1"/>
  <c r="A862" i="1"/>
  <c r="A863" i="1"/>
  <c r="A951" i="1"/>
  <c r="O951" i="1"/>
  <c r="A952" i="1"/>
  <c r="O952" i="1"/>
  <c r="A953" i="1"/>
  <c r="O953" i="1"/>
  <c r="A954" i="1"/>
  <c r="O954" i="1"/>
  <c r="A955" i="1"/>
  <c r="O955" i="1"/>
  <c r="A956" i="1"/>
  <c r="O956" i="1"/>
  <c r="A957" i="1"/>
  <c r="O957" i="1"/>
  <c r="A958" i="1"/>
  <c r="A964" i="1"/>
  <c r="A965" i="1"/>
  <c r="A966" i="1"/>
  <c r="O1053" i="1"/>
  <c r="A1054" i="1"/>
  <c r="O1054" i="1"/>
  <c r="A1055" i="1"/>
  <c r="O1055" i="1"/>
  <c r="A1056" i="1"/>
  <c r="O1056" i="1"/>
  <c r="A1057" i="1"/>
  <c r="O1057" i="1"/>
  <c r="A1058" i="1"/>
  <c r="O1058" i="1"/>
  <c r="A1059" i="1"/>
  <c r="O1059" i="1"/>
  <c r="A1060" i="1"/>
  <c r="O1060" i="1"/>
  <c r="A1061" i="1"/>
  <c r="A1067" i="1"/>
  <c r="A1068" i="1"/>
  <c r="A1069" i="1"/>
  <c r="A129" i="1"/>
  <c r="J122" i="1"/>
  <c r="O950" i="1"/>
  <c r="O334" i="1"/>
  <c r="O198" i="1"/>
  <c r="O539" i="1"/>
  <c r="O745" i="1"/>
  <c r="O851" i="1"/>
  <c r="I122" i="1"/>
  <c r="F176" i="2" l="1"/>
  <c r="H176" i="2" s="1"/>
  <c r="E279" i="1"/>
  <c r="D279" i="1" s="1"/>
  <c r="E281" i="1"/>
  <c r="D281" i="1" s="1"/>
  <c r="E283" i="1"/>
  <c r="D283" i="1" s="1"/>
  <c r="E285" i="1"/>
  <c r="D285" i="1" s="1"/>
  <c r="E287" i="1"/>
  <c r="D287" i="1" s="1"/>
  <c r="E289" i="1"/>
  <c r="D289" i="1" s="1"/>
  <c r="G279" i="1"/>
  <c r="I279" i="1" s="1"/>
  <c r="G281" i="1"/>
  <c r="I281" i="1" s="1"/>
  <c r="G283" i="1"/>
  <c r="I283" i="1" s="1"/>
  <c r="G285" i="1"/>
  <c r="I285" i="1" s="1"/>
  <c r="G287" i="1"/>
  <c r="I287" i="1" s="1"/>
  <c r="G289" i="1"/>
  <c r="I289" i="1" s="1"/>
  <c r="E280" i="1"/>
  <c r="D280" i="1" s="1"/>
  <c r="E282" i="1"/>
  <c r="D282" i="1" s="1"/>
  <c r="E284" i="1"/>
  <c r="D284" i="1" s="1"/>
  <c r="E286" i="1"/>
  <c r="D286" i="1" s="1"/>
  <c r="E288" i="1"/>
  <c r="D288" i="1" s="1"/>
  <c r="G280" i="1"/>
  <c r="I280" i="1" s="1"/>
  <c r="G282" i="1"/>
  <c r="I282" i="1" s="1"/>
  <c r="G284" i="1"/>
  <c r="I284" i="1" s="1"/>
  <c r="G286" i="1"/>
  <c r="I286" i="1" s="1"/>
  <c r="G288" i="1"/>
  <c r="I288" i="1" s="1"/>
  <c r="AI165" i="1"/>
  <c r="G47" i="1" s="1"/>
  <c r="F741" i="2" s="1"/>
  <c r="F758" i="2" s="1"/>
  <c r="AK165" i="1"/>
  <c r="G57" i="1" s="1"/>
  <c r="F947" i="2" s="1"/>
  <c r="F951" i="2" s="1"/>
  <c r="AF132" i="2"/>
  <c r="AR132" i="2" s="1"/>
  <c r="AF140" i="2"/>
  <c r="AR140" i="2" s="1"/>
  <c r="AR167" i="2"/>
  <c r="AF130" i="1"/>
  <c r="AR130" i="1" s="1"/>
  <c r="AR159" i="1" s="1"/>
  <c r="AF128" i="2"/>
  <c r="AR128" i="2" s="1"/>
  <c r="AF136" i="2"/>
  <c r="AR136" i="2" s="1"/>
  <c r="AF148" i="2"/>
  <c r="AR148" i="2" s="1"/>
  <c r="AR175" i="2"/>
  <c r="AF138" i="1"/>
  <c r="AR138" i="1" s="1"/>
  <c r="A137" i="1"/>
  <c r="G20" i="1" s="1"/>
  <c r="F193" i="1" s="1"/>
  <c r="AH165" i="1"/>
  <c r="G42" i="1" s="1"/>
  <c r="F638" i="2" s="1"/>
  <c r="AJ165" i="1"/>
  <c r="G52" i="1" s="1"/>
  <c r="AL165" i="1"/>
  <c r="G62" i="1" s="1"/>
  <c r="F1050" i="2" s="1"/>
  <c r="K137" i="1"/>
  <c r="G55" i="1" s="1"/>
  <c r="F947" i="1" s="1"/>
  <c r="AP177" i="1"/>
  <c r="AP173" i="1"/>
  <c r="AP169" i="1"/>
  <c r="AP165" i="1"/>
  <c r="AP159" i="1"/>
  <c r="AA146" i="1"/>
  <c r="AP146" i="1" s="1"/>
  <c r="AP175" i="1"/>
  <c r="AP167" i="1"/>
  <c r="AA148" i="1"/>
  <c r="AP148" i="1" s="1"/>
  <c r="AA140" i="1"/>
  <c r="AP140" i="1" s="1"/>
  <c r="AA136" i="1"/>
  <c r="AP136" i="1" s="1"/>
  <c r="AA132" i="1"/>
  <c r="AP132" i="1" s="1"/>
  <c r="AA128" i="1"/>
  <c r="AP128" i="1" s="1"/>
  <c r="AP179" i="1"/>
  <c r="AA138" i="1"/>
  <c r="AP138" i="1" s="1"/>
  <c r="AA130" i="1"/>
  <c r="AP130" i="1" s="1"/>
  <c r="AP177" i="2"/>
  <c r="AP173" i="2"/>
  <c r="AP169" i="2"/>
  <c r="AP165" i="2"/>
  <c r="AP159" i="2"/>
  <c r="AA146" i="2"/>
  <c r="AP146" i="2" s="1"/>
  <c r="AA142" i="2"/>
  <c r="AP142" i="2" s="1"/>
  <c r="AA138" i="2"/>
  <c r="AP138" i="2" s="1"/>
  <c r="AA134" i="2"/>
  <c r="AP134" i="2" s="1"/>
  <c r="AA130" i="2"/>
  <c r="AP130" i="2" s="1"/>
  <c r="AP171" i="1"/>
  <c r="AP161" i="1"/>
  <c r="AP157" i="1"/>
  <c r="AA144" i="1"/>
  <c r="AP144" i="1" s="1"/>
  <c r="AA142" i="1"/>
  <c r="AP142" i="1" s="1"/>
  <c r="AA134" i="1"/>
  <c r="AP134" i="1" s="1"/>
  <c r="AQ179" i="1"/>
  <c r="AQ175" i="1"/>
  <c r="AQ171" i="1"/>
  <c r="AQ167" i="1"/>
  <c r="AQ161" i="1"/>
  <c r="AQ157" i="1"/>
  <c r="AE148" i="1"/>
  <c r="AQ148" i="1" s="1"/>
  <c r="AE144" i="1"/>
  <c r="AQ144" i="1" s="1"/>
  <c r="AQ173" i="1"/>
  <c r="AQ165" i="1"/>
  <c r="AQ159" i="1"/>
  <c r="AE146" i="1"/>
  <c r="AQ146" i="1" s="1"/>
  <c r="AE142" i="1"/>
  <c r="AQ142" i="1" s="1"/>
  <c r="AE138" i="1"/>
  <c r="AQ138" i="1" s="1"/>
  <c r="AE134" i="1"/>
  <c r="AQ134" i="1" s="1"/>
  <c r="AE130" i="1"/>
  <c r="AQ130" i="1" s="1"/>
  <c r="AQ177" i="1"/>
  <c r="AE136" i="1"/>
  <c r="AQ136" i="1" s="1"/>
  <c r="AE128" i="1"/>
  <c r="AQ179" i="2"/>
  <c r="AQ175" i="2"/>
  <c r="AQ171" i="2"/>
  <c r="AQ167" i="2"/>
  <c r="AQ161" i="2"/>
  <c r="AE148" i="2"/>
  <c r="AQ148" i="2" s="1"/>
  <c r="AE144" i="2"/>
  <c r="AQ144" i="2" s="1"/>
  <c r="AE140" i="2"/>
  <c r="AQ140" i="2" s="1"/>
  <c r="AE136" i="2"/>
  <c r="AQ136" i="2" s="1"/>
  <c r="AE132" i="2"/>
  <c r="AQ132" i="2" s="1"/>
  <c r="AE128" i="2"/>
  <c r="AQ128" i="2" s="1"/>
  <c r="AQ157" i="2" s="1"/>
  <c r="AQ169" i="1"/>
  <c r="AE140" i="1"/>
  <c r="AQ140" i="1" s="1"/>
  <c r="AE132" i="1"/>
  <c r="AQ132" i="1" s="1"/>
  <c r="AQ177" i="2"/>
  <c r="AQ173" i="2"/>
  <c r="AQ169" i="2"/>
  <c r="AQ165" i="2"/>
  <c r="AQ159" i="2"/>
  <c r="AA132" i="2"/>
  <c r="AP132" i="2" s="1"/>
  <c r="AA140" i="2"/>
  <c r="AP140" i="2" s="1"/>
  <c r="AA148" i="2"/>
  <c r="AP148" i="2" s="1"/>
  <c r="AP167" i="2"/>
  <c r="AP175" i="2"/>
  <c r="AE130" i="2"/>
  <c r="AQ130" i="2" s="1"/>
  <c r="AE138" i="2"/>
  <c r="AQ138" i="2" s="1"/>
  <c r="AE146" i="2"/>
  <c r="AQ146" i="2" s="1"/>
  <c r="AS179" i="1"/>
  <c r="AS175" i="1"/>
  <c r="AS171" i="1"/>
  <c r="AS167" i="1"/>
  <c r="AS161" i="1"/>
  <c r="AS159" i="1"/>
  <c r="AS157" i="1"/>
  <c r="AG148" i="1"/>
  <c r="AS148" i="1" s="1"/>
  <c r="AG144" i="1"/>
  <c r="AS144" i="1" s="1"/>
  <c r="AS177" i="1"/>
  <c r="AS169" i="1"/>
  <c r="AG142" i="1"/>
  <c r="AS142" i="1" s="1"/>
  <c r="AG138" i="1"/>
  <c r="AS138" i="1" s="1"/>
  <c r="AG134" i="1"/>
  <c r="AS134" i="1" s="1"/>
  <c r="AG130" i="1"/>
  <c r="AS130" i="1" s="1"/>
  <c r="AS179" i="2"/>
  <c r="AS175" i="2"/>
  <c r="AS171" i="2"/>
  <c r="AS167" i="2"/>
  <c r="AS161" i="2"/>
  <c r="AG148" i="2"/>
  <c r="AS148" i="2" s="1"/>
  <c r="AG144" i="2"/>
  <c r="AS144" i="2" s="1"/>
  <c r="AG140" i="2"/>
  <c r="AS140" i="2" s="1"/>
  <c r="AG136" i="2"/>
  <c r="AS136" i="2" s="1"/>
  <c r="AG132" i="2"/>
  <c r="AS132" i="2" s="1"/>
  <c r="AG128" i="2"/>
  <c r="AS128" i="2" s="1"/>
  <c r="AS157" i="2" s="1"/>
  <c r="AS173" i="1"/>
  <c r="AG140" i="1"/>
  <c r="AS140" i="1" s="1"/>
  <c r="AG132" i="1"/>
  <c r="AS132" i="1" s="1"/>
  <c r="AS177" i="2"/>
  <c r="AS169" i="2"/>
  <c r="AS159" i="2"/>
  <c r="AG142" i="2"/>
  <c r="AS142" i="2" s="1"/>
  <c r="AG134" i="2"/>
  <c r="AS134" i="2" s="1"/>
  <c r="AS165" i="2" s="1"/>
  <c r="AS165" i="1"/>
  <c r="AG146" i="1"/>
  <c r="AS146" i="1" s="1"/>
  <c r="AG136" i="1"/>
  <c r="AS136" i="1" s="1"/>
  <c r="AG128" i="1"/>
  <c r="AS173" i="2"/>
  <c r="AG146" i="2"/>
  <c r="AS146" i="2" s="1"/>
  <c r="AG138" i="2"/>
  <c r="AS138" i="2" s="1"/>
  <c r="AG130" i="2"/>
  <c r="AS130" i="2" s="1"/>
  <c r="AT177" i="1"/>
  <c r="AT173" i="1"/>
  <c r="AT169" i="1"/>
  <c r="AT165" i="1"/>
  <c r="AH146" i="1"/>
  <c r="AT146" i="1" s="1"/>
  <c r="AH142" i="1"/>
  <c r="AT142" i="1" s="1"/>
  <c r="AT175" i="1"/>
  <c r="AT167" i="1"/>
  <c r="AH148" i="1"/>
  <c r="AT148" i="1" s="1"/>
  <c r="AH140" i="1"/>
  <c r="AT140" i="1" s="1"/>
  <c r="AH136" i="1"/>
  <c r="AT136" i="1" s="1"/>
  <c r="AH132" i="1"/>
  <c r="AT132" i="1" s="1"/>
  <c r="AH128" i="1"/>
  <c r="AT128" i="1" s="1"/>
  <c r="AT177" i="2"/>
  <c r="AT173" i="2"/>
  <c r="AT169" i="2"/>
  <c r="AT165" i="2"/>
  <c r="AH146" i="2"/>
  <c r="AT146" i="2" s="1"/>
  <c r="AH142" i="2"/>
  <c r="AT142" i="2" s="1"/>
  <c r="AH138" i="2"/>
  <c r="AT138" i="2" s="1"/>
  <c r="AH134" i="2"/>
  <c r="AT134" i="2" s="1"/>
  <c r="AH130" i="2"/>
  <c r="AT130" i="2" s="1"/>
  <c r="AT159" i="2" s="1"/>
  <c r="AT171" i="1"/>
  <c r="AT161" i="1"/>
  <c r="AT159" i="1"/>
  <c r="AT157" i="1"/>
  <c r="AH144" i="1"/>
  <c r="AT144" i="1" s="1"/>
  <c r="AH138" i="1"/>
  <c r="AT138" i="1" s="1"/>
  <c r="AH130" i="1"/>
  <c r="AT130" i="1" s="1"/>
  <c r="AT175" i="2"/>
  <c r="AT167" i="2"/>
  <c r="AH148" i="2"/>
  <c r="AT148" i="2" s="1"/>
  <c r="AH140" i="2"/>
  <c r="AT140" i="2" s="1"/>
  <c r="AH132" i="2"/>
  <c r="AT132" i="2" s="1"/>
  <c r="AT179" i="1"/>
  <c r="AH134" i="1"/>
  <c r="AT134" i="1" s="1"/>
  <c r="AT179" i="2"/>
  <c r="AT171" i="2"/>
  <c r="AT161" i="2"/>
  <c r="AH144" i="2"/>
  <c r="AT144" i="2" s="1"/>
  <c r="AH136" i="2"/>
  <c r="AT136" i="2" s="1"/>
  <c r="AH128" i="2"/>
  <c r="AT128" i="2" s="1"/>
  <c r="AT157" i="2" s="1"/>
  <c r="AU179" i="1"/>
  <c r="AU175" i="1"/>
  <c r="AU171" i="1"/>
  <c r="AU167" i="1"/>
  <c r="AU161" i="1"/>
  <c r="AU159" i="1"/>
  <c r="AU157" i="1"/>
  <c r="AI148" i="1"/>
  <c r="AU148" i="1" s="1"/>
  <c r="AI144" i="1"/>
  <c r="AU144" i="1" s="1"/>
  <c r="AU173" i="1"/>
  <c r="AU165" i="1"/>
  <c r="AI146" i="1"/>
  <c r="AU146" i="1" s="1"/>
  <c r="AI138" i="1"/>
  <c r="AU138" i="1" s="1"/>
  <c r="AI134" i="1"/>
  <c r="AU134" i="1" s="1"/>
  <c r="AI130" i="1"/>
  <c r="AU130" i="1" s="1"/>
  <c r="AU177" i="2"/>
  <c r="AU173" i="2"/>
  <c r="AU169" i="2"/>
  <c r="AU165" i="2"/>
  <c r="AU159" i="2"/>
  <c r="AI148" i="2"/>
  <c r="AU148" i="2" s="1"/>
  <c r="AI144" i="2"/>
  <c r="AU144" i="2" s="1"/>
  <c r="AI140" i="2"/>
  <c r="AU140" i="2" s="1"/>
  <c r="AI136" i="2"/>
  <c r="AU136" i="2" s="1"/>
  <c r="AI132" i="2"/>
  <c r="AU132" i="2" s="1"/>
  <c r="AU161" i="2" s="1"/>
  <c r="AI128" i="2"/>
  <c r="AU128" i="2" s="1"/>
  <c r="AU169" i="1"/>
  <c r="AI136" i="1"/>
  <c r="AU136" i="1" s="1"/>
  <c r="AI128" i="1"/>
  <c r="AU179" i="2"/>
  <c r="AU171" i="2"/>
  <c r="AI146" i="2"/>
  <c r="AU146" i="2" s="1"/>
  <c r="AI138" i="2"/>
  <c r="AU138" i="2" s="1"/>
  <c r="AI130" i="2"/>
  <c r="AU130" i="2" s="1"/>
  <c r="AU177" i="1"/>
  <c r="AI142" i="1"/>
  <c r="AU142" i="1" s="1"/>
  <c r="AI140" i="1"/>
  <c r="AU140" i="1" s="1"/>
  <c r="AI132" i="1"/>
  <c r="AU132" i="1" s="1"/>
  <c r="AU175" i="2"/>
  <c r="AU167" i="2"/>
  <c r="AU157" i="2"/>
  <c r="AI142" i="2"/>
  <c r="AU142" i="2" s="1"/>
  <c r="AI134" i="2"/>
  <c r="AU134" i="2" s="1"/>
  <c r="AV177" i="1"/>
  <c r="AV173" i="1"/>
  <c r="AV169" i="1"/>
  <c r="AV165" i="1"/>
  <c r="AJ146" i="1"/>
  <c r="AV146" i="1" s="1"/>
  <c r="AJ142" i="1"/>
  <c r="AV142" i="1" s="1"/>
  <c r="AV179" i="1"/>
  <c r="AV171" i="1"/>
  <c r="AV161" i="1"/>
  <c r="AV159" i="1"/>
  <c r="AV157" i="1"/>
  <c r="AJ144" i="1"/>
  <c r="AV144" i="1" s="1"/>
  <c r="AJ140" i="1"/>
  <c r="AV140" i="1" s="1"/>
  <c r="AJ136" i="1"/>
  <c r="AV136" i="1" s="1"/>
  <c r="AJ132" i="1"/>
  <c r="AV132" i="1" s="1"/>
  <c r="AJ128" i="1"/>
  <c r="AV128" i="1" s="1"/>
  <c r="AV179" i="2"/>
  <c r="AV175" i="2"/>
  <c r="AV171" i="2"/>
  <c r="AV167" i="2"/>
  <c r="AV161" i="2"/>
  <c r="AJ148" i="2"/>
  <c r="AV148" i="2" s="1"/>
  <c r="AJ144" i="2"/>
  <c r="AV144" i="2" s="1"/>
  <c r="AJ140" i="2"/>
  <c r="AV140" i="2" s="1"/>
  <c r="AJ136" i="2"/>
  <c r="AV136" i="2" s="1"/>
  <c r="AJ132" i="2"/>
  <c r="AV132" i="2" s="1"/>
  <c r="AJ128" i="2"/>
  <c r="AV128" i="2" s="1"/>
  <c r="AV157" i="2" s="1"/>
  <c r="AV167" i="1"/>
  <c r="AJ134" i="1"/>
  <c r="AV134" i="1" s="1"/>
  <c r="AV177" i="2"/>
  <c r="AV169" i="2"/>
  <c r="AV159" i="2"/>
  <c r="AJ142" i="2"/>
  <c r="AV142" i="2" s="1"/>
  <c r="AJ134" i="2"/>
  <c r="AV134" i="2" s="1"/>
  <c r="AV165" i="2" s="1"/>
  <c r="AV175" i="1"/>
  <c r="AJ148" i="1"/>
  <c r="AV148" i="1" s="1"/>
  <c r="AJ138" i="1"/>
  <c r="AV138" i="1" s="1"/>
  <c r="AJ130" i="1"/>
  <c r="AV130" i="1" s="1"/>
  <c r="AV173" i="2"/>
  <c r="AJ146" i="2"/>
  <c r="AV146" i="2" s="1"/>
  <c r="AJ138" i="2"/>
  <c r="AV138" i="2" s="1"/>
  <c r="AJ130" i="2"/>
  <c r="AV130" i="2" s="1"/>
  <c r="AW179" i="1"/>
  <c r="AW175" i="1"/>
  <c r="AW171" i="1"/>
  <c r="AW167" i="1"/>
  <c r="AW161" i="1"/>
  <c r="AW159" i="1"/>
  <c r="AW157" i="1"/>
  <c r="AK148" i="1"/>
  <c r="AW148" i="1" s="1"/>
  <c r="AK144" i="1"/>
  <c r="AW144" i="1" s="1"/>
  <c r="AW177" i="1"/>
  <c r="AW169" i="1"/>
  <c r="AK142" i="1"/>
  <c r="AW142" i="1" s="1"/>
  <c r="AK138" i="1"/>
  <c r="AW138" i="1" s="1"/>
  <c r="AK134" i="1"/>
  <c r="AW134" i="1" s="1"/>
  <c r="AK130" i="1"/>
  <c r="AW130" i="1" s="1"/>
  <c r="AW177" i="2"/>
  <c r="AW173" i="2"/>
  <c r="AW169" i="2"/>
  <c r="AW165" i="2"/>
  <c r="AW159" i="2"/>
  <c r="AK146" i="2"/>
  <c r="AW146" i="2" s="1"/>
  <c r="AK142" i="2"/>
  <c r="AW142" i="2" s="1"/>
  <c r="AK138" i="2"/>
  <c r="AW138" i="2" s="1"/>
  <c r="AK134" i="2"/>
  <c r="AW134" i="2" s="1"/>
  <c r="AK130" i="2"/>
  <c r="AW130" i="2" s="1"/>
  <c r="AW165" i="1"/>
  <c r="AK146" i="1"/>
  <c r="AW146" i="1" s="1"/>
  <c r="AK140" i="1"/>
  <c r="AW140" i="1" s="1"/>
  <c r="AK132" i="1"/>
  <c r="AW132" i="1" s="1"/>
  <c r="AW175" i="2"/>
  <c r="AW167" i="2"/>
  <c r="AK148" i="2"/>
  <c r="AW148" i="2" s="1"/>
  <c r="AK140" i="2"/>
  <c r="AW140" i="2" s="1"/>
  <c r="AK132" i="2"/>
  <c r="AW132" i="2" s="1"/>
  <c r="AW173" i="1"/>
  <c r="AK136" i="1"/>
  <c r="AW136" i="1" s="1"/>
  <c r="AK128" i="1"/>
  <c r="AW179" i="2"/>
  <c r="AW171" i="2"/>
  <c r="AW161" i="2"/>
  <c r="AK144" i="2"/>
  <c r="AW144" i="2" s="1"/>
  <c r="AK136" i="2"/>
  <c r="AW136" i="2" s="1"/>
  <c r="AK128" i="2"/>
  <c r="AW128" i="2" s="1"/>
  <c r="AW157" i="2" s="1"/>
  <c r="AX177" i="1"/>
  <c r="AX173" i="1"/>
  <c r="AX169" i="1"/>
  <c r="AX165" i="1"/>
  <c r="AN146" i="1"/>
  <c r="AX146" i="1" s="1"/>
  <c r="AN142" i="1"/>
  <c r="AX142" i="1" s="1"/>
  <c r="AX175" i="1"/>
  <c r="AX167" i="1"/>
  <c r="AN148" i="1"/>
  <c r="AX148" i="1" s="1"/>
  <c r="AN140" i="1"/>
  <c r="AX140" i="1" s="1"/>
  <c r="AN136" i="1"/>
  <c r="AX136" i="1" s="1"/>
  <c r="AN132" i="1"/>
  <c r="AX132" i="1" s="1"/>
  <c r="AN128" i="1"/>
  <c r="AX128" i="1" s="1"/>
  <c r="AX179" i="2"/>
  <c r="AX175" i="2"/>
  <c r="AX171" i="2"/>
  <c r="AX167" i="2"/>
  <c r="AX161" i="2"/>
  <c r="AN148" i="2"/>
  <c r="AX148" i="2" s="1"/>
  <c r="AN144" i="2"/>
  <c r="AX144" i="2" s="1"/>
  <c r="AN140" i="2"/>
  <c r="AX140" i="2" s="1"/>
  <c r="AN136" i="2"/>
  <c r="AX136" i="2" s="1"/>
  <c r="AN132" i="2"/>
  <c r="AX132" i="2" s="1"/>
  <c r="AN128" i="2"/>
  <c r="AX128" i="2" s="1"/>
  <c r="AX157" i="2" s="1"/>
  <c r="AX179" i="1"/>
  <c r="AN138" i="1"/>
  <c r="AX138" i="1" s="1"/>
  <c r="AN130" i="1"/>
  <c r="AX130" i="1" s="1"/>
  <c r="AX173" i="2"/>
  <c r="AX165" i="2"/>
  <c r="AN146" i="2"/>
  <c r="AX146" i="2" s="1"/>
  <c r="AN138" i="2"/>
  <c r="AX138" i="2" s="1"/>
  <c r="AN130" i="2"/>
  <c r="AX130" i="2" s="1"/>
  <c r="AX171" i="1"/>
  <c r="AX161" i="1"/>
  <c r="AX159" i="1"/>
  <c r="AX157" i="1"/>
  <c r="AN144" i="1"/>
  <c r="AX144" i="1" s="1"/>
  <c r="AN134" i="1"/>
  <c r="AX134" i="1" s="1"/>
  <c r="AX177" i="2"/>
  <c r="AX169" i="2"/>
  <c r="AX159" i="2"/>
  <c r="AN142" i="2"/>
  <c r="AX142" i="2" s="1"/>
  <c r="AN134" i="2"/>
  <c r="AX134" i="2" s="1"/>
  <c r="AA128" i="2"/>
  <c r="AP128" i="2" s="1"/>
  <c r="AP157" i="2" s="1"/>
  <c r="AA136" i="2"/>
  <c r="AP136" i="2" s="1"/>
  <c r="AA144" i="2"/>
  <c r="AP144" i="2" s="1"/>
  <c r="AP161" i="2"/>
  <c r="AP171" i="2"/>
  <c r="AP179" i="2"/>
  <c r="AE134" i="2"/>
  <c r="AQ134" i="2" s="1"/>
  <c r="AE142" i="2"/>
  <c r="AQ142" i="2" s="1"/>
  <c r="AR177" i="1"/>
  <c r="AR173" i="1"/>
  <c r="AR169" i="1"/>
  <c r="AF146" i="1"/>
  <c r="AR146" i="1" s="1"/>
  <c r="AR179" i="1"/>
  <c r="AR161" i="1"/>
  <c r="AR157" i="1"/>
  <c r="AF144" i="1"/>
  <c r="AR144" i="1" s="1"/>
  <c r="AF140" i="1"/>
  <c r="AR140" i="1" s="1"/>
  <c r="AR171" i="1" s="1"/>
  <c r="AF136" i="1"/>
  <c r="AR136" i="1" s="1"/>
  <c r="AF132" i="1"/>
  <c r="AR132" i="1" s="1"/>
  <c r="AF128" i="1"/>
  <c r="AR128" i="1" s="1"/>
  <c r="AR177" i="2"/>
  <c r="AR173" i="2"/>
  <c r="AR169" i="2"/>
  <c r="AR165" i="2"/>
  <c r="AR157" i="2"/>
  <c r="AF146" i="2"/>
  <c r="AR146" i="2" s="1"/>
  <c r="AF142" i="2"/>
  <c r="AR142" i="2" s="1"/>
  <c r="AF130" i="2"/>
  <c r="AR130" i="2" s="1"/>
  <c r="AR159" i="2" s="1"/>
  <c r="AF134" i="2"/>
  <c r="AR134" i="2" s="1"/>
  <c r="AF138" i="2"/>
  <c r="AR138" i="2" s="1"/>
  <c r="AF144" i="2"/>
  <c r="AR144" i="2" s="1"/>
  <c r="AR161" i="2"/>
  <c r="AR171" i="2"/>
  <c r="AR179" i="2"/>
  <c r="AF134" i="1"/>
  <c r="AR134" i="1" s="1"/>
  <c r="AR165" i="1" s="1"/>
  <c r="AF142" i="1"/>
  <c r="AR142" i="1" s="1"/>
  <c r="AF148" i="1"/>
  <c r="AR148" i="1" s="1"/>
  <c r="AR175" i="1"/>
  <c r="AE165" i="1"/>
  <c r="G27" i="1" s="1"/>
  <c r="F329" i="2" s="1"/>
  <c r="O753" i="1"/>
  <c r="W157" i="2"/>
  <c r="W181" i="2" s="1"/>
  <c r="U157" i="2"/>
  <c r="U181" i="2" s="1"/>
  <c r="S157" i="2"/>
  <c r="S181" i="2" s="1"/>
  <c r="Q181" i="2"/>
  <c r="T153" i="1"/>
  <c r="H150" i="2"/>
  <c r="F150" i="2"/>
  <c r="A150" i="2"/>
  <c r="R128" i="2"/>
  <c r="R157" i="2" s="1"/>
  <c r="O856" i="1"/>
  <c r="K122" i="1"/>
  <c r="E122" i="1"/>
  <c r="G122" i="1"/>
  <c r="N122" i="1"/>
  <c r="F122" i="1"/>
  <c r="X128" i="2"/>
  <c r="X157" i="2" s="1"/>
  <c r="X181" i="2" s="1"/>
  <c r="N150" i="2"/>
  <c r="E150" i="2"/>
  <c r="R181" i="2"/>
  <c r="G150" i="2"/>
  <c r="K150" i="2"/>
  <c r="J150" i="2"/>
  <c r="P181" i="2"/>
  <c r="T181" i="2"/>
  <c r="I150" i="2"/>
  <c r="F175" i="2"/>
  <c r="G175" i="2" s="1"/>
  <c r="F173" i="2"/>
  <c r="G173" i="2" s="1"/>
  <c r="F172" i="2"/>
  <c r="F174" i="2"/>
  <c r="H174" i="2" s="1"/>
  <c r="G176" i="2"/>
  <c r="F177" i="2"/>
  <c r="H177" i="2" s="1"/>
  <c r="O1062" i="1"/>
  <c r="X153" i="1"/>
  <c r="O959" i="1"/>
  <c r="H122" i="1"/>
  <c r="A122" i="1"/>
  <c r="T547" i="1"/>
  <c r="Q153" i="1"/>
  <c r="T959" i="1"/>
  <c r="T650" i="1"/>
  <c r="T856" i="1"/>
  <c r="T753" i="1"/>
  <c r="O650" i="1"/>
  <c r="O547" i="1"/>
  <c r="T444" i="1"/>
  <c r="O444" i="1"/>
  <c r="W153" i="1"/>
  <c r="U153" i="1"/>
  <c r="I129" i="1" s="1"/>
  <c r="I137" i="1" s="1"/>
  <c r="G45" i="1" s="1"/>
  <c r="F741" i="1" s="1"/>
  <c r="V153" i="1"/>
  <c r="J129" i="1" s="1"/>
  <c r="J137" i="1" s="1"/>
  <c r="G50" i="1" s="1"/>
  <c r="S153" i="1"/>
  <c r="G129" i="1" s="1"/>
  <c r="G137" i="1" s="1"/>
  <c r="G35" i="1" s="1"/>
  <c r="F535" i="1" s="1"/>
  <c r="F539" i="1" s="1"/>
  <c r="G539" i="1" s="1"/>
  <c r="R153" i="1"/>
  <c r="F129" i="1" s="1"/>
  <c r="P153" i="1"/>
  <c r="T1062" i="1"/>
  <c r="F844" i="1" l="1"/>
  <c r="H129" i="1"/>
  <c r="H137" i="1" s="1"/>
  <c r="G40" i="1" s="1"/>
  <c r="F638" i="1" s="1"/>
  <c r="F746" i="2"/>
  <c r="G746" i="2" s="1"/>
  <c r="I291" i="1"/>
  <c r="D291" i="1"/>
  <c r="F968" i="2"/>
  <c r="K968" i="2" s="1"/>
  <c r="H173" i="2"/>
  <c r="F958" i="2"/>
  <c r="H958" i="2" s="1"/>
  <c r="F749" i="2"/>
  <c r="H749" i="2" s="1"/>
  <c r="F757" i="2"/>
  <c r="I757" i="2" s="1"/>
  <c r="I763" i="2" s="1"/>
  <c r="F748" i="2"/>
  <c r="G748" i="2" s="1"/>
  <c r="F956" i="2"/>
  <c r="H956" i="2" s="1"/>
  <c r="F963" i="2"/>
  <c r="K963" i="2" s="1"/>
  <c r="K969" i="2" s="1"/>
  <c r="F953" i="2"/>
  <c r="G953" i="2" s="1"/>
  <c r="F950" i="2"/>
  <c r="G950" i="2" s="1"/>
  <c r="G959" i="2" s="1"/>
  <c r="J947" i="2" s="1"/>
  <c r="J955" i="2" s="1"/>
  <c r="F964" i="2"/>
  <c r="L964" i="2" s="1"/>
  <c r="AE150" i="2"/>
  <c r="F752" i="2"/>
  <c r="G752" i="2" s="1"/>
  <c r="F760" i="2"/>
  <c r="J760" i="2" s="1"/>
  <c r="F759" i="2"/>
  <c r="H759" i="2" s="1"/>
  <c r="F750" i="2"/>
  <c r="H750" i="2" s="1"/>
  <c r="AF150" i="1"/>
  <c r="AQ181" i="2"/>
  <c r="F751" i="2"/>
  <c r="H751" i="2" s="1"/>
  <c r="F747" i="2"/>
  <c r="H747" i="2" s="1"/>
  <c r="F761" i="2"/>
  <c r="K761" i="2" s="1"/>
  <c r="F744" i="2"/>
  <c r="H744" i="2" s="1"/>
  <c r="H753" i="2" s="1"/>
  <c r="AP181" i="2"/>
  <c r="AW181" i="2"/>
  <c r="AV181" i="2"/>
  <c r="F745" i="2"/>
  <c r="G745" i="2" s="1"/>
  <c r="F762" i="2"/>
  <c r="I762" i="2" s="1"/>
  <c r="AX181" i="2"/>
  <c r="AA150" i="2"/>
  <c r="F954" i="2"/>
  <c r="G954" i="2" s="1"/>
  <c r="F965" i="2"/>
  <c r="J965" i="2" s="1"/>
  <c r="F952" i="2"/>
  <c r="G952" i="2" s="1"/>
  <c r="F955" i="2"/>
  <c r="H955" i="2" s="1"/>
  <c r="F957" i="2"/>
  <c r="G957" i="2" s="1"/>
  <c r="F967" i="2"/>
  <c r="L967" i="2" s="1"/>
  <c r="F966" i="2"/>
  <c r="J966" i="2" s="1"/>
  <c r="AI150" i="2"/>
  <c r="AJ150" i="2"/>
  <c r="AH150" i="2"/>
  <c r="AN150" i="1"/>
  <c r="AR181" i="2"/>
  <c r="AU181" i="2"/>
  <c r="AV181" i="1"/>
  <c r="AT181" i="2"/>
  <c r="AS181" i="2"/>
  <c r="F1054" i="2"/>
  <c r="F1056" i="2"/>
  <c r="F1071" i="2"/>
  <c r="F1061" i="2"/>
  <c r="F1058" i="2"/>
  <c r="F1068" i="2"/>
  <c r="F1066" i="2"/>
  <c r="F1053" i="2"/>
  <c r="F1055" i="2"/>
  <c r="F1057" i="2"/>
  <c r="F1069" i="2"/>
  <c r="F1059" i="2"/>
  <c r="F1070" i="2"/>
  <c r="F1067" i="2"/>
  <c r="F1060" i="2"/>
  <c r="F644" i="2"/>
  <c r="F659" i="2"/>
  <c r="F649" i="2"/>
  <c r="F646" i="2"/>
  <c r="F656" i="2"/>
  <c r="F654" i="2"/>
  <c r="F641" i="2"/>
  <c r="F643" i="2"/>
  <c r="F645" i="2"/>
  <c r="F642" i="2"/>
  <c r="F647" i="2"/>
  <c r="F655" i="2"/>
  <c r="F657" i="2"/>
  <c r="F658" i="2"/>
  <c r="F648" i="2"/>
  <c r="H951" i="2"/>
  <c r="G951" i="2"/>
  <c r="V181" i="2"/>
  <c r="AK150" i="2"/>
  <c r="AG150" i="2"/>
  <c r="AF150" i="2"/>
  <c r="AN150" i="2"/>
  <c r="AH150" i="1"/>
  <c r="AA150" i="1"/>
  <c r="F348" i="2"/>
  <c r="F338" i="2"/>
  <c r="F349" i="2"/>
  <c r="F346" i="2"/>
  <c r="F339" i="2"/>
  <c r="F334" i="2"/>
  <c r="F335" i="2"/>
  <c r="F350" i="2"/>
  <c r="F337" i="2"/>
  <c r="F345" i="2"/>
  <c r="F336" i="2"/>
  <c r="F340" i="2"/>
  <c r="F347" i="2"/>
  <c r="F332" i="2"/>
  <c r="F333" i="2"/>
  <c r="AR181" i="1"/>
  <c r="AF157" i="1" s="1"/>
  <c r="AM157" i="1" s="1"/>
  <c r="F844" i="2"/>
  <c r="K758" i="2"/>
  <c r="G758" i="2"/>
  <c r="H758" i="2"/>
  <c r="I758" i="2"/>
  <c r="J758" i="2"/>
  <c r="L758" i="2"/>
  <c r="AX181" i="1"/>
  <c r="AK150" i="1"/>
  <c r="AW128" i="1"/>
  <c r="AW181" i="1"/>
  <c r="AG150" i="1"/>
  <c r="AS128" i="1"/>
  <c r="AQ181" i="1"/>
  <c r="AP181" i="1"/>
  <c r="AI150" i="1"/>
  <c r="AJ150" i="1"/>
  <c r="AU128" i="1"/>
  <c r="AU181" i="1"/>
  <c r="AT181" i="1"/>
  <c r="AS181" i="1"/>
  <c r="AE150" i="1"/>
  <c r="AQ128" i="1"/>
  <c r="A124" i="1"/>
  <c r="A152" i="2"/>
  <c r="G172" i="2"/>
  <c r="G181" i="2" s="1"/>
  <c r="M177" i="2" s="1"/>
  <c r="H172" i="2"/>
  <c r="H175" i="2"/>
  <c r="H181" i="2"/>
  <c r="G177" i="2"/>
  <c r="G174" i="2"/>
  <c r="F545" i="1"/>
  <c r="F542" i="1"/>
  <c r="F552" i="1"/>
  <c r="F544" i="1"/>
  <c r="F556" i="1"/>
  <c r="F546" i="1"/>
  <c r="F554" i="1"/>
  <c r="F553" i="1"/>
  <c r="F551" i="1"/>
  <c r="F541" i="1"/>
  <c r="F540" i="1"/>
  <c r="F543" i="1"/>
  <c r="F555" i="1"/>
  <c r="F538" i="1"/>
  <c r="P155" i="1"/>
  <c r="H539" i="1"/>
  <c r="F197" i="1"/>
  <c r="F196" i="1"/>
  <c r="F209" i="1"/>
  <c r="F213" i="1"/>
  <c r="F198" i="1"/>
  <c r="F204" i="1"/>
  <c r="F203" i="1"/>
  <c r="F202" i="1"/>
  <c r="F210" i="1"/>
  <c r="F214" i="1"/>
  <c r="F211" i="1"/>
  <c r="F201" i="1"/>
  <c r="F199" i="1"/>
  <c r="F200" i="1"/>
  <c r="F212" i="1"/>
  <c r="F966" i="1"/>
  <c r="F950" i="1"/>
  <c r="F953" i="1"/>
  <c r="F965" i="1"/>
  <c r="F952" i="1"/>
  <c r="F964" i="1"/>
  <c r="F954" i="1"/>
  <c r="F968" i="1"/>
  <c r="F963" i="1"/>
  <c r="F955" i="1"/>
  <c r="F958" i="1"/>
  <c r="F956" i="1"/>
  <c r="F951" i="1"/>
  <c r="F967" i="1"/>
  <c r="F957" i="1"/>
  <c r="O129" i="1" l="1"/>
  <c r="G750" i="2"/>
  <c r="J759" i="2"/>
  <c r="J968" i="2"/>
  <c r="H963" i="2"/>
  <c r="H969" i="2" s="1"/>
  <c r="I963" i="2"/>
  <c r="I969" i="2" s="1"/>
  <c r="H953" i="2"/>
  <c r="H968" i="2"/>
  <c r="J963" i="2"/>
  <c r="J969" i="2" s="1"/>
  <c r="L963" i="2"/>
  <c r="L969" i="2" s="1"/>
  <c r="I761" i="2"/>
  <c r="H746" i="2"/>
  <c r="G963" i="2"/>
  <c r="G969" i="2" s="1"/>
  <c r="H761" i="2"/>
  <c r="H748" i="2"/>
  <c r="I964" i="2"/>
  <c r="G749" i="2"/>
  <c r="K757" i="2"/>
  <c r="K763" i="2" s="1"/>
  <c r="H757" i="2"/>
  <c r="H763" i="2" s="1"/>
  <c r="L757" i="2"/>
  <c r="L763" i="2" s="1"/>
  <c r="E295" i="1"/>
  <c r="L310" i="1" s="1"/>
  <c r="M310" i="1" s="1"/>
  <c r="N310" i="1" s="1"/>
  <c r="F15" i="1"/>
  <c r="J757" i="2"/>
  <c r="J763" i="2" s="1"/>
  <c r="J761" i="2"/>
  <c r="G761" i="2"/>
  <c r="H954" i="2"/>
  <c r="G757" i="2"/>
  <c r="G763" i="2" s="1"/>
  <c r="L761" i="2"/>
  <c r="H957" i="2"/>
  <c r="J964" i="2"/>
  <c r="L968" i="2"/>
  <c r="K762" i="2"/>
  <c r="L759" i="2"/>
  <c r="G759" i="2"/>
  <c r="H964" i="2"/>
  <c r="K964" i="2"/>
  <c r="G968" i="2"/>
  <c r="I759" i="2"/>
  <c r="G964" i="2"/>
  <c r="L762" i="2"/>
  <c r="K759" i="2"/>
  <c r="I968" i="2"/>
  <c r="H950" i="2"/>
  <c r="H959" i="2" s="1"/>
  <c r="G956" i="2"/>
  <c r="G958" i="2"/>
  <c r="H760" i="2"/>
  <c r="H752" i="2"/>
  <c r="H967" i="2"/>
  <c r="G744" i="2"/>
  <c r="G753" i="2" s="1"/>
  <c r="J741" i="2" s="1"/>
  <c r="J749" i="2" s="1"/>
  <c r="R751" i="2" s="1"/>
  <c r="S751" i="2" s="1"/>
  <c r="K965" i="2"/>
  <c r="G967" i="2"/>
  <c r="G965" i="2"/>
  <c r="H966" i="2"/>
  <c r="H952" i="2"/>
  <c r="K967" i="2"/>
  <c r="I967" i="2"/>
  <c r="H965" i="2"/>
  <c r="G760" i="2"/>
  <c r="I760" i="2"/>
  <c r="G751" i="2"/>
  <c r="H745" i="2"/>
  <c r="K760" i="2"/>
  <c r="L966" i="2"/>
  <c r="L760" i="2"/>
  <c r="I966" i="2"/>
  <c r="AP183" i="2"/>
  <c r="G762" i="2"/>
  <c r="H762" i="2"/>
  <c r="G747" i="2"/>
  <c r="J967" i="2"/>
  <c r="G955" i="2"/>
  <c r="L965" i="2"/>
  <c r="J762" i="2"/>
  <c r="I965" i="2"/>
  <c r="G966" i="2"/>
  <c r="K966" i="2"/>
  <c r="P183" i="2"/>
  <c r="AA152" i="1"/>
  <c r="R955" i="2"/>
  <c r="S955" i="2" s="1"/>
  <c r="R956" i="2"/>
  <c r="S956" i="2" s="1"/>
  <c r="R950" i="2"/>
  <c r="S950" i="2" s="1"/>
  <c r="R951" i="2"/>
  <c r="S951" i="2" s="1"/>
  <c r="R957" i="2"/>
  <c r="S957" i="2" s="1"/>
  <c r="R954" i="2"/>
  <c r="S954" i="2" s="1"/>
  <c r="R952" i="2"/>
  <c r="S952" i="2" s="1"/>
  <c r="R953" i="2"/>
  <c r="S953" i="2" s="1"/>
  <c r="Q963" i="2"/>
  <c r="O965" i="2" s="1"/>
  <c r="J57" i="1" s="1"/>
  <c r="N963" i="2"/>
  <c r="F863" i="2"/>
  <c r="F853" i="2"/>
  <c r="F864" i="2"/>
  <c r="F861" i="2"/>
  <c r="F854" i="2"/>
  <c r="F849" i="2"/>
  <c r="F850" i="2"/>
  <c r="F855" i="2"/>
  <c r="F862" i="2"/>
  <c r="F847" i="2"/>
  <c r="F848" i="2"/>
  <c r="F865" i="2"/>
  <c r="F852" i="2"/>
  <c r="F860" i="2"/>
  <c r="F851" i="2"/>
  <c r="G332" i="2"/>
  <c r="G341" i="2" s="1"/>
  <c r="J329" i="2" s="1"/>
  <c r="J337" i="2" s="1"/>
  <c r="N333" i="2" s="1"/>
  <c r="O333" i="2" s="1"/>
  <c r="O341" i="2" s="1"/>
  <c r="H332" i="2"/>
  <c r="H341" i="2" s="1"/>
  <c r="H340" i="2"/>
  <c r="G340" i="2"/>
  <c r="K345" i="2"/>
  <c r="K351" i="2" s="1"/>
  <c r="G345" i="2"/>
  <c r="G351" i="2" s="1"/>
  <c r="J345" i="2"/>
  <c r="J351" i="2" s="1"/>
  <c r="L345" i="2"/>
  <c r="L351" i="2" s="1"/>
  <c r="I345" i="2"/>
  <c r="I351" i="2" s="1"/>
  <c r="H345" i="2"/>
  <c r="H351" i="2" s="1"/>
  <c r="J350" i="2"/>
  <c r="K350" i="2"/>
  <c r="G350" i="2"/>
  <c r="L350" i="2"/>
  <c r="I350" i="2"/>
  <c r="H350" i="2"/>
  <c r="H334" i="2"/>
  <c r="G334" i="2"/>
  <c r="K346" i="2"/>
  <c r="I346" i="2"/>
  <c r="J346" i="2"/>
  <c r="L346" i="2"/>
  <c r="H346" i="2"/>
  <c r="G346" i="2"/>
  <c r="G338" i="2"/>
  <c r="H338" i="2"/>
  <c r="K658" i="2"/>
  <c r="G658" i="2"/>
  <c r="J658" i="2"/>
  <c r="I658" i="2"/>
  <c r="L658" i="2"/>
  <c r="H658" i="2"/>
  <c r="I655" i="2"/>
  <c r="K655" i="2"/>
  <c r="G655" i="2"/>
  <c r="J655" i="2"/>
  <c r="L655" i="2"/>
  <c r="H655" i="2"/>
  <c r="H642" i="2"/>
  <c r="G642" i="2"/>
  <c r="H643" i="2"/>
  <c r="G643" i="2"/>
  <c r="I654" i="2"/>
  <c r="I660" i="2" s="1"/>
  <c r="L654" i="2"/>
  <c r="L660" i="2" s="1"/>
  <c r="H654" i="2"/>
  <c r="H660" i="2" s="1"/>
  <c r="K654" i="2"/>
  <c r="K660" i="2" s="1"/>
  <c r="G654" i="2"/>
  <c r="G660" i="2" s="1"/>
  <c r="J654" i="2"/>
  <c r="J660" i="2" s="1"/>
  <c r="G646" i="2"/>
  <c r="H646" i="2"/>
  <c r="J659" i="2"/>
  <c r="K659" i="2"/>
  <c r="G659" i="2"/>
  <c r="L659" i="2"/>
  <c r="H659" i="2"/>
  <c r="I659" i="2"/>
  <c r="K1067" i="2"/>
  <c r="I1067" i="2"/>
  <c r="L1067" i="2"/>
  <c r="H1067" i="2"/>
  <c r="G1067" i="2"/>
  <c r="J1067" i="2"/>
  <c r="H1059" i="2"/>
  <c r="G1059" i="2"/>
  <c r="H1057" i="2"/>
  <c r="G1057" i="2"/>
  <c r="H1053" i="2"/>
  <c r="H1062" i="2" s="1"/>
  <c r="G1053" i="2"/>
  <c r="G1068" i="2"/>
  <c r="J1068" i="2"/>
  <c r="L1068" i="2"/>
  <c r="H1068" i="2"/>
  <c r="K1068" i="2"/>
  <c r="I1068" i="2"/>
  <c r="H1061" i="2"/>
  <c r="G1061" i="2"/>
  <c r="H1056" i="2"/>
  <c r="G1056" i="2"/>
  <c r="AP183" i="1"/>
  <c r="H333" i="2"/>
  <c r="G333" i="2"/>
  <c r="K347" i="2"/>
  <c r="I347" i="2"/>
  <c r="L347" i="2"/>
  <c r="H347" i="2"/>
  <c r="G347" i="2"/>
  <c r="J347" i="2"/>
  <c r="H336" i="2"/>
  <c r="G336" i="2"/>
  <c r="H337" i="2"/>
  <c r="G337" i="2"/>
  <c r="H335" i="2"/>
  <c r="G335" i="2"/>
  <c r="H339" i="2"/>
  <c r="G339" i="2"/>
  <c r="K349" i="2"/>
  <c r="G349" i="2"/>
  <c r="J349" i="2"/>
  <c r="I349" i="2"/>
  <c r="H349" i="2"/>
  <c r="L349" i="2"/>
  <c r="L348" i="2"/>
  <c r="G348" i="2"/>
  <c r="J348" i="2"/>
  <c r="K348" i="2"/>
  <c r="H348" i="2"/>
  <c r="I348" i="2"/>
  <c r="H648" i="2"/>
  <c r="G648" i="2"/>
  <c r="L657" i="2"/>
  <c r="I657" i="2"/>
  <c r="H657" i="2"/>
  <c r="J657" i="2"/>
  <c r="G657" i="2"/>
  <c r="K657" i="2"/>
  <c r="H647" i="2"/>
  <c r="G647" i="2"/>
  <c r="H645" i="2"/>
  <c r="G645" i="2"/>
  <c r="G641" i="2"/>
  <c r="G650" i="2" s="1"/>
  <c r="J638" i="2" s="1"/>
  <c r="J646" i="2" s="1"/>
  <c r="H641" i="2"/>
  <c r="H650" i="2" s="1"/>
  <c r="G656" i="2"/>
  <c r="I656" i="2"/>
  <c r="J656" i="2"/>
  <c r="K656" i="2"/>
  <c r="L656" i="2"/>
  <c r="H656" i="2"/>
  <c r="H649" i="2"/>
  <c r="G649" i="2"/>
  <c r="H644" i="2"/>
  <c r="G644" i="2"/>
  <c r="G1062" i="2"/>
  <c r="J1050" i="2" s="1"/>
  <c r="J1058" i="2" s="1"/>
  <c r="H1060" i="2"/>
  <c r="G1060" i="2"/>
  <c r="I1070" i="2"/>
  <c r="L1070" i="2"/>
  <c r="H1070" i="2"/>
  <c r="K1070" i="2"/>
  <c r="G1070" i="2"/>
  <c r="J1070" i="2"/>
  <c r="I1069" i="2"/>
  <c r="L1069" i="2"/>
  <c r="G1069" i="2"/>
  <c r="H1069" i="2"/>
  <c r="K1069" i="2"/>
  <c r="J1069" i="2"/>
  <c r="H1055" i="2"/>
  <c r="G1055" i="2"/>
  <c r="I1066" i="2"/>
  <c r="I1072" i="2" s="1"/>
  <c r="L1066" i="2"/>
  <c r="L1072" i="2" s="1"/>
  <c r="H1066" i="2"/>
  <c r="H1072" i="2" s="1"/>
  <c r="K1066" i="2"/>
  <c r="K1072" i="2" s="1"/>
  <c r="G1066" i="2"/>
  <c r="G1072" i="2" s="1"/>
  <c r="J1066" i="2"/>
  <c r="J1072" i="2" s="1"/>
  <c r="G1058" i="2"/>
  <c r="H1058" i="2"/>
  <c r="J1071" i="2"/>
  <c r="K1071" i="2"/>
  <c r="G1071" i="2"/>
  <c r="L1071" i="2"/>
  <c r="H1071" i="2"/>
  <c r="I1071" i="2"/>
  <c r="H1054" i="2"/>
  <c r="G1054" i="2"/>
  <c r="I555" i="1"/>
  <c r="H555" i="1"/>
  <c r="J555" i="1"/>
  <c r="G555" i="1"/>
  <c r="L555" i="1"/>
  <c r="K555" i="1"/>
  <c r="G540" i="1"/>
  <c r="H540" i="1"/>
  <c r="G551" i="1"/>
  <c r="H551" i="1"/>
  <c r="J551" i="1"/>
  <c r="K551" i="1"/>
  <c r="I551" i="1"/>
  <c r="L551" i="1"/>
  <c r="J554" i="1"/>
  <c r="L554" i="1"/>
  <c r="K554" i="1"/>
  <c r="H554" i="1"/>
  <c r="G554" i="1"/>
  <c r="I554" i="1"/>
  <c r="G556" i="1"/>
  <c r="L556" i="1"/>
  <c r="J556" i="1"/>
  <c r="K556" i="1"/>
  <c r="H556" i="1"/>
  <c r="I556" i="1"/>
  <c r="J552" i="1"/>
  <c r="G552" i="1"/>
  <c r="K552" i="1"/>
  <c r="I552" i="1"/>
  <c r="H552" i="1"/>
  <c r="L552" i="1"/>
  <c r="H545" i="1"/>
  <c r="G545" i="1"/>
  <c r="H538" i="1"/>
  <c r="G538" i="1"/>
  <c r="G543" i="1"/>
  <c r="H543" i="1"/>
  <c r="H541" i="1"/>
  <c r="G541" i="1"/>
  <c r="I553" i="1"/>
  <c r="G553" i="1"/>
  <c r="H553" i="1"/>
  <c r="J553" i="1"/>
  <c r="L553" i="1"/>
  <c r="K553" i="1"/>
  <c r="G546" i="1"/>
  <c r="H546" i="1"/>
  <c r="H544" i="1"/>
  <c r="G544" i="1"/>
  <c r="G542" i="1"/>
  <c r="H542" i="1"/>
  <c r="L967" i="1"/>
  <c r="G967" i="1"/>
  <c r="H967" i="1"/>
  <c r="I967" i="1"/>
  <c r="K967" i="1"/>
  <c r="J967" i="1"/>
  <c r="G956" i="1"/>
  <c r="H956" i="1"/>
  <c r="G955" i="1"/>
  <c r="H955" i="1"/>
  <c r="J968" i="1"/>
  <c r="H968" i="1"/>
  <c r="K968" i="1"/>
  <c r="G968" i="1"/>
  <c r="L968" i="1"/>
  <c r="I968" i="1"/>
  <c r="H954" i="1"/>
  <c r="G954" i="1"/>
  <c r="G952" i="1"/>
  <c r="H952" i="1"/>
  <c r="H953" i="1"/>
  <c r="G953" i="1"/>
  <c r="H966" i="1"/>
  <c r="K966" i="1"/>
  <c r="G966" i="1"/>
  <c r="I966" i="1"/>
  <c r="L966" i="1"/>
  <c r="J966" i="1"/>
  <c r="G200" i="1"/>
  <c r="H200" i="1"/>
  <c r="G199" i="1"/>
  <c r="H199" i="1"/>
  <c r="I211" i="1"/>
  <c r="H211" i="1"/>
  <c r="L211" i="1"/>
  <c r="J211" i="1"/>
  <c r="G211" i="1"/>
  <c r="K211" i="1"/>
  <c r="I210" i="1"/>
  <c r="L210" i="1"/>
  <c r="K210" i="1"/>
  <c r="G210" i="1"/>
  <c r="H210" i="1"/>
  <c r="J210" i="1"/>
  <c r="G203" i="1"/>
  <c r="H203" i="1"/>
  <c r="H198" i="1"/>
  <c r="H40" i="1" s="1"/>
  <c r="G198" i="1"/>
  <c r="K209" i="1"/>
  <c r="K215" i="1" s="1"/>
  <c r="J209" i="1"/>
  <c r="J215" i="1" s="1"/>
  <c r="H209" i="1"/>
  <c r="H215" i="1" s="1"/>
  <c r="G209" i="1"/>
  <c r="G215" i="1" s="1"/>
  <c r="I209" i="1"/>
  <c r="I215" i="1" s="1"/>
  <c r="L209" i="1"/>
  <c r="L215" i="1" s="1"/>
  <c r="H197" i="1"/>
  <c r="G197" i="1"/>
  <c r="F648" i="1"/>
  <c r="F643" i="1"/>
  <c r="F654" i="1"/>
  <c r="F659" i="1"/>
  <c r="F647" i="1"/>
  <c r="F642" i="1"/>
  <c r="F644" i="1"/>
  <c r="F645" i="1"/>
  <c r="F641" i="1"/>
  <c r="F655" i="1"/>
  <c r="F649" i="1"/>
  <c r="F657" i="1"/>
  <c r="F646" i="1"/>
  <c r="F656" i="1"/>
  <c r="F658" i="1"/>
  <c r="F854" i="1"/>
  <c r="F863" i="1"/>
  <c r="F848" i="1"/>
  <c r="F865" i="1"/>
  <c r="F847" i="1"/>
  <c r="F853" i="1"/>
  <c r="F864" i="1"/>
  <c r="F850" i="1"/>
  <c r="F861" i="1"/>
  <c r="F851" i="1"/>
  <c r="F862" i="1"/>
  <c r="F860" i="1"/>
  <c r="F855" i="1"/>
  <c r="F852" i="1"/>
  <c r="F849" i="1"/>
  <c r="H957" i="1"/>
  <c r="G957" i="1"/>
  <c r="H951" i="1"/>
  <c r="G951" i="1"/>
  <c r="H958" i="1"/>
  <c r="G958" i="1"/>
  <c r="G963" i="1"/>
  <c r="G969" i="1" s="1"/>
  <c r="K963" i="1"/>
  <c r="K969" i="1" s="1"/>
  <c r="J963" i="1"/>
  <c r="J969" i="1" s="1"/>
  <c r="L963" i="1"/>
  <c r="L969" i="1" s="1"/>
  <c r="H963" i="1"/>
  <c r="H969" i="1" s="1"/>
  <c r="I963" i="1"/>
  <c r="I969" i="1" s="1"/>
  <c r="J964" i="1"/>
  <c r="L964" i="1"/>
  <c r="K964" i="1"/>
  <c r="I964" i="1"/>
  <c r="G964" i="1"/>
  <c r="H964" i="1"/>
  <c r="J965" i="1"/>
  <c r="G965" i="1"/>
  <c r="L965" i="1"/>
  <c r="K965" i="1"/>
  <c r="I965" i="1"/>
  <c r="H965" i="1"/>
  <c r="G950" i="1"/>
  <c r="G959" i="1" s="1"/>
  <c r="H950" i="1"/>
  <c r="H959" i="1" s="1"/>
  <c r="L212" i="1"/>
  <c r="J212" i="1"/>
  <c r="I212" i="1"/>
  <c r="K212" i="1"/>
  <c r="H212" i="1"/>
  <c r="G212" i="1"/>
  <c r="H201" i="1"/>
  <c r="G201" i="1"/>
  <c r="I214" i="1"/>
  <c r="L214" i="1"/>
  <c r="J214" i="1"/>
  <c r="H214" i="1"/>
  <c r="K214" i="1"/>
  <c r="G214" i="1"/>
  <c r="H202" i="1"/>
  <c r="G202" i="1"/>
  <c r="H204" i="1"/>
  <c r="G204" i="1"/>
  <c r="K213" i="1"/>
  <c r="G213" i="1"/>
  <c r="H213" i="1"/>
  <c r="L213" i="1"/>
  <c r="I213" i="1"/>
  <c r="J213" i="1"/>
  <c r="G196" i="1"/>
  <c r="G205" i="1" s="1"/>
  <c r="J191" i="1" s="1"/>
  <c r="J201" i="1" s="1"/>
  <c r="N197" i="1" s="1"/>
  <c r="O197" i="1" s="1"/>
  <c r="O205" i="1" s="1"/>
  <c r="H196" i="1"/>
  <c r="H205" i="1" s="1"/>
  <c r="F1060" i="1"/>
  <c r="F1067" i="1"/>
  <c r="F1061" i="1"/>
  <c r="F1066" i="1"/>
  <c r="F1070" i="1"/>
  <c r="F1054" i="1"/>
  <c r="F1071" i="1"/>
  <c r="F1069" i="1"/>
  <c r="F1056" i="1"/>
  <c r="F1058" i="1"/>
  <c r="F1068" i="1"/>
  <c r="F1053" i="1"/>
  <c r="F1059" i="1"/>
  <c r="F1057" i="1"/>
  <c r="F1055" i="1"/>
  <c r="E300" i="1" l="1"/>
  <c r="F300" i="1" s="1"/>
  <c r="G300" i="1" s="1"/>
  <c r="L304" i="1"/>
  <c r="M304" i="1" s="1"/>
  <c r="H547" i="1"/>
  <c r="K557" i="1"/>
  <c r="G547" i="1"/>
  <c r="H557" i="1"/>
  <c r="E302" i="1"/>
  <c r="F302" i="1" s="1"/>
  <c r="G302" i="1" s="1"/>
  <c r="I557" i="1"/>
  <c r="J557" i="1"/>
  <c r="G557" i="1"/>
  <c r="L557" i="1"/>
  <c r="L302" i="1"/>
  <c r="M302" i="1" s="1"/>
  <c r="N302" i="1" s="1"/>
  <c r="E308" i="1"/>
  <c r="F308" i="1" s="1"/>
  <c r="G308" i="1" s="1"/>
  <c r="AF163" i="1"/>
  <c r="AF165" i="1" s="1"/>
  <c r="G32" i="1" s="1"/>
  <c r="L298" i="1"/>
  <c r="M298" i="1" s="1"/>
  <c r="N298" i="1" s="1"/>
  <c r="E298" i="1"/>
  <c r="F298" i="1" s="1"/>
  <c r="G298" i="1" s="1"/>
  <c r="E310" i="1"/>
  <c r="F310" i="1" s="1"/>
  <c r="G310" i="1" s="1"/>
  <c r="L306" i="1"/>
  <c r="M306" i="1" s="1"/>
  <c r="N306" i="1" s="1"/>
  <c r="E312" i="1"/>
  <c r="F312" i="1" s="1"/>
  <c r="G312" i="1" s="1"/>
  <c r="L314" i="1"/>
  <c r="M314" i="1" s="1"/>
  <c r="N314" i="1" s="1"/>
  <c r="L300" i="1"/>
  <c r="M300" i="1" s="1"/>
  <c r="N300" i="1" s="1"/>
  <c r="E304" i="1"/>
  <c r="F304" i="1" s="1"/>
  <c r="G304" i="1" s="1"/>
  <c r="L308" i="1"/>
  <c r="M308" i="1" s="1"/>
  <c r="N308" i="1" s="1"/>
  <c r="H52" i="1"/>
  <c r="H47" i="1"/>
  <c r="H27" i="1"/>
  <c r="H45" i="1"/>
  <c r="H57" i="1"/>
  <c r="H60" i="1"/>
  <c r="H55" i="1"/>
  <c r="E217" i="1"/>
  <c r="H20" i="1"/>
  <c r="H50" i="1"/>
  <c r="H62" i="1"/>
  <c r="H42" i="1"/>
  <c r="E306" i="1"/>
  <c r="F306" i="1" s="1"/>
  <c r="G306" i="1" s="1"/>
  <c r="E314" i="1"/>
  <c r="F314" i="1" s="1"/>
  <c r="G314" i="1" s="1"/>
  <c r="L312" i="1"/>
  <c r="M312" i="1" s="1"/>
  <c r="N312" i="1" s="1"/>
  <c r="R747" i="2"/>
  <c r="S747" i="2" s="1"/>
  <c r="R749" i="2"/>
  <c r="S749" i="2" s="1"/>
  <c r="R746" i="2"/>
  <c r="S746" i="2" s="1"/>
  <c r="R745" i="2"/>
  <c r="S745" i="2" s="1"/>
  <c r="Q757" i="2"/>
  <c r="O759" i="2" s="1"/>
  <c r="J47" i="1" s="1"/>
  <c r="R744" i="2"/>
  <c r="S744" i="2" s="1"/>
  <c r="R748" i="2"/>
  <c r="S748" i="2" s="1"/>
  <c r="N757" i="2"/>
  <c r="R750" i="2"/>
  <c r="S750" i="2" s="1"/>
  <c r="N1066" i="2"/>
  <c r="R1058" i="2"/>
  <c r="S1058" i="2" s="1"/>
  <c r="R1059" i="2"/>
  <c r="S1059" i="2" s="1"/>
  <c r="R1053" i="2"/>
  <c r="S1053" i="2" s="1"/>
  <c r="R1054" i="2"/>
  <c r="S1054" i="2" s="1"/>
  <c r="R1060" i="2"/>
  <c r="S1060" i="2" s="1"/>
  <c r="R1057" i="2"/>
  <c r="S1057" i="2" s="1"/>
  <c r="R1055" i="2"/>
  <c r="S1055" i="2" s="1"/>
  <c r="R1056" i="2"/>
  <c r="S1056" i="2" s="1"/>
  <c r="Q1066" i="2"/>
  <c r="O1068" i="2" s="1"/>
  <c r="J62" i="1" s="1"/>
  <c r="R646" i="2"/>
  <c r="S646" i="2" s="1"/>
  <c r="R647" i="2"/>
  <c r="S647" i="2" s="1"/>
  <c r="R641" i="2"/>
  <c r="S641" i="2" s="1"/>
  <c r="R642" i="2"/>
  <c r="S642" i="2" s="1"/>
  <c r="R648" i="2"/>
  <c r="S648" i="2" s="1"/>
  <c r="R643" i="2"/>
  <c r="S643" i="2" s="1"/>
  <c r="R645" i="2"/>
  <c r="S645" i="2" s="1"/>
  <c r="R644" i="2"/>
  <c r="S644" i="2" s="1"/>
  <c r="N654" i="2"/>
  <c r="Q654" i="2"/>
  <c r="O656" i="2" s="1"/>
  <c r="J42" i="1" s="1"/>
  <c r="I860" i="2"/>
  <c r="I866" i="2" s="1"/>
  <c r="L860" i="2"/>
  <c r="L866" i="2" s="1"/>
  <c r="H860" i="2"/>
  <c r="H866" i="2" s="1"/>
  <c r="K860" i="2"/>
  <c r="K866" i="2" s="1"/>
  <c r="G860" i="2"/>
  <c r="G866" i="2" s="1"/>
  <c r="J860" i="2"/>
  <c r="J866" i="2" s="1"/>
  <c r="J865" i="2"/>
  <c r="K865" i="2"/>
  <c r="G865" i="2"/>
  <c r="L865" i="2"/>
  <c r="H865" i="2"/>
  <c r="I865" i="2"/>
  <c r="H847" i="2"/>
  <c r="H856" i="2" s="1"/>
  <c r="G847" i="2"/>
  <c r="G856" i="2" s="1"/>
  <c r="J844" i="2" s="1"/>
  <c r="J852" i="2" s="1"/>
  <c r="H855" i="2"/>
  <c r="G855" i="2"/>
  <c r="H849" i="2"/>
  <c r="G849" i="2"/>
  <c r="I861" i="2"/>
  <c r="K861" i="2"/>
  <c r="L861" i="2"/>
  <c r="H861" i="2"/>
  <c r="G861" i="2"/>
  <c r="J861" i="2"/>
  <c r="G853" i="2"/>
  <c r="H853" i="2"/>
  <c r="R339" i="2"/>
  <c r="S339" i="2" s="1"/>
  <c r="N345" i="2"/>
  <c r="R337" i="2"/>
  <c r="S337" i="2" s="1"/>
  <c r="R332" i="2"/>
  <c r="S332" i="2" s="1"/>
  <c r="R338" i="2"/>
  <c r="S338" i="2" s="1"/>
  <c r="R335" i="2"/>
  <c r="S335" i="2" s="1"/>
  <c r="R334" i="2"/>
  <c r="S334" i="2" s="1"/>
  <c r="R333" i="2"/>
  <c r="S333" i="2" s="1"/>
  <c r="T333" i="2" s="1"/>
  <c r="T341" i="2" s="1"/>
  <c r="Q345" i="2" s="1"/>
  <c r="O347" i="2" s="1"/>
  <c r="J27" i="1" s="1"/>
  <c r="R336" i="2"/>
  <c r="S336" i="2" s="1"/>
  <c r="H851" i="2"/>
  <c r="G851" i="2"/>
  <c r="H852" i="2"/>
  <c r="G852" i="2"/>
  <c r="H848" i="2"/>
  <c r="G848" i="2"/>
  <c r="I862" i="2"/>
  <c r="K862" i="2"/>
  <c r="G862" i="2"/>
  <c r="J862" i="2"/>
  <c r="L862" i="2"/>
  <c r="H862" i="2"/>
  <c r="H850" i="2"/>
  <c r="G850" i="2"/>
  <c r="H854" i="2"/>
  <c r="G854" i="2"/>
  <c r="I864" i="2"/>
  <c r="L864" i="2"/>
  <c r="H864" i="2"/>
  <c r="K864" i="2"/>
  <c r="G864" i="2"/>
  <c r="J864" i="2"/>
  <c r="L863" i="2"/>
  <c r="K863" i="2"/>
  <c r="J863" i="2"/>
  <c r="G863" i="2"/>
  <c r="H863" i="2"/>
  <c r="I863" i="2"/>
  <c r="J947" i="1"/>
  <c r="J955" i="1" s="1"/>
  <c r="J535" i="1"/>
  <c r="J543" i="1" s="1"/>
  <c r="H35" i="1"/>
  <c r="H1055" i="1"/>
  <c r="G1055" i="1"/>
  <c r="H1059" i="1"/>
  <c r="G1059" i="1"/>
  <c r="H1058" i="1"/>
  <c r="G1058" i="1"/>
  <c r="J1069" i="1"/>
  <c r="I1069" i="1"/>
  <c r="H1069" i="1"/>
  <c r="G1069" i="1"/>
  <c r="L1069" i="1"/>
  <c r="K1069" i="1"/>
  <c r="I1071" i="1"/>
  <c r="J1071" i="1"/>
  <c r="H1071" i="1"/>
  <c r="G1071" i="1"/>
  <c r="L1071" i="1"/>
  <c r="K1071" i="1"/>
  <c r="K1070" i="1"/>
  <c r="J1070" i="1"/>
  <c r="L1070" i="1"/>
  <c r="H1070" i="1"/>
  <c r="G1070" i="1"/>
  <c r="I1070" i="1"/>
  <c r="G1061" i="1"/>
  <c r="H1061" i="1"/>
  <c r="G1060" i="1"/>
  <c r="H1060" i="1"/>
  <c r="R198" i="1"/>
  <c r="S198" i="1" s="1"/>
  <c r="R199" i="1"/>
  <c r="S199" i="1" s="1"/>
  <c r="R203" i="1"/>
  <c r="S203" i="1" s="1"/>
  <c r="R202" i="1"/>
  <c r="S202" i="1" s="1"/>
  <c r="R200" i="1"/>
  <c r="S200" i="1" s="1"/>
  <c r="R196" i="1"/>
  <c r="S196" i="1" s="1"/>
  <c r="R197" i="1"/>
  <c r="S197" i="1" s="1"/>
  <c r="T197" i="1" s="1"/>
  <c r="T205" i="1" s="1"/>
  <c r="Q209" i="1" s="1"/>
  <c r="R201" i="1"/>
  <c r="S201" i="1" s="1"/>
  <c r="N209" i="1"/>
  <c r="H849" i="1"/>
  <c r="G849" i="1"/>
  <c r="H855" i="1"/>
  <c r="G855" i="1"/>
  <c r="K862" i="1"/>
  <c r="G862" i="1"/>
  <c r="J862" i="1"/>
  <c r="I862" i="1"/>
  <c r="L862" i="1"/>
  <c r="H862" i="1"/>
  <c r="I861" i="1"/>
  <c r="G861" i="1"/>
  <c r="K861" i="1"/>
  <c r="H861" i="1"/>
  <c r="L861" i="1"/>
  <c r="J861" i="1"/>
  <c r="G864" i="1"/>
  <c r="K864" i="1"/>
  <c r="L864" i="1"/>
  <c r="H864" i="1"/>
  <c r="J864" i="1"/>
  <c r="I864" i="1"/>
  <c r="G847" i="1"/>
  <c r="H847" i="1"/>
  <c r="H848" i="1"/>
  <c r="G848" i="1"/>
  <c r="H854" i="1"/>
  <c r="G854" i="1"/>
  <c r="H658" i="1"/>
  <c r="L658" i="1"/>
  <c r="K658" i="1"/>
  <c r="I658" i="1"/>
  <c r="G658" i="1"/>
  <c r="J658" i="1"/>
  <c r="K657" i="1"/>
  <c r="H657" i="1"/>
  <c r="L657" i="1"/>
  <c r="G657" i="1"/>
  <c r="I657" i="1"/>
  <c r="J657" i="1"/>
  <c r="H655" i="1"/>
  <c r="J655" i="1"/>
  <c r="I655" i="1"/>
  <c r="K655" i="1"/>
  <c r="G655" i="1"/>
  <c r="L655" i="1"/>
  <c r="G645" i="1"/>
  <c r="H645" i="1"/>
  <c r="G642" i="1"/>
  <c r="H642" i="1"/>
  <c r="I659" i="1"/>
  <c r="H659" i="1"/>
  <c r="K659" i="1"/>
  <c r="L659" i="1"/>
  <c r="J659" i="1"/>
  <c r="G659" i="1"/>
  <c r="H643" i="1"/>
  <c r="G643" i="1"/>
  <c r="G1057" i="1"/>
  <c r="H1057" i="1"/>
  <c r="H1053" i="1"/>
  <c r="H1062" i="1" s="1"/>
  <c r="G1053" i="1"/>
  <c r="G1062" i="1" s="1"/>
  <c r="G1068" i="1"/>
  <c r="H1068" i="1"/>
  <c r="L1068" i="1"/>
  <c r="I1068" i="1"/>
  <c r="K1068" i="1"/>
  <c r="J1068" i="1"/>
  <c r="H1056" i="1"/>
  <c r="G1056" i="1"/>
  <c r="G1054" i="1"/>
  <c r="H1054" i="1"/>
  <c r="J1066" i="1"/>
  <c r="J1072" i="1" s="1"/>
  <c r="I1066" i="1"/>
  <c r="I1072" i="1" s="1"/>
  <c r="L1066" i="1"/>
  <c r="L1072" i="1" s="1"/>
  <c r="H1066" i="1"/>
  <c r="H1072" i="1" s="1"/>
  <c r="G1066" i="1"/>
  <c r="G1072" i="1" s="1"/>
  <c r="K1066" i="1"/>
  <c r="K1072" i="1" s="1"/>
  <c r="K1067" i="1"/>
  <c r="H1067" i="1"/>
  <c r="L1067" i="1"/>
  <c r="J1067" i="1"/>
  <c r="G1067" i="1"/>
  <c r="I1067" i="1"/>
  <c r="G852" i="1"/>
  <c r="H852" i="1"/>
  <c r="G860" i="1"/>
  <c r="G866" i="1" s="1"/>
  <c r="J860" i="1"/>
  <c r="I860" i="1"/>
  <c r="I866" i="1" s="1"/>
  <c r="K860" i="1"/>
  <c r="L860" i="1"/>
  <c r="H860" i="1"/>
  <c r="G851" i="1"/>
  <c r="H851" i="1"/>
  <c r="H850" i="1"/>
  <c r="G850" i="1"/>
  <c r="G853" i="1"/>
  <c r="H853" i="1"/>
  <c r="G865" i="1"/>
  <c r="I865" i="1"/>
  <c r="H865" i="1"/>
  <c r="K865" i="1"/>
  <c r="J865" i="1"/>
  <c r="L865" i="1"/>
  <c r="L863" i="1"/>
  <c r="J863" i="1"/>
  <c r="H863" i="1"/>
  <c r="I863" i="1"/>
  <c r="G863" i="1"/>
  <c r="K863" i="1"/>
  <c r="L656" i="1"/>
  <c r="J656" i="1"/>
  <c r="G656" i="1"/>
  <c r="K656" i="1"/>
  <c r="I656" i="1"/>
  <c r="H656" i="1"/>
  <c r="H646" i="1"/>
  <c r="G646" i="1"/>
  <c r="H649" i="1"/>
  <c r="G649" i="1"/>
  <c r="H641" i="1"/>
  <c r="H650" i="1" s="1"/>
  <c r="G641" i="1"/>
  <c r="G650" i="1" s="1"/>
  <c r="H644" i="1"/>
  <c r="G644" i="1"/>
  <c r="H647" i="1"/>
  <c r="G647" i="1"/>
  <c r="H654" i="1"/>
  <c r="I654" i="1"/>
  <c r="J654" i="1"/>
  <c r="J660" i="1" s="1"/>
  <c r="G654" i="1"/>
  <c r="K654" i="1"/>
  <c r="L654" i="1"/>
  <c r="G648" i="1"/>
  <c r="H648" i="1"/>
  <c r="O211" i="1" l="1"/>
  <c r="J20" i="1" s="1"/>
  <c r="N304" i="1"/>
  <c r="AG163" i="1"/>
  <c r="J866" i="1"/>
  <c r="H866" i="1"/>
  <c r="H660" i="1"/>
  <c r="G856" i="1"/>
  <c r="K866" i="1"/>
  <c r="H856" i="1"/>
  <c r="L866" i="1"/>
  <c r="I660" i="1"/>
  <c r="L660" i="1"/>
  <c r="G660" i="1"/>
  <c r="F135" i="1"/>
  <c r="H32" i="1"/>
  <c r="F432" i="2"/>
  <c r="F443" i="2" s="1"/>
  <c r="Q225" i="1"/>
  <c r="I233" i="1"/>
  <c r="U222" i="1"/>
  <c r="K237" i="1"/>
  <c r="AA219" i="1"/>
  <c r="AA220" i="1"/>
  <c r="Y221" i="1"/>
  <c r="Q220" i="1"/>
  <c r="AC222" i="1"/>
  <c r="Q223" i="1"/>
  <c r="O222" i="1"/>
  <c r="U219" i="1"/>
  <c r="Y219" i="1"/>
  <c r="K222" i="1"/>
  <c r="U221" i="1"/>
  <c r="K223" i="1"/>
  <c r="I224" i="1"/>
  <c r="AA225" i="1"/>
  <c r="O221" i="1"/>
  <c r="Q221" i="1"/>
  <c r="W225" i="1"/>
  <c r="AA221" i="1"/>
  <c r="I220" i="1"/>
  <c r="K219" i="1"/>
  <c r="Q219" i="1"/>
  <c r="O225" i="1"/>
  <c r="K235" i="1"/>
  <c r="I225" i="1"/>
  <c r="W221" i="1"/>
  <c r="I223" i="1"/>
  <c r="M225" i="1"/>
  <c r="U223" i="1"/>
  <c r="Y222" i="1"/>
  <c r="K231" i="1"/>
  <c r="M220" i="1"/>
  <c r="O223" i="1"/>
  <c r="K233" i="1"/>
  <c r="U220" i="1"/>
  <c r="O224" i="1"/>
  <c r="O220" i="1"/>
  <c r="AA222" i="1"/>
  <c r="K232" i="1"/>
  <c r="W220" i="1"/>
  <c r="AA223" i="1"/>
  <c r="M222" i="1"/>
  <c r="K220" i="1"/>
  <c r="Y224" i="1"/>
  <c r="AA224" i="1"/>
  <c r="I222" i="1"/>
  <c r="O219" i="1"/>
  <c r="Y220" i="1"/>
  <c r="W223" i="1"/>
  <c r="K236" i="1"/>
  <c r="I234" i="1"/>
  <c r="Y225" i="1"/>
  <c r="S223" i="1"/>
  <c r="AC219" i="1"/>
  <c r="U225" i="1"/>
  <c r="I232" i="1"/>
  <c r="M221" i="1"/>
  <c r="AC224" i="1"/>
  <c r="I231" i="1"/>
  <c r="I237" i="1"/>
  <c r="K234" i="1"/>
  <c r="I219" i="1"/>
  <c r="U224" i="1"/>
  <c r="I235" i="1"/>
  <c r="AC225" i="1"/>
  <c r="M224" i="1"/>
  <c r="S221" i="1"/>
  <c r="Y223" i="1"/>
  <c r="M219" i="1"/>
  <c r="AC221" i="1"/>
  <c r="S222" i="1"/>
  <c r="W224" i="1"/>
  <c r="S224" i="1"/>
  <c r="W219" i="1"/>
  <c r="Q224" i="1"/>
  <c r="W222" i="1"/>
  <c r="AC220" i="1"/>
  <c r="AC223" i="1"/>
  <c r="M223" i="1"/>
  <c r="I236" i="1"/>
  <c r="S220" i="1"/>
  <c r="Q222" i="1"/>
  <c r="K225" i="1"/>
  <c r="K221" i="1"/>
  <c r="K224" i="1"/>
  <c r="I221" i="1"/>
  <c r="S225" i="1"/>
  <c r="S219" i="1"/>
  <c r="R541" i="1"/>
  <c r="S541" i="1" s="1"/>
  <c r="R544" i="1"/>
  <c r="S544" i="1" s="1"/>
  <c r="Q551" i="1"/>
  <c r="O553" i="1" s="1"/>
  <c r="J35" i="1" s="1"/>
  <c r="R539" i="1"/>
  <c r="S539" i="1" s="1"/>
  <c r="R543" i="1"/>
  <c r="S543" i="1" s="1"/>
  <c r="R538" i="1"/>
  <c r="S538" i="1" s="1"/>
  <c r="R852" i="2"/>
  <c r="S852" i="2" s="1"/>
  <c r="R853" i="2"/>
  <c r="S853" i="2" s="1"/>
  <c r="R848" i="2"/>
  <c r="S848" i="2" s="1"/>
  <c r="R847" i="2"/>
  <c r="S847" i="2" s="1"/>
  <c r="R851" i="2"/>
  <c r="S851" i="2" s="1"/>
  <c r="R849" i="2"/>
  <c r="S849" i="2" s="1"/>
  <c r="R854" i="2"/>
  <c r="S854" i="2" s="1"/>
  <c r="R850" i="2"/>
  <c r="S850" i="2" s="1"/>
  <c r="Q860" i="2"/>
  <c r="O862" i="2" s="1"/>
  <c r="J52" i="1" s="1"/>
  <c r="N860" i="2"/>
  <c r="J1050" i="1"/>
  <c r="J1058" i="1" s="1"/>
  <c r="R954" i="1"/>
  <c r="S954" i="1" s="1"/>
  <c r="R950" i="1"/>
  <c r="S950" i="1" s="1"/>
  <c r="R956" i="1"/>
  <c r="S956" i="1" s="1"/>
  <c r="N963" i="1"/>
  <c r="R957" i="1"/>
  <c r="S957" i="1" s="1"/>
  <c r="R953" i="1"/>
  <c r="S953" i="1" s="1"/>
  <c r="R952" i="1"/>
  <c r="S952" i="1" s="1"/>
  <c r="Q963" i="1"/>
  <c r="O965" i="1" s="1"/>
  <c r="J55" i="1" s="1"/>
  <c r="R955" i="1"/>
  <c r="S955" i="1" s="1"/>
  <c r="R951" i="1"/>
  <c r="S951" i="1" s="1"/>
  <c r="J844" i="1"/>
  <c r="J852" i="1" s="1"/>
  <c r="N551" i="1"/>
  <c r="R542" i="1"/>
  <c r="S542" i="1" s="1"/>
  <c r="R540" i="1"/>
  <c r="S540" i="1" s="1"/>
  <c r="R545" i="1"/>
  <c r="S545" i="1" s="1"/>
  <c r="J638" i="1"/>
  <c r="J646" i="1" s="1"/>
  <c r="K660" i="1"/>
  <c r="F748" i="1"/>
  <c r="F750" i="1"/>
  <c r="F762" i="1"/>
  <c r="F759" i="1"/>
  <c r="F747" i="1"/>
  <c r="F745" i="1"/>
  <c r="F761" i="1"/>
  <c r="F752" i="1"/>
  <c r="F757" i="1"/>
  <c r="F749" i="1"/>
  <c r="F744" i="1"/>
  <c r="F746" i="1"/>
  <c r="F760" i="1"/>
  <c r="F758" i="1"/>
  <c r="F751" i="1"/>
  <c r="AM163" i="1" l="1"/>
  <c r="AG165" i="1"/>
  <c r="G37" i="1" s="1"/>
  <c r="F435" i="2"/>
  <c r="H435" i="2" s="1"/>
  <c r="F137" i="1"/>
  <c r="G30" i="1" s="1"/>
  <c r="F432" i="1" s="1"/>
  <c r="F453" i="1" s="1"/>
  <c r="O135" i="1"/>
  <c r="F453" i="2"/>
  <c r="I453" i="2" s="1"/>
  <c r="F451" i="2"/>
  <c r="G451" i="2" s="1"/>
  <c r="F450" i="2"/>
  <c r="J450" i="2" s="1"/>
  <c r="F452" i="2"/>
  <c r="G452" i="2" s="1"/>
  <c r="F439" i="2"/>
  <c r="G439" i="2" s="1"/>
  <c r="F440" i="2"/>
  <c r="F441" i="2"/>
  <c r="G441" i="2" s="1"/>
  <c r="F437" i="2"/>
  <c r="H437" i="2" s="1"/>
  <c r="F449" i="2"/>
  <c r="G449" i="2" s="1"/>
  <c r="F448" i="2"/>
  <c r="L448" i="2" s="1"/>
  <c r="G443" i="2"/>
  <c r="H443" i="2"/>
  <c r="F442" i="2"/>
  <c r="F438" i="2"/>
  <c r="F436" i="2"/>
  <c r="M228" i="1"/>
  <c r="W228" i="1"/>
  <c r="Y228" i="1"/>
  <c r="I238" i="1"/>
  <c r="K228" i="1"/>
  <c r="AA228" i="1"/>
  <c r="U228" i="1"/>
  <c r="S228" i="1"/>
  <c r="J69" i="1" s="1"/>
  <c r="O228" i="1"/>
  <c r="K238" i="1"/>
  <c r="I228" i="1"/>
  <c r="AC228" i="1"/>
  <c r="Q228" i="1"/>
  <c r="R1055" i="1"/>
  <c r="S1055" i="1" s="1"/>
  <c r="Q1066" i="1"/>
  <c r="O1068" i="1" s="1"/>
  <c r="J60" i="1" s="1"/>
  <c r="N1066" i="1"/>
  <c r="R1054" i="1"/>
  <c r="S1054" i="1" s="1"/>
  <c r="R1059" i="1"/>
  <c r="S1059" i="1" s="1"/>
  <c r="R1056" i="1"/>
  <c r="S1056" i="1" s="1"/>
  <c r="R1057" i="1"/>
  <c r="S1057" i="1" s="1"/>
  <c r="R1060" i="1"/>
  <c r="S1060" i="1" s="1"/>
  <c r="R1053" i="1"/>
  <c r="S1053" i="1" s="1"/>
  <c r="R1058" i="1"/>
  <c r="S1058" i="1" s="1"/>
  <c r="R848" i="1"/>
  <c r="S848" i="1" s="1"/>
  <c r="R849" i="1"/>
  <c r="S849" i="1" s="1"/>
  <c r="R847" i="1"/>
  <c r="S847" i="1" s="1"/>
  <c r="R852" i="1"/>
  <c r="S852" i="1" s="1"/>
  <c r="R850" i="1"/>
  <c r="S850" i="1" s="1"/>
  <c r="R854" i="1"/>
  <c r="S854" i="1" s="1"/>
  <c r="R853" i="1"/>
  <c r="S853" i="1" s="1"/>
  <c r="Q860" i="1"/>
  <c r="O862" i="1" s="1"/>
  <c r="J50" i="1" s="1"/>
  <c r="R851" i="1"/>
  <c r="S851" i="1" s="1"/>
  <c r="N860" i="1"/>
  <c r="R641" i="1"/>
  <c r="S641" i="1" s="1"/>
  <c r="R645" i="1"/>
  <c r="S645" i="1" s="1"/>
  <c r="R644" i="1"/>
  <c r="S644" i="1" s="1"/>
  <c r="R643" i="1"/>
  <c r="S643" i="1" s="1"/>
  <c r="R647" i="1"/>
  <c r="S647" i="1" s="1"/>
  <c r="R642" i="1"/>
  <c r="S642" i="1" s="1"/>
  <c r="N654" i="1"/>
  <c r="R646" i="1"/>
  <c r="S646" i="1" s="1"/>
  <c r="R648" i="1"/>
  <c r="S648" i="1" s="1"/>
  <c r="Q654" i="1"/>
  <c r="O656" i="1" s="1"/>
  <c r="J40" i="1" s="1"/>
  <c r="J758" i="1"/>
  <c r="G758" i="1"/>
  <c r="I758" i="1"/>
  <c r="H758" i="1"/>
  <c r="K758" i="1"/>
  <c r="L758" i="1"/>
  <c r="G746" i="1"/>
  <c r="H746" i="1"/>
  <c r="H749" i="1"/>
  <c r="G749" i="1"/>
  <c r="H752" i="1"/>
  <c r="G752" i="1"/>
  <c r="G745" i="1"/>
  <c r="H745" i="1"/>
  <c r="K759" i="1"/>
  <c r="J759" i="1"/>
  <c r="H759" i="1"/>
  <c r="G759" i="1"/>
  <c r="I759" i="1"/>
  <c r="L759" i="1"/>
  <c r="G750" i="1"/>
  <c r="H750" i="1"/>
  <c r="G751" i="1"/>
  <c r="H751" i="1"/>
  <c r="G760" i="1"/>
  <c r="K760" i="1"/>
  <c r="J760" i="1"/>
  <c r="I760" i="1"/>
  <c r="L760" i="1"/>
  <c r="H760" i="1"/>
  <c r="G744" i="1"/>
  <c r="G753" i="1" s="1"/>
  <c r="H744" i="1"/>
  <c r="H757" i="1"/>
  <c r="G757" i="1"/>
  <c r="G763" i="1" s="1"/>
  <c r="I757" i="1"/>
  <c r="I763" i="1" s="1"/>
  <c r="K757" i="1"/>
  <c r="K763" i="1" s="1"/>
  <c r="J757" i="1"/>
  <c r="L757" i="1"/>
  <c r="L761" i="1"/>
  <c r="H761" i="1"/>
  <c r="G761" i="1"/>
  <c r="J761" i="1"/>
  <c r="I761" i="1"/>
  <c r="K761" i="1"/>
  <c r="G747" i="1"/>
  <c r="H747" i="1"/>
  <c r="I762" i="1"/>
  <c r="K762" i="1"/>
  <c r="H762" i="1"/>
  <c r="J762" i="1"/>
  <c r="G762" i="1"/>
  <c r="L762" i="1"/>
  <c r="G748" i="1"/>
  <c r="H748" i="1"/>
  <c r="H317" i="1" l="1"/>
  <c r="M320" i="1" s="1"/>
  <c r="AA159" i="1" s="1"/>
  <c r="AA165" i="1" s="1"/>
  <c r="G22" i="1" s="1"/>
  <c r="H22" i="1" s="1"/>
  <c r="F535" i="2"/>
  <c r="H37" i="1"/>
  <c r="H753" i="1"/>
  <c r="H763" i="1"/>
  <c r="K453" i="2"/>
  <c r="F452" i="1"/>
  <c r="K452" i="1" s="1"/>
  <c r="J763" i="1"/>
  <c r="L763" i="1"/>
  <c r="K451" i="2"/>
  <c r="G435" i="2"/>
  <c r="J452" i="2"/>
  <c r="H451" i="2"/>
  <c r="G453" i="1"/>
  <c r="L453" i="1"/>
  <c r="H30" i="1"/>
  <c r="F448" i="1"/>
  <c r="H448" i="1" s="1"/>
  <c r="F435" i="1"/>
  <c r="H435" i="1" s="1"/>
  <c r="H444" i="1" s="1"/>
  <c r="F449" i="1"/>
  <c r="F441" i="1"/>
  <c r="H441" i="1" s="1"/>
  <c r="F439" i="1"/>
  <c r="H439" i="1" s="1"/>
  <c r="F443" i="1"/>
  <c r="G443" i="1" s="1"/>
  <c r="F442" i="1"/>
  <c r="F450" i="1"/>
  <c r="G450" i="1" s="1"/>
  <c r="F438" i="1"/>
  <c r="H438" i="1" s="1"/>
  <c r="F436" i="1"/>
  <c r="F437" i="1"/>
  <c r="F451" i="1"/>
  <c r="K452" i="2"/>
  <c r="H453" i="2"/>
  <c r="F440" i="1"/>
  <c r="H440" i="1" s="1"/>
  <c r="L453" i="2"/>
  <c r="H450" i="2"/>
  <c r="J453" i="2"/>
  <c r="G453" i="2"/>
  <c r="H453" i="1"/>
  <c r="J453" i="1"/>
  <c r="I451" i="2"/>
  <c r="K453" i="1"/>
  <c r="L451" i="2"/>
  <c r="J451" i="2"/>
  <c r="I453" i="1"/>
  <c r="K450" i="2"/>
  <c r="I450" i="2"/>
  <c r="G450" i="2"/>
  <c r="L450" i="2"/>
  <c r="L452" i="2"/>
  <c r="I452" i="2"/>
  <c r="H452" i="2"/>
  <c r="H441" i="2"/>
  <c r="H439" i="2"/>
  <c r="G440" i="2"/>
  <c r="H440" i="2"/>
  <c r="H449" i="2"/>
  <c r="I449" i="2"/>
  <c r="K449" i="2"/>
  <c r="G437" i="2"/>
  <c r="H448" i="2"/>
  <c r="L449" i="2"/>
  <c r="L454" i="2" s="1"/>
  <c r="J449" i="2"/>
  <c r="I448" i="2"/>
  <c r="G448" i="2"/>
  <c r="G454" i="2" s="1"/>
  <c r="K448" i="2"/>
  <c r="J448" i="2"/>
  <c r="J454" i="2" s="1"/>
  <c r="G442" i="2"/>
  <c r="H442" i="2"/>
  <c r="G436" i="2"/>
  <c r="H436" i="2"/>
  <c r="H444" i="2" s="1"/>
  <c r="H438" i="2"/>
  <c r="G438" i="2"/>
  <c r="J70" i="1"/>
  <c r="J85" i="1" s="1"/>
  <c r="J81" i="1"/>
  <c r="J741" i="1"/>
  <c r="J749" i="1" s="1"/>
  <c r="F320" i="1" l="1"/>
  <c r="E131" i="1" s="1"/>
  <c r="E137" i="1" s="1"/>
  <c r="G25" i="1" s="1"/>
  <c r="F329" i="1" s="1"/>
  <c r="F338" i="1" s="1"/>
  <c r="J452" i="1"/>
  <c r="H452" i="1"/>
  <c r="F541" i="2"/>
  <c r="F538" i="2"/>
  <c r="F555" i="2"/>
  <c r="F544" i="2"/>
  <c r="F552" i="2"/>
  <c r="F554" i="2"/>
  <c r="F546" i="2"/>
  <c r="F556" i="2"/>
  <c r="F542" i="2"/>
  <c r="F551" i="2"/>
  <c r="F553" i="2"/>
  <c r="F540" i="2"/>
  <c r="F539" i="2"/>
  <c r="F543" i="2"/>
  <c r="F545" i="2"/>
  <c r="G452" i="1"/>
  <c r="G448" i="1"/>
  <c r="G454" i="1" s="1"/>
  <c r="I452" i="1"/>
  <c r="L452" i="1"/>
  <c r="G441" i="1"/>
  <c r="G439" i="1"/>
  <c r="H443" i="1"/>
  <c r="I450" i="1"/>
  <c r="K448" i="1"/>
  <c r="K454" i="1" s="1"/>
  <c r="K450" i="1"/>
  <c r="I448" i="1"/>
  <c r="I454" i="1" s="1"/>
  <c r="J450" i="1"/>
  <c r="H450" i="1"/>
  <c r="L450" i="1"/>
  <c r="G438" i="1"/>
  <c r="L448" i="1"/>
  <c r="L454" i="1" s="1"/>
  <c r="G435" i="1"/>
  <c r="G444" i="1" s="1"/>
  <c r="J432" i="1" s="1"/>
  <c r="J440" i="1" s="1"/>
  <c r="N448" i="1" s="1"/>
  <c r="J448" i="1"/>
  <c r="J454" i="1" s="1"/>
  <c r="H454" i="1"/>
  <c r="J449" i="1"/>
  <c r="I449" i="1"/>
  <c r="H449" i="1"/>
  <c r="L449" i="1"/>
  <c r="K449" i="1"/>
  <c r="G449" i="1"/>
  <c r="H442" i="1"/>
  <c r="G442" i="1"/>
  <c r="H437" i="1"/>
  <c r="G437" i="1"/>
  <c r="H436" i="1"/>
  <c r="G436" i="1"/>
  <c r="G440" i="1"/>
  <c r="F193" i="2"/>
  <c r="F200" i="2" s="1"/>
  <c r="H200" i="2" s="1"/>
  <c r="K451" i="1"/>
  <c r="G451" i="1"/>
  <c r="L451" i="1"/>
  <c r="H451" i="1"/>
  <c r="I451" i="1"/>
  <c r="J451" i="1"/>
  <c r="H454" i="2"/>
  <c r="K454" i="2"/>
  <c r="I454" i="2"/>
  <c r="G444" i="2"/>
  <c r="J432" i="2" s="1"/>
  <c r="J440" i="2" s="1"/>
  <c r="R442" i="2" s="1"/>
  <c r="S442" i="2" s="1"/>
  <c r="N333" i="1"/>
  <c r="O333" i="1" s="1"/>
  <c r="O341" i="1" s="1"/>
  <c r="R744" i="1"/>
  <c r="S744" i="1" s="1"/>
  <c r="R747" i="1"/>
  <c r="S747" i="1" s="1"/>
  <c r="R745" i="1"/>
  <c r="S745" i="1" s="1"/>
  <c r="N757" i="1"/>
  <c r="R749" i="1"/>
  <c r="S749" i="1" s="1"/>
  <c r="R751" i="1"/>
  <c r="S751" i="1" s="1"/>
  <c r="R750" i="1"/>
  <c r="S750" i="1" s="1"/>
  <c r="Q757" i="1"/>
  <c r="O759" i="1" s="1"/>
  <c r="J45" i="1" s="1"/>
  <c r="R748" i="1"/>
  <c r="S748" i="1" s="1"/>
  <c r="R746" i="1"/>
  <c r="S746" i="1" s="1"/>
  <c r="G65" i="1" l="1"/>
  <c r="H25" i="1"/>
  <c r="G540" i="2"/>
  <c r="H540" i="2"/>
  <c r="G544" i="2"/>
  <c r="H544" i="2"/>
  <c r="I553" i="2"/>
  <c r="L553" i="2"/>
  <c r="G553" i="2"/>
  <c r="J553" i="2"/>
  <c r="H553" i="2"/>
  <c r="K553" i="2"/>
  <c r="H555" i="2"/>
  <c r="L555" i="2"/>
  <c r="K555" i="2"/>
  <c r="J555" i="2"/>
  <c r="G555" i="2"/>
  <c r="I555" i="2"/>
  <c r="K551" i="2"/>
  <c r="G551" i="2"/>
  <c r="L551" i="2"/>
  <c r="H551" i="2"/>
  <c r="I551" i="2"/>
  <c r="J551" i="2"/>
  <c r="G538" i="2"/>
  <c r="H538" i="2"/>
  <c r="H542" i="2"/>
  <c r="G542" i="2"/>
  <c r="H541" i="2"/>
  <c r="G541" i="2"/>
  <c r="J556" i="2"/>
  <c r="K556" i="2"/>
  <c r="G556" i="2"/>
  <c r="L556" i="2"/>
  <c r="I556" i="2"/>
  <c r="H556" i="2"/>
  <c r="H65" i="1"/>
  <c r="G545" i="2"/>
  <c r="H545" i="2"/>
  <c r="G546" i="2"/>
  <c r="H546" i="2"/>
  <c r="G543" i="2"/>
  <c r="H543" i="2"/>
  <c r="I554" i="2"/>
  <c r="L554" i="2"/>
  <c r="J554" i="2"/>
  <c r="K554" i="2"/>
  <c r="H554" i="2"/>
  <c r="G554" i="2"/>
  <c r="H539" i="2"/>
  <c r="G539" i="2"/>
  <c r="G552" i="2"/>
  <c r="J552" i="2"/>
  <c r="L552" i="2"/>
  <c r="L557" i="2" s="1"/>
  <c r="I552" i="2"/>
  <c r="I557" i="2" s="1"/>
  <c r="H552" i="2"/>
  <c r="K552" i="2"/>
  <c r="K557" i="2" s="1"/>
  <c r="R435" i="1"/>
  <c r="S435" i="1" s="1"/>
  <c r="R440" i="1"/>
  <c r="S440" i="1" s="1"/>
  <c r="R442" i="1"/>
  <c r="S442" i="1" s="1"/>
  <c r="Q448" i="1"/>
  <c r="O450" i="1" s="1"/>
  <c r="J30" i="1" s="1"/>
  <c r="R438" i="1"/>
  <c r="S438" i="1" s="1"/>
  <c r="R439" i="1"/>
  <c r="S439" i="1" s="1"/>
  <c r="R441" i="1"/>
  <c r="S441" i="1" s="1"/>
  <c r="R437" i="1"/>
  <c r="S437" i="1" s="1"/>
  <c r="R436" i="1"/>
  <c r="S436" i="1" s="1"/>
  <c r="F197" i="2"/>
  <c r="G197" i="2" s="1"/>
  <c r="F196" i="2"/>
  <c r="H196" i="2" s="1"/>
  <c r="G200" i="2"/>
  <c r="F209" i="2"/>
  <c r="I209" i="2" s="1"/>
  <c r="F203" i="2"/>
  <c r="H203" i="2" s="1"/>
  <c r="F214" i="2"/>
  <c r="I214" i="2" s="1"/>
  <c r="F201" i="2"/>
  <c r="H201" i="2" s="1"/>
  <c r="F212" i="2"/>
  <c r="K212" i="2" s="1"/>
  <c r="F211" i="2"/>
  <c r="H211" i="2" s="1"/>
  <c r="F198" i="2"/>
  <c r="H198" i="2" s="1"/>
  <c r="F210" i="2"/>
  <c r="I210" i="2" s="1"/>
  <c r="F204" i="2"/>
  <c r="H204" i="2" s="1"/>
  <c r="F202" i="2"/>
  <c r="G202" i="2" s="1"/>
  <c r="F213" i="2"/>
  <c r="L213" i="2" s="1"/>
  <c r="F199" i="2"/>
  <c r="G199" i="2" s="1"/>
  <c r="F334" i="1"/>
  <c r="G334" i="1" s="1"/>
  <c r="F349" i="1"/>
  <c r="G349" i="1" s="1"/>
  <c r="F335" i="1"/>
  <c r="G335" i="1" s="1"/>
  <c r="F336" i="1"/>
  <c r="H336" i="1" s="1"/>
  <c r="F337" i="1"/>
  <c r="G337" i="1" s="1"/>
  <c r="F332" i="1"/>
  <c r="H332" i="1" s="1"/>
  <c r="F347" i="1"/>
  <c r="K347" i="1" s="1"/>
  <c r="F339" i="1"/>
  <c r="H339" i="1" s="1"/>
  <c r="F333" i="1"/>
  <c r="H333" i="1" s="1"/>
  <c r="F348" i="1"/>
  <c r="J348" i="1" s="1"/>
  <c r="F345" i="1"/>
  <c r="H345" i="1" s="1"/>
  <c r="F350" i="1"/>
  <c r="G350" i="1" s="1"/>
  <c r="F346" i="1"/>
  <c r="H346" i="1" s="1"/>
  <c r="F340" i="1"/>
  <c r="G340" i="1" s="1"/>
  <c r="R440" i="2"/>
  <c r="S440" i="2" s="1"/>
  <c r="Q448" i="2"/>
  <c r="O450" i="2" s="1"/>
  <c r="J32" i="1" s="1"/>
  <c r="R436" i="2"/>
  <c r="S436" i="2" s="1"/>
  <c r="R439" i="2"/>
  <c r="S439" i="2" s="1"/>
  <c r="R441" i="2"/>
  <c r="S441" i="2" s="1"/>
  <c r="N448" i="2"/>
  <c r="R437" i="2"/>
  <c r="S437" i="2" s="1"/>
  <c r="R435" i="2"/>
  <c r="S435" i="2" s="1"/>
  <c r="R438" i="2"/>
  <c r="S438" i="2" s="1"/>
  <c r="G338" i="1"/>
  <c r="H338" i="1"/>
  <c r="L210" i="2" l="1"/>
  <c r="J210" i="2"/>
  <c r="H557" i="2"/>
  <c r="J209" i="2"/>
  <c r="J557" i="2"/>
  <c r="G547" i="2"/>
  <c r="J535" i="2" s="1"/>
  <c r="J543" i="2" s="1"/>
  <c r="R541" i="2" s="1"/>
  <c r="S541" i="2" s="1"/>
  <c r="K210" i="2"/>
  <c r="G557" i="2"/>
  <c r="G196" i="2"/>
  <c r="G336" i="1"/>
  <c r="H547" i="2"/>
  <c r="L209" i="2"/>
  <c r="K209" i="2"/>
  <c r="H210" i="2"/>
  <c r="H347" i="1"/>
  <c r="G214" i="2"/>
  <c r="L347" i="1"/>
  <c r="K213" i="2"/>
  <c r="K214" i="2"/>
  <c r="I213" i="2"/>
  <c r="H214" i="2"/>
  <c r="G213" i="2"/>
  <c r="J214" i="2"/>
  <c r="H213" i="2"/>
  <c r="L214" i="2"/>
  <c r="J213" i="2"/>
  <c r="G204" i="2"/>
  <c r="G210" i="2"/>
  <c r="I347" i="1"/>
  <c r="H202" i="2"/>
  <c r="G203" i="2"/>
  <c r="G347" i="1"/>
  <c r="H209" i="2"/>
  <c r="G209" i="2"/>
  <c r="G201" i="2"/>
  <c r="J347" i="1"/>
  <c r="G332" i="1"/>
  <c r="G341" i="1" s="1"/>
  <c r="J329" i="1" s="1"/>
  <c r="J337" i="1" s="1"/>
  <c r="R335" i="1" s="1"/>
  <c r="S335" i="1" s="1"/>
  <c r="H199" i="2"/>
  <c r="G212" i="2"/>
  <c r="H197" i="2"/>
  <c r="L349" i="1"/>
  <c r="K349" i="1"/>
  <c r="G211" i="2"/>
  <c r="J211" i="2"/>
  <c r="J349" i="1"/>
  <c r="G348" i="1"/>
  <c r="I211" i="2"/>
  <c r="K348" i="1"/>
  <c r="I349" i="1"/>
  <c r="H348" i="1"/>
  <c r="H351" i="1" s="1"/>
  <c r="K211" i="2"/>
  <c r="H349" i="1"/>
  <c r="I348" i="1"/>
  <c r="L211" i="2"/>
  <c r="G198" i="2"/>
  <c r="L345" i="1"/>
  <c r="G345" i="1"/>
  <c r="I345" i="1"/>
  <c r="H335" i="1"/>
  <c r="H341" i="1" s="1"/>
  <c r="J345" i="1"/>
  <c r="K345" i="1"/>
  <c r="K351" i="1" s="1"/>
  <c r="I212" i="2"/>
  <c r="H337" i="1"/>
  <c r="J212" i="2"/>
  <c r="L212" i="2"/>
  <c r="H212" i="2"/>
  <c r="H350" i="1"/>
  <c r="K350" i="1"/>
  <c r="J350" i="1"/>
  <c r="L350" i="1"/>
  <c r="G339" i="1"/>
  <c r="H334" i="1"/>
  <c r="I350" i="1"/>
  <c r="J346" i="1"/>
  <c r="G346" i="1"/>
  <c r="L348" i="1"/>
  <c r="I346" i="1"/>
  <c r="H205" i="2"/>
  <c r="L346" i="1"/>
  <c r="G333" i="1"/>
  <c r="K346" i="1"/>
  <c r="H340" i="1"/>
  <c r="N197" i="2"/>
  <c r="O197" i="2" s="1"/>
  <c r="O205" i="2" s="1"/>
  <c r="K215" i="2" l="1"/>
  <c r="G205" i="2"/>
  <c r="J191" i="2" s="1"/>
  <c r="J201" i="2" s="1"/>
  <c r="R198" i="2" s="1"/>
  <c r="S198" i="2" s="1"/>
  <c r="H215" i="2"/>
  <c r="G351" i="1"/>
  <c r="R545" i="2"/>
  <c r="S545" i="2" s="1"/>
  <c r="R544" i="2"/>
  <c r="S544" i="2" s="1"/>
  <c r="L351" i="1"/>
  <c r="J351" i="1"/>
  <c r="N551" i="2"/>
  <c r="R543" i="2"/>
  <c r="S543" i="2" s="1"/>
  <c r="R538" i="2"/>
  <c r="S538" i="2" s="1"/>
  <c r="Q551" i="2"/>
  <c r="O553" i="2" s="1"/>
  <c r="J37" i="1" s="1"/>
  <c r="R539" i="2"/>
  <c r="S539" i="2" s="1"/>
  <c r="R542" i="2"/>
  <c r="S542" i="2" s="1"/>
  <c r="R540" i="2"/>
  <c r="S540" i="2" s="1"/>
  <c r="J215" i="2"/>
  <c r="G215" i="2"/>
  <c r="L215" i="2"/>
  <c r="I351" i="1"/>
  <c r="I215" i="2"/>
  <c r="R334" i="1"/>
  <c r="S334" i="1" s="1"/>
  <c r="R336" i="1"/>
  <c r="S336" i="1" s="1"/>
  <c r="R339" i="1"/>
  <c r="S339" i="1" s="1"/>
  <c r="R333" i="1"/>
  <c r="S333" i="1" s="1"/>
  <c r="T333" i="1" s="1"/>
  <c r="T341" i="1" s="1"/>
  <c r="Q345" i="1" s="1"/>
  <c r="O347" i="1" s="1"/>
  <c r="J25" i="1" s="1"/>
  <c r="R332" i="1"/>
  <c r="S332" i="1" s="1"/>
  <c r="R338" i="1"/>
  <c r="S338" i="1" s="1"/>
  <c r="N345" i="1"/>
  <c r="R337" i="1"/>
  <c r="S337" i="1" s="1"/>
  <c r="R201" i="2" l="1"/>
  <c r="S201" i="2" s="1"/>
  <c r="R199" i="2"/>
  <c r="S199" i="2" s="1"/>
  <c r="R202" i="2"/>
  <c r="S202" i="2" s="1"/>
  <c r="R196" i="2"/>
  <c r="S196" i="2" s="1"/>
  <c r="R200" i="2"/>
  <c r="S200" i="2" s="1"/>
  <c r="R203" i="2"/>
  <c r="S203" i="2" s="1"/>
  <c r="N209" i="2"/>
  <c r="R197" i="2"/>
  <c r="S197" i="2" s="1"/>
  <c r="T197" i="2" s="1"/>
  <c r="T205" i="2" s="1"/>
  <c r="Q209" i="2" s="1"/>
  <c r="O211" i="2" l="1"/>
  <c r="J22" i="1" s="1"/>
  <c r="J65" i="1" s="1"/>
  <c r="G70" i="1" s="1"/>
  <c r="G81" i="1" s="1"/>
  <c r="J83" i="1" s="1"/>
  <c r="J87" i="1" s="1"/>
  <c r="J82" i="1" l="1"/>
</calcChain>
</file>

<file path=xl/comments1.xml><?xml version="1.0" encoding="utf-8"?>
<comments xmlns="http://schemas.openxmlformats.org/spreadsheetml/2006/main">
  <authors>
    <author>Jo Hermans</author>
  </authors>
  <commentList>
    <comment ref="E16" authorId="0" shapeId="0">
      <text>
        <r>
          <rPr>
            <b/>
            <sz val="8"/>
            <color indexed="81"/>
            <rFont val="Tahoma"/>
            <family val="2"/>
          </rPr>
          <t>Attentie: "bouwgrond" enkel voor een perceel grond gelegen in het Vlaamse Gewest dat volgens de stedenbouwkundige voorschriften bestemd is voor woningbouw, en voor zover het lokalisatiecriterium voor de registratierechten Vlaanderen is en minstens één begiftigde er zijn hoofdverblijfplaats vestigt binnen de 5 jaar !!</t>
        </r>
        <r>
          <rPr>
            <sz val="8"/>
            <color indexed="81"/>
            <rFont val="Tahoma"/>
            <family val="2"/>
          </rPr>
          <t xml:space="preserve">
</t>
        </r>
      </text>
    </comment>
    <comment ref="B19" authorId="0" shapeId="0">
      <text>
        <r>
          <rPr>
            <sz val="8"/>
            <color indexed="81"/>
            <rFont val="Tahoma"/>
            <family val="2"/>
          </rPr>
          <t>Naam van de cliënt</t>
        </r>
        <r>
          <rPr>
            <sz val="8"/>
            <color indexed="81"/>
            <rFont val="Tahoma"/>
            <family val="2"/>
          </rPr>
          <t xml:space="preserve">
</t>
        </r>
      </text>
    </comment>
  </commentList>
</comments>
</file>

<file path=xl/sharedStrings.xml><?xml version="1.0" encoding="utf-8"?>
<sst xmlns="http://schemas.openxmlformats.org/spreadsheetml/2006/main" count="562" uniqueCount="127">
  <si>
    <t>Dossier</t>
  </si>
  <si>
    <t>Cliënt</t>
  </si>
  <si>
    <t>------------------------------------------------------------------------------------------------</t>
  </si>
  <si>
    <t>Ereloon</t>
  </si>
  <si>
    <t>(BTW)</t>
  </si>
  <si>
    <t>Totaal</t>
  </si>
  <si>
    <t>Tot. Uitg.</t>
  </si>
  <si>
    <t>Samen</t>
  </si>
  <si>
    <t>BTW</t>
  </si>
  <si>
    <t>Totaal:</t>
  </si>
  <si>
    <t>Waarde OG:</t>
  </si>
  <si>
    <t>REEKS 1</t>
  </si>
  <si>
    <t>RL/norm.</t>
  </si>
  <si>
    <t>RL/bouwgr.</t>
  </si>
  <si>
    <t>Totaal loon</t>
  </si>
  <si>
    <t>REEKS 2</t>
  </si>
  <si>
    <t>Br/norm</t>
  </si>
  <si>
    <t>Br/bouwgr</t>
  </si>
  <si>
    <t>Oom/norm</t>
  </si>
  <si>
    <t>Oom/bwgr</t>
  </si>
  <si>
    <t>And/norm</t>
  </si>
  <si>
    <t>And/bwgr</t>
  </si>
  <si>
    <t>A</t>
  </si>
  <si>
    <t>B</t>
  </si>
  <si>
    <t>C</t>
  </si>
  <si>
    <t>D</t>
  </si>
  <si>
    <t>E</t>
  </si>
  <si>
    <t>F</t>
  </si>
  <si>
    <t>G</t>
  </si>
  <si>
    <t>H</t>
  </si>
  <si>
    <t>I</t>
  </si>
  <si>
    <t>J</t>
  </si>
  <si>
    <t>K</t>
  </si>
  <si>
    <t>L</t>
  </si>
  <si>
    <t>M</t>
  </si>
  <si>
    <t>bouwgrond</t>
  </si>
  <si>
    <t>andere</t>
  </si>
  <si>
    <t>rechte lijn</t>
  </si>
  <si>
    <t>broer/zuster</t>
  </si>
  <si>
    <t>oom-tante/neef-nicht</t>
  </si>
  <si>
    <t>Soort schenking</t>
  </si>
  <si>
    <t>vreemden</t>
  </si>
  <si>
    <t>op voorschot</t>
  </si>
  <si>
    <t>SCHENKING ONROEREND GOED VLAANDEREN</t>
  </si>
  <si>
    <t>Totale waarde geschonken goederen</t>
  </si>
  <si>
    <t>Bouwgrond of fam. onderneming?</t>
  </si>
  <si>
    <t>registratierecht akte</t>
  </si>
  <si>
    <t>registratierecht bijlage(n)</t>
  </si>
  <si>
    <t>provisie overschrijving (rols)</t>
  </si>
  <si>
    <t>stedenbouwkundige inlichtingen (niet verplicht)</t>
  </si>
  <si>
    <t>recht op geschriften</t>
  </si>
  <si>
    <t>dossierkosten</t>
  </si>
  <si>
    <t>Boekje</t>
  </si>
  <si>
    <t>fam. ond.</t>
  </si>
  <si>
    <t>vooruit en buiten deel</t>
  </si>
  <si>
    <t>Vruchtgebruik --&gt; jaarlijkse huurwaarde?</t>
  </si>
  <si>
    <t>Begiftigde 1</t>
  </si>
  <si>
    <t>Verwantschap</t>
  </si>
  <si>
    <t>Waarde</t>
  </si>
  <si>
    <t>Aandeel</t>
  </si>
  <si>
    <t>Registratie</t>
  </si>
  <si>
    <t>/</t>
  </si>
  <si>
    <t>VG</t>
  </si>
  <si>
    <t>echtgeno(o)t(e)</t>
  </si>
  <si>
    <t>neen</t>
  </si>
  <si>
    <t>Begiftigde 2</t>
  </si>
  <si>
    <t>BE</t>
  </si>
  <si>
    <t>Begiftigde 3</t>
  </si>
  <si>
    <t>Begiftigde 4</t>
  </si>
  <si>
    <t>Begiftigde 5</t>
  </si>
  <si>
    <t>Begiftigde 6</t>
  </si>
  <si>
    <t>Begiftigde 7</t>
  </si>
  <si>
    <t>Begiftigde 8</t>
  </si>
  <si>
    <t>Begiftigde 9</t>
  </si>
  <si>
    <t>ja</t>
  </si>
  <si>
    <t>VE</t>
  </si>
  <si>
    <t>Vruchtgebruik:</t>
  </si>
  <si>
    <t>Verminderingen wegens minderjarige kinderen van de begiftigden</t>
  </si>
  <si>
    <t>Echtgeno(o)t(e)</t>
  </si>
  <si>
    <t>Andere</t>
  </si>
  <si>
    <t>begiftigden</t>
  </si>
  <si>
    <t>Echtgenoot:</t>
  </si>
  <si>
    <t>Andere:</t>
  </si>
  <si>
    <t>Afrekening begiftigde 1</t>
  </si>
  <si>
    <t>Afrekening begiftigde 6</t>
  </si>
  <si>
    <t>Afrekening begiftigde 2</t>
  </si>
  <si>
    <t>Afrekening begiftigde 7</t>
  </si>
  <si>
    <t>Afrekening begiftigde 3</t>
  </si>
  <si>
    <t>Afrekening begiftigde 8</t>
  </si>
  <si>
    <t>Afrekening begiftigde 4</t>
  </si>
  <si>
    <t>Afrekening begiftigde 9</t>
  </si>
  <si>
    <t>Afrekening begiftigde 5</t>
  </si>
  <si>
    <t>Afrekening schenker</t>
  </si>
  <si>
    <t>Behoort het vruchtgebruik aan een of meerdere derden toe?</t>
  </si>
  <si>
    <t>Zo ja, welk is diens leeftijd (van de jongste)?</t>
  </si>
  <si>
    <t>Vruchtgebruik over welk deel van het goed?</t>
  </si>
  <si>
    <t>Waarde van het vruchtgebruik:</t>
  </si>
  <si>
    <t>Waarde VOLLEDIG vruchtgebruik derden</t>
  </si>
  <si>
    <t>VRUCHTGEBRUIK DERDE(N)</t>
  </si>
  <si>
    <t>=</t>
  </si>
  <si>
    <t>Eventueel vruchtgebruik 100 % begiftigde 1</t>
  </si>
  <si>
    <t>Eventueel vruchtgebruik 100 % begiftigde 1bis</t>
  </si>
  <si>
    <t>Eventueel vruchtgebruik 100 % begiftigde 2</t>
  </si>
  <si>
    <t>Eventueel vruchtgebruik 100 % begiftigde 2bis</t>
  </si>
  <si>
    <t>Eventueel vruchtgebruik 100 % begiftigde 3</t>
  </si>
  <si>
    <t>Eventueel vruchtgebruik 100 % begiftigde 3bis</t>
  </si>
  <si>
    <t>Eventueel vruchtgebruik 100 % begiftigde 4</t>
  </si>
  <si>
    <t>Eventueel vruchtgebruik 100 % begiftigde 4bis</t>
  </si>
  <si>
    <t>Eventueel vruchtgebruik 100 % begiftigde 5</t>
  </si>
  <si>
    <t>Eventueel vruchtgebruik 100 % begiftigde 5bis</t>
  </si>
  <si>
    <t>Eventueel vruchtgebruik 100 % begiftigde 6</t>
  </si>
  <si>
    <t>Eventueel vruchtgebruik 100 % begiftigde 6bis</t>
  </si>
  <si>
    <t>Eventueel vruchtgebruik 100 % begiftigde 7</t>
  </si>
  <si>
    <t>Eventueel vruchtgebruik 100 % begiftigde 7bis</t>
  </si>
  <si>
    <t>Eventueel vruchtgebruik 100 % begiftigde 8</t>
  </si>
  <si>
    <t>Eventueel vruchtgebruik 100 % begiftigde 8bis</t>
  </si>
  <si>
    <t>Eventueel vruchtgebruik 100 % begiftigde 9</t>
  </si>
  <si>
    <t>Eventueel vruchtgebruik 100 % begiftigde 9bis</t>
  </si>
  <si>
    <t>Vruchtgebruik</t>
  </si>
  <si>
    <t>RL/voordeel</t>
  </si>
  <si>
    <t>* Aandeel in de geschonken goederen?</t>
  </si>
  <si>
    <t xml:space="preserve">   * Als (eventueel) vruchtgebruik, leeftijd van de begiftigde?</t>
  </si>
  <si>
    <t>* Bijkomend aandeel in de geschonken goederen?</t>
  </si>
  <si>
    <t>EVG</t>
  </si>
  <si>
    <t>Basis berekening ereloon:</t>
  </si>
  <si>
    <t>ten laste</t>
  </si>
  <si>
    <t xml:space="preserve">Kind -21 j </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</si>
</sst>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0.00\ &quot;€&quot;;\-#,##0.00\ &quot;€&quot;"/>
    <numFmt numFmtId="165" formatCode="_-* #,##0.00\ &quot;€&quot;_-;\-* #,##0.00\ &quot;€&quot;_-;_-* &quot;-&quot;??\ &quot;€&quot;_-;_-@_-"/>
    <numFmt numFmtId="166" formatCode="_-* #,##0.00\ &quot;BF&quot;_-;\-* #,##0.00\ &quot;BF&quot;_-;_-* &quot;-&quot;??\ &quot;BF&quot;_-;_-@_-"/>
    <numFmt numFmtId="167" formatCode="_-* #,##0.00\ [$EUR]_-;\-* #,##0.00\ [$EUR]_-;_-* &quot;-&quot;??\ [$EUR]_-;_-@_-"/>
    <numFmt numFmtId="168" formatCode="#,##0_ ;\-#,##0\ "/>
    <numFmt numFmtId="169" formatCode="0.0000%"/>
    <numFmt numFmtId="170" formatCode="#.##000"/>
    <numFmt numFmtId="171" formatCode="_-* #,##0\ _F_B_-;\-* #,##0\ _F_B_-;_-* &quot;-&quot;\ _F_B_-;_-@_-"/>
    <numFmt numFmtId="172" formatCode="\$#,#00"/>
    <numFmt numFmtId="173" formatCode="_-* #,##0\ &quot;FB&quot;_-;\-* #,##0\ &quot;FB&quot;_-;_-* &quot;-&quot;\ &quot;FB&quot;_-;_-@_-"/>
    <numFmt numFmtId="174" formatCode="m\o\n\t\h\ d\,\ \y\y\y\y"/>
    <numFmt numFmtId="175" formatCode="#,#00"/>
    <numFmt numFmtId="176" formatCode="#,"/>
    <numFmt numFmtId="177" formatCode="%#,#00"/>
    <numFmt numFmtId="178" formatCode="#,##0.00\ &quot;€&quot;"/>
  </numFmts>
  <fonts count="17">
    <font>
      <sz val="10"/>
      <name val="Arial"/>
      <family val="2"/>
    </font>
    <font>
      <sz val="10"/>
      <name val="Arial"/>
      <family val="2"/>
    </font>
    <font>
      <b/>
      <sz val="10"/>
      <name val="Arial"/>
      <family val="2"/>
    </font>
    <font>
      <i/>
      <sz val="10"/>
      <name val="Arial"/>
      <family val="2"/>
    </font>
    <font>
      <u/>
      <sz val="10"/>
      <color indexed="12"/>
      <name val="Arial"/>
      <family val="2"/>
    </font>
    <font>
      <u/>
      <sz val="10"/>
      <name val="Arial"/>
      <family val="2"/>
    </font>
    <font>
      <b/>
      <sz val="14"/>
      <name val="Arial"/>
      <family val="2"/>
    </font>
    <font>
      <sz val="1"/>
      <color indexed="8"/>
      <name val="Courier"/>
      <family val="3"/>
    </font>
    <font>
      <b/>
      <sz val="1"/>
      <color indexed="8"/>
      <name val="Courier"/>
      <family val="3"/>
    </font>
    <font>
      <sz val="11"/>
      <color indexed="8"/>
      <name val="Calibri"/>
      <family val="2"/>
    </font>
    <font>
      <sz val="8"/>
      <color indexed="81"/>
      <name val="Tahoma"/>
      <family val="2"/>
    </font>
    <font>
      <b/>
      <sz val="8"/>
      <color indexed="81"/>
      <name val="Tahoma"/>
      <family val="2"/>
    </font>
    <font>
      <u val="singleAccounting"/>
      <sz val="10"/>
      <name val="Arial"/>
      <family val="2"/>
    </font>
    <font>
      <sz val="11"/>
      <color indexed="8"/>
      <name val="Futura Bk BT"/>
      <family val="2"/>
    </font>
    <font>
      <b/>
      <sz val="16"/>
      <color indexed="9"/>
      <name val="Arial"/>
      <family val="2"/>
    </font>
    <font>
      <sz val="11"/>
      <color theme="1"/>
      <name val="Calibri"/>
      <family val="2"/>
      <scheme val="minor"/>
    </font>
    <font>
      <sz val="9"/>
      <color rgb="FF333333"/>
      <name val="Courier New"/>
      <family val="3"/>
    </font>
  </fonts>
  <fills count="29">
    <fill>
      <patternFill patternType="none"/>
    </fill>
    <fill>
      <patternFill patternType="gray125"/>
    </fill>
    <fill>
      <patternFill patternType="solid">
        <fgColor indexed="52"/>
        <bgColor indexed="64"/>
      </patternFill>
    </fill>
    <fill>
      <patternFill patternType="solid">
        <fgColor indexed="22"/>
        <bgColor indexed="64"/>
      </patternFill>
    </fill>
    <fill>
      <patternFill patternType="solid">
        <fgColor indexed="9"/>
        <bgColor indexed="64"/>
      </patternFill>
    </fill>
    <fill>
      <patternFill patternType="solid">
        <fgColor indexed="12"/>
        <bgColor indexed="64"/>
      </patternFill>
    </fill>
    <fill>
      <patternFill patternType="solid">
        <fgColor indexed="42"/>
        <bgColor indexed="64"/>
      </patternFill>
    </fill>
    <fill>
      <patternFill patternType="solid">
        <fgColor indexed="43"/>
        <bgColor indexed="64"/>
      </patternFill>
    </fill>
    <fill>
      <patternFill patternType="solid">
        <fgColor indexed="11"/>
        <bgColor indexed="64"/>
      </patternFill>
    </fill>
    <fill>
      <patternFill patternType="solid">
        <fgColor indexed="41"/>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tint="-9.9978637043366805E-2"/>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249977111117893"/>
        <bgColor indexed="64"/>
      </patternFill>
    </fill>
    <fill>
      <patternFill patternType="solid">
        <fgColor theme="3" tint="0.59999389629810485"/>
        <bgColor indexed="64"/>
      </patternFill>
    </fill>
    <fill>
      <patternFill patternType="solid">
        <fgColor theme="5" tint="0.59999389629810485"/>
        <bgColor indexed="64"/>
      </patternFill>
    </fill>
    <fill>
      <patternFill patternType="solid">
        <fgColor theme="6"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00B050"/>
        <bgColor indexed="64"/>
      </patternFill>
    </fill>
    <fill>
      <patternFill patternType="solid">
        <fgColor rgb="FFFF0000"/>
        <bgColor indexed="64"/>
      </patternFill>
    </fill>
    <fill>
      <patternFill patternType="solid">
        <fgColor rgb="FF92D050"/>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4" tint="0.39997558519241921"/>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style="thin">
        <color indexed="20"/>
      </top>
      <bottom style="thin">
        <color indexed="20"/>
      </bottom>
      <diagonal/>
    </border>
    <border>
      <left/>
      <right/>
      <top style="thick">
        <color indexed="20"/>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7">
    <xf numFmtId="0" fontId="0" fillId="0" borderId="0"/>
    <xf numFmtId="170" fontId="7" fillId="0" borderId="0">
      <protection locked="0"/>
    </xf>
    <xf numFmtId="171" fontId="1" fillId="0" borderId="0" applyFont="0" applyFill="0" applyBorder="0" applyAlignment="0" applyProtection="0"/>
    <xf numFmtId="172" fontId="7" fillId="0" borderId="0">
      <protection locked="0"/>
    </xf>
    <xf numFmtId="173" fontId="1" fillId="0" borderId="0" applyFont="0" applyFill="0" applyBorder="0" applyAlignment="0" applyProtection="0"/>
    <xf numFmtId="174" fontId="7" fillId="0" borderId="0">
      <protection locked="0"/>
    </xf>
    <xf numFmtId="175" fontId="7" fillId="0" borderId="0">
      <protection locked="0"/>
    </xf>
    <xf numFmtId="176" fontId="8" fillId="0" borderId="0">
      <protection locked="0"/>
    </xf>
    <xf numFmtId="176" fontId="8" fillId="0" borderId="0">
      <protection locked="0"/>
    </xf>
    <xf numFmtId="0" fontId="4" fillId="0" borderId="0" applyNumberFormat="0" applyFill="0" applyBorder="0" applyAlignment="0" applyProtection="0">
      <alignment vertical="top"/>
      <protection locked="0"/>
    </xf>
    <xf numFmtId="177" fontId="7" fillId="0" borderId="0">
      <protection locked="0"/>
    </xf>
    <xf numFmtId="9" fontId="1" fillId="0" borderId="0" applyFont="0" applyFill="0" applyBorder="0" applyAlignment="0" applyProtection="0"/>
    <xf numFmtId="0" fontId="9" fillId="0" borderId="0"/>
    <xf numFmtId="0" fontId="15" fillId="0" borderId="0"/>
    <xf numFmtId="0" fontId="1" fillId="0" borderId="0"/>
    <xf numFmtId="0" fontId="15" fillId="0" borderId="0"/>
    <xf numFmtId="176" fontId="7" fillId="0" borderId="1">
      <protection locked="0"/>
    </xf>
  </cellStyleXfs>
  <cellXfs count="166">
    <xf numFmtId="0" fontId="0" fillId="0" borderId="0" xfId="0"/>
    <xf numFmtId="178" fontId="0" fillId="2" borderId="2" xfId="0" applyNumberFormat="1" applyFill="1" applyBorder="1" applyAlignment="1" applyProtection="1">
      <alignment horizontal="right"/>
      <protection hidden="1"/>
    </xf>
    <xf numFmtId="1" fontId="0" fillId="4" borderId="0" xfId="0" applyNumberFormat="1" applyFill="1" applyBorder="1" applyAlignment="1" applyProtection="1">
      <alignment horizontal="right"/>
      <protection hidden="1"/>
    </xf>
    <xf numFmtId="0" fontId="14" fillId="5" borderId="4" xfId="0" applyFont="1" applyFill="1" applyBorder="1" applyAlignment="1" applyProtection="1">
      <alignment horizontal="left"/>
      <protection hidden="1"/>
    </xf>
    <xf numFmtId="0" fontId="2" fillId="4" borderId="0" xfId="0" applyFont="1" applyFill="1" applyBorder="1" applyAlignment="1" applyProtection="1">
      <alignment horizontal="left"/>
      <protection hidden="1"/>
    </xf>
    <xf numFmtId="0" fontId="0" fillId="4" borderId="0" xfId="0" applyNumberFormat="1" applyFill="1" applyBorder="1" applyAlignment="1" applyProtection="1">
      <protection hidden="1"/>
    </xf>
    <xf numFmtId="166" fontId="0" fillId="4" borderId="0" xfId="0" applyNumberFormat="1" applyFill="1" applyBorder="1" applyAlignment="1" applyProtection="1">
      <protection hidden="1"/>
    </xf>
    <xf numFmtId="0" fontId="0" fillId="4" borderId="0" xfId="0" applyFill="1" applyBorder="1" applyProtection="1">
      <protection hidden="1"/>
    </xf>
    <xf numFmtId="166" fontId="0" fillId="4" borderId="0" xfId="0" applyNumberFormat="1" applyFill="1" applyBorder="1" applyAlignment="1" applyProtection="1">
      <alignment horizontal="left"/>
      <protection hidden="1"/>
    </xf>
    <xf numFmtId="164" fontId="0" fillId="4" borderId="0" xfId="0" applyNumberFormat="1" applyFill="1" applyBorder="1" applyAlignment="1" applyProtection="1">
      <protection hidden="1"/>
    </xf>
    <xf numFmtId="0" fontId="0" fillId="4" borderId="0" xfId="0" applyFill="1" applyBorder="1" applyAlignment="1" applyProtection="1">
      <alignment horizontal="left"/>
      <protection hidden="1"/>
    </xf>
    <xf numFmtId="0" fontId="5" fillId="4" borderId="0" xfId="0" applyFont="1" applyFill="1" applyBorder="1" applyAlignment="1" applyProtection="1">
      <alignment horizontal="center"/>
      <protection hidden="1"/>
    </xf>
    <xf numFmtId="166" fontId="12" fillId="4" borderId="0" xfId="0" applyNumberFormat="1" applyFont="1" applyFill="1" applyBorder="1" applyAlignment="1" applyProtection="1">
      <alignment horizontal="center"/>
      <protection hidden="1"/>
    </xf>
    <xf numFmtId="0" fontId="1" fillId="4" borderId="0" xfId="0" applyFont="1" applyFill="1" applyBorder="1" applyAlignment="1" applyProtection="1">
      <alignment horizontal="left"/>
      <protection hidden="1"/>
    </xf>
    <xf numFmtId="10" fontId="1" fillId="4" borderId="0" xfId="0" applyNumberFormat="1" applyFont="1" applyFill="1" applyBorder="1" applyAlignment="1" applyProtection="1">
      <alignment horizontal="center"/>
      <protection hidden="1"/>
    </xf>
    <xf numFmtId="166" fontId="1" fillId="4" borderId="0" xfId="0" applyNumberFormat="1" applyFont="1" applyFill="1" applyBorder="1" applyAlignment="1" applyProtection="1">
      <protection hidden="1"/>
    </xf>
    <xf numFmtId="178" fontId="0" fillId="4" borderId="0" xfId="0" applyNumberFormat="1" applyFill="1" applyBorder="1" applyProtection="1">
      <protection hidden="1"/>
    </xf>
    <xf numFmtId="0" fontId="1" fillId="4" borderId="0" xfId="0" applyNumberFormat="1" applyFont="1" applyFill="1" applyBorder="1" applyAlignment="1" applyProtection="1">
      <alignment horizontal="right"/>
      <protection hidden="1"/>
    </xf>
    <xf numFmtId="0" fontId="2" fillId="4" borderId="0" xfId="0" quotePrefix="1" applyFont="1" applyFill="1" applyBorder="1" applyAlignment="1" applyProtection="1">
      <alignment horizontal="left"/>
      <protection hidden="1"/>
    </xf>
    <xf numFmtId="167" fontId="0" fillId="4" borderId="0" xfId="0" applyNumberFormat="1" applyFill="1" applyBorder="1" applyAlignment="1" applyProtection="1">
      <alignment horizontal="right"/>
      <protection hidden="1"/>
    </xf>
    <xf numFmtId="178" fontId="0" fillId="4" borderId="0" xfId="0" applyNumberFormat="1" applyFill="1" applyBorder="1" applyAlignment="1" applyProtection="1">
      <alignment horizontal="right"/>
      <protection hidden="1"/>
    </xf>
    <xf numFmtId="178" fontId="3" fillId="4" borderId="0" xfId="0" applyNumberFormat="1" applyFont="1" applyFill="1" applyBorder="1" applyAlignment="1" applyProtection="1">
      <alignment horizontal="right"/>
      <protection hidden="1"/>
    </xf>
    <xf numFmtId="166" fontId="1" fillId="4" borderId="0" xfId="0" applyNumberFormat="1" applyFont="1" applyFill="1" applyBorder="1" applyAlignment="1" applyProtection="1">
      <alignment horizontal="right"/>
      <protection hidden="1"/>
    </xf>
    <xf numFmtId="0" fontId="0" fillId="4" borderId="0" xfId="0" applyFill="1" applyBorder="1" applyAlignment="1" applyProtection="1">
      <alignment horizontal="right"/>
      <protection hidden="1"/>
    </xf>
    <xf numFmtId="4" fontId="0" fillId="4" borderId="0" xfId="0" applyNumberFormat="1" applyFill="1" applyBorder="1" applyProtection="1">
      <protection hidden="1"/>
    </xf>
    <xf numFmtId="0" fontId="2" fillId="4" borderId="0" xfId="0" applyFont="1" applyFill="1" applyBorder="1" applyProtection="1">
      <protection hidden="1"/>
    </xf>
    <xf numFmtId="4" fontId="0" fillId="4" borderId="0" xfId="0" applyNumberFormat="1" applyFill="1" applyBorder="1" applyAlignment="1" applyProtection="1">
      <alignment horizontal="center"/>
      <protection hidden="1"/>
    </xf>
    <xf numFmtId="3" fontId="4" fillId="4" borderId="0" xfId="9" applyNumberFormat="1" applyFill="1" applyBorder="1" applyAlignment="1" applyProtection="1">
      <protection hidden="1"/>
    </xf>
    <xf numFmtId="13" fontId="0" fillId="4" borderId="0" xfId="0" applyNumberFormat="1" applyFill="1" applyBorder="1" applyProtection="1">
      <protection hidden="1"/>
    </xf>
    <xf numFmtId="0" fontId="0" fillId="4" borderId="0" xfId="0" applyFill="1" applyBorder="1" applyAlignment="1" applyProtection="1">
      <alignment horizontal="center"/>
      <protection hidden="1"/>
    </xf>
    <xf numFmtId="2" fontId="0" fillId="4" borderId="0" xfId="0" applyNumberFormat="1" applyFill="1" applyBorder="1" applyProtection="1">
      <protection hidden="1"/>
    </xf>
    <xf numFmtId="2" fontId="0" fillId="4" borderId="5" xfId="0" applyNumberFormat="1" applyFill="1" applyBorder="1" applyProtection="1">
      <protection hidden="1"/>
    </xf>
    <xf numFmtId="0" fontId="0" fillId="4" borderId="5" xfId="0" applyFill="1" applyBorder="1" applyProtection="1">
      <protection hidden="1"/>
    </xf>
    <xf numFmtId="0" fontId="0" fillId="4" borderId="5" xfId="0" applyFill="1" applyBorder="1" applyAlignment="1" applyProtection="1">
      <alignment horizontal="center"/>
      <protection hidden="1"/>
    </xf>
    <xf numFmtId="2" fontId="0" fillId="4" borderId="6" xfId="0" applyNumberFormat="1" applyFill="1" applyBorder="1" applyProtection="1">
      <protection hidden="1"/>
    </xf>
    <xf numFmtId="4" fontId="2" fillId="4" borderId="0" xfId="0" applyNumberFormat="1" applyFont="1" applyFill="1" applyBorder="1" applyProtection="1">
      <protection hidden="1"/>
    </xf>
    <xf numFmtId="4" fontId="1" fillId="4" borderId="0" xfId="0" applyNumberFormat="1" applyFont="1" applyFill="1" applyBorder="1" applyProtection="1">
      <protection hidden="1"/>
    </xf>
    <xf numFmtId="4" fontId="5" fillId="4" borderId="0" xfId="0" applyNumberFormat="1" applyFont="1" applyFill="1" applyBorder="1" applyProtection="1">
      <protection hidden="1"/>
    </xf>
    <xf numFmtId="4" fontId="2" fillId="4" borderId="0" xfId="0" applyNumberFormat="1" applyFont="1" applyFill="1" applyBorder="1" applyAlignment="1" applyProtection="1">
      <alignment horizontal="center"/>
      <protection hidden="1"/>
    </xf>
    <xf numFmtId="167" fontId="0" fillId="4" borderId="0" xfId="0" applyNumberFormat="1" applyFill="1" applyBorder="1" applyAlignment="1" applyProtection="1">
      <alignment horizontal="left"/>
      <protection hidden="1"/>
    </xf>
    <xf numFmtId="4" fontId="0" fillId="4" borderId="0" xfId="0" applyNumberFormat="1" applyFont="1" applyFill="1" applyBorder="1" applyAlignment="1" applyProtection="1">
      <alignment horizontal="left"/>
      <protection hidden="1"/>
    </xf>
    <xf numFmtId="4" fontId="1" fillId="4" borderId="0" xfId="0" quotePrefix="1" applyNumberFormat="1" applyFont="1" applyFill="1" applyBorder="1" applyProtection="1">
      <protection hidden="1"/>
    </xf>
    <xf numFmtId="4" fontId="1" fillId="4" borderId="0" xfId="0" quotePrefix="1" applyNumberFormat="1" applyFont="1" applyFill="1" applyBorder="1" applyAlignment="1" applyProtection="1">
      <alignment horizontal="left"/>
      <protection hidden="1"/>
    </xf>
    <xf numFmtId="4" fontId="0" fillId="4" borderId="0" xfId="0" applyNumberFormat="1" applyFont="1" applyFill="1" applyBorder="1" applyProtection="1">
      <protection hidden="1"/>
    </xf>
    <xf numFmtId="164" fontId="0" fillId="4" borderId="0" xfId="0" applyNumberFormat="1" applyFill="1" applyBorder="1" applyProtection="1">
      <protection hidden="1"/>
    </xf>
    <xf numFmtId="4" fontId="1" fillId="4" borderId="0" xfId="11" applyNumberFormat="1" applyFont="1" applyFill="1" applyBorder="1" applyProtection="1">
      <protection hidden="1"/>
    </xf>
    <xf numFmtId="169" fontId="1" fillId="4" borderId="0" xfId="11" applyNumberFormat="1" applyFont="1" applyFill="1" applyBorder="1" applyProtection="1">
      <protection hidden="1"/>
    </xf>
    <xf numFmtId="0" fontId="2" fillId="6" borderId="0" xfId="0" applyFont="1" applyFill="1" applyBorder="1" applyAlignment="1" applyProtection="1">
      <alignment horizontal="left"/>
      <protection hidden="1"/>
    </xf>
    <xf numFmtId="0" fontId="1" fillId="7" borderId="0" xfId="0" applyFont="1" applyFill="1" applyBorder="1" applyAlignment="1" applyProtection="1">
      <alignment horizontal="center"/>
      <protection locked="0" hidden="1"/>
    </xf>
    <xf numFmtId="0" fontId="2" fillId="7" borderId="0" xfId="0" applyNumberFormat="1" applyFont="1" applyFill="1" applyBorder="1" applyAlignment="1" applyProtection="1">
      <alignment horizontal="center"/>
      <protection hidden="1"/>
    </xf>
    <xf numFmtId="168" fontId="2" fillId="4" borderId="0" xfId="0" applyNumberFormat="1" applyFont="1" applyFill="1" applyBorder="1" applyAlignment="1" applyProtection="1">
      <alignment horizontal="center"/>
      <protection hidden="1"/>
    </xf>
    <xf numFmtId="165" fontId="2" fillId="3" borderId="3" xfId="0" applyNumberFormat="1" applyFont="1" applyFill="1" applyBorder="1" applyAlignment="1" applyProtection="1">
      <alignment horizontal="center"/>
      <protection hidden="1"/>
    </xf>
    <xf numFmtId="165" fontId="1" fillId="3" borderId="3" xfId="0" applyNumberFormat="1" applyFont="1" applyFill="1" applyBorder="1" applyAlignment="1" applyProtection="1">
      <alignment horizontal="left"/>
      <protection hidden="1"/>
    </xf>
    <xf numFmtId="0" fontId="13" fillId="4" borderId="0" xfId="12" applyFont="1" applyFill="1" applyProtection="1">
      <protection hidden="1"/>
    </xf>
    <xf numFmtId="0" fontId="2" fillId="7" borderId="0" xfId="0" applyNumberFormat="1" applyFont="1" applyFill="1" applyBorder="1" applyAlignment="1" applyProtection="1">
      <alignment horizontal="left"/>
      <protection locked="0"/>
    </xf>
    <xf numFmtId="0" fontId="2" fillId="6" borderId="0" xfId="0" applyNumberFormat="1" applyFont="1" applyFill="1" applyBorder="1" applyAlignment="1" applyProtection="1">
      <alignment horizontal="left"/>
      <protection locked="0"/>
    </xf>
    <xf numFmtId="164" fontId="0" fillId="8" borderId="0" xfId="0" applyNumberFormat="1" applyFill="1" applyBorder="1" applyAlignment="1" applyProtection="1">
      <protection locked="0"/>
    </xf>
    <xf numFmtId="164" fontId="0" fillId="9" borderId="0" xfId="0" applyNumberFormat="1" applyFill="1" applyBorder="1" applyAlignment="1" applyProtection="1">
      <alignment horizontal="right"/>
      <protection locked="0"/>
    </xf>
    <xf numFmtId="1" fontId="0" fillId="7" borderId="0" xfId="0" applyNumberFormat="1" applyFill="1" applyBorder="1" applyAlignment="1" applyProtection="1">
      <alignment horizontal="center"/>
      <protection locked="0"/>
    </xf>
    <xf numFmtId="0" fontId="0" fillId="7" borderId="0" xfId="0" applyFill="1" applyBorder="1" applyAlignment="1" applyProtection="1">
      <alignment horizontal="center"/>
      <protection locked="0"/>
    </xf>
    <xf numFmtId="168" fontId="1" fillId="9" borderId="0" xfId="0" applyNumberFormat="1" applyFont="1" applyFill="1" applyBorder="1" applyAlignment="1" applyProtection="1">
      <alignment horizontal="right"/>
      <protection locked="0"/>
    </xf>
    <xf numFmtId="178" fontId="0" fillId="7" borderId="0" xfId="0" applyNumberFormat="1" applyFill="1" applyBorder="1" applyAlignment="1" applyProtection="1">
      <alignment horizontal="right"/>
      <protection locked="0"/>
    </xf>
    <xf numFmtId="3" fontId="4" fillId="4" borderId="0" xfId="9" applyNumberFormat="1" applyFill="1" applyBorder="1" applyAlignment="1" applyProtection="1"/>
    <xf numFmtId="4" fontId="4" fillId="4" borderId="0" xfId="9" applyNumberFormat="1" applyFill="1" applyBorder="1" applyAlignment="1" applyProtection="1"/>
    <xf numFmtId="166" fontId="0" fillId="4" borderId="0" xfId="0" applyNumberFormat="1" applyFont="1" applyFill="1" applyBorder="1" applyAlignment="1" applyProtection="1">
      <alignment horizontal="left"/>
      <protection hidden="1"/>
    </xf>
    <xf numFmtId="166" fontId="1" fillId="4" borderId="0" xfId="0" applyNumberFormat="1" applyFont="1" applyFill="1" applyBorder="1" applyAlignment="1" applyProtection="1">
      <alignment horizontal="left"/>
      <protection hidden="1"/>
    </xf>
    <xf numFmtId="0" fontId="1" fillId="4" borderId="0" xfId="0" applyFont="1" applyFill="1" applyBorder="1" applyProtection="1">
      <protection hidden="1"/>
    </xf>
    <xf numFmtId="0" fontId="1" fillId="12" borderId="0" xfId="0" applyFont="1" applyFill="1" applyBorder="1" applyProtection="1">
      <protection hidden="1"/>
    </xf>
    <xf numFmtId="0" fontId="1" fillId="10" borderId="0" xfId="0" applyFont="1" applyFill="1" applyBorder="1" applyProtection="1">
      <protection hidden="1"/>
    </xf>
    <xf numFmtId="164" fontId="1" fillId="4" borderId="0" xfId="0" applyNumberFormat="1" applyFont="1" applyFill="1" applyBorder="1" applyAlignment="1" applyProtection="1">
      <alignment horizontal="center"/>
      <protection hidden="1"/>
    </xf>
    <xf numFmtId="178" fontId="1" fillId="14" borderId="0" xfId="0" applyNumberFormat="1" applyFont="1" applyFill="1" applyBorder="1" applyProtection="1">
      <protection hidden="1"/>
    </xf>
    <xf numFmtId="4" fontId="0" fillId="15" borderId="0" xfId="0" applyNumberFormat="1" applyFont="1" applyFill="1" applyBorder="1" applyProtection="1">
      <protection hidden="1"/>
    </xf>
    <xf numFmtId="0" fontId="1" fillId="15" borderId="0" xfId="0" applyFont="1" applyFill="1" applyBorder="1" applyProtection="1">
      <protection hidden="1"/>
    </xf>
    <xf numFmtId="0" fontId="0" fillId="16" borderId="0" xfId="0" applyFont="1" applyFill="1" applyBorder="1" applyProtection="1">
      <protection hidden="1"/>
    </xf>
    <xf numFmtId="0" fontId="1" fillId="13" borderId="0" xfId="0" applyFont="1" applyFill="1" applyBorder="1" applyProtection="1">
      <protection hidden="1"/>
    </xf>
    <xf numFmtId="4" fontId="1" fillId="13" borderId="0" xfId="0" applyNumberFormat="1" applyFont="1" applyFill="1" applyBorder="1" applyProtection="1">
      <protection hidden="1"/>
    </xf>
    <xf numFmtId="4" fontId="0" fillId="13" borderId="0" xfId="0" applyNumberFormat="1" applyFont="1" applyFill="1" applyBorder="1" applyProtection="1">
      <protection hidden="1"/>
    </xf>
    <xf numFmtId="167" fontId="1" fillId="4" borderId="0" xfId="0" applyNumberFormat="1" applyFont="1" applyFill="1" applyBorder="1" applyAlignment="1" applyProtection="1">
      <alignment horizontal="left"/>
      <protection hidden="1"/>
    </xf>
    <xf numFmtId="4" fontId="0" fillId="4" borderId="0" xfId="0" applyNumberFormat="1" applyFont="1" applyFill="1" applyBorder="1" applyAlignment="1" applyProtection="1">
      <protection hidden="1"/>
    </xf>
    <xf numFmtId="4" fontId="1" fillId="16" borderId="0" xfId="0" applyNumberFormat="1" applyFont="1" applyFill="1" applyBorder="1" applyProtection="1">
      <protection hidden="1"/>
    </xf>
    <xf numFmtId="4" fontId="1" fillId="15" borderId="0" xfId="0" applyNumberFormat="1" applyFont="1" applyFill="1" applyBorder="1" applyProtection="1">
      <protection hidden="1"/>
    </xf>
    <xf numFmtId="9" fontId="1" fillId="4" borderId="0" xfId="0" applyNumberFormat="1" applyFont="1" applyFill="1" applyBorder="1" applyProtection="1">
      <protection hidden="1"/>
    </xf>
    <xf numFmtId="0" fontId="0" fillId="4" borderId="0" xfId="0" applyFont="1" applyFill="1" applyBorder="1" applyProtection="1">
      <protection hidden="1"/>
    </xf>
    <xf numFmtId="0" fontId="0" fillId="17" borderId="0" xfId="0" applyFont="1" applyFill="1" applyBorder="1" applyProtection="1">
      <protection hidden="1"/>
    </xf>
    <xf numFmtId="4" fontId="1" fillId="10" borderId="0" xfId="0" applyNumberFormat="1" applyFont="1" applyFill="1" applyBorder="1" applyProtection="1">
      <protection hidden="1"/>
    </xf>
    <xf numFmtId="4" fontId="1" fillId="17" borderId="0" xfId="0" applyNumberFormat="1" applyFont="1" applyFill="1" applyBorder="1" applyProtection="1">
      <protection hidden="1"/>
    </xf>
    <xf numFmtId="2" fontId="1" fillId="4" borderId="0" xfId="0" applyNumberFormat="1" applyFont="1" applyFill="1" applyBorder="1" applyProtection="1">
      <protection hidden="1"/>
    </xf>
    <xf numFmtId="13" fontId="0" fillId="10" borderId="0" xfId="0" applyNumberFormat="1" applyFont="1" applyFill="1" applyBorder="1" applyProtection="1">
      <protection hidden="1"/>
    </xf>
    <xf numFmtId="13" fontId="1" fillId="10" borderId="0" xfId="0" applyNumberFormat="1" applyFont="1" applyFill="1" applyBorder="1" applyProtection="1">
      <protection hidden="1"/>
    </xf>
    <xf numFmtId="0" fontId="1" fillId="10" borderId="0" xfId="0" applyFont="1" applyFill="1" applyBorder="1" applyAlignment="1" applyProtection="1">
      <alignment horizontal="center"/>
      <protection hidden="1"/>
    </xf>
    <xf numFmtId="13" fontId="1" fillId="4" borderId="0" xfId="0" applyNumberFormat="1" applyFont="1" applyFill="1" applyBorder="1" applyProtection="1">
      <protection hidden="1"/>
    </xf>
    <xf numFmtId="0" fontId="1" fillId="4" borderId="0" xfId="0" applyFont="1" applyFill="1" applyBorder="1" applyAlignment="1" applyProtection="1">
      <alignment horizontal="center"/>
      <protection hidden="1"/>
    </xf>
    <xf numFmtId="2" fontId="1" fillId="18" borderId="0" xfId="0" applyNumberFormat="1" applyFont="1" applyFill="1" applyBorder="1" applyProtection="1">
      <protection hidden="1"/>
    </xf>
    <xf numFmtId="0" fontId="1" fillId="18" borderId="0" xfId="0" applyFont="1" applyFill="1" applyBorder="1" applyProtection="1">
      <protection hidden="1"/>
    </xf>
    <xf numFmtId="0" fontId="1" fillId="18" borderId="0" xfId="0" applyFont="1" applyFill="1" applyBorder="1" applyAlignment="1" applyProtection="1">
      <alignment horizontal="center"/>
      <protection hidden="1"/>
    </xf>
    <xf numFmtId="2" fontId="1" fillId="19" borderId="0" xfId="0" applyNumberFormat="1" applyFont="1" applyFill="1" applyBorder="1" applyProtection="1">
      <protection hidden="1"/>
    </xf>
    <xf numFmtId="0" fontId="1" fillId="19" borderId="0" xfId="0" applyFont="1" applyFill="1" applyBorder="1" applyProtection="1">
      <protection hidden="1"/>
    </xf>
    <xf numFmtId="0" fontId="1" fillId="19" borderId="0" xfId="0" applyFont="1" applyFill="1" applyBorder="1" applyAlignment="1" applyProtection="1">
      <alignment horizontal="center"/>
      <protection hidden="1"/>
    </xf>
    <xf numFmtId="2" fontId="1" fillId="18" borderId="5" xfId="0" applyNumberFormat="1" applyFont="1" applyFill="1" applyBorder="1" applyProtection="1">
      <protection hidden="1"/>
    </xf>
    <xf numFmtId="0" fontId="1" fillId="18" borderId="5" xfId="0" applyFont="1" applyFill="1" applyBorder="1" applyProtection="1">
      <protection hidden="1"/>
    </xf>
    <xf numFmtId="0" fontId="1" fillId="18" borderId="5" xfId="0" applyFont="1" applyFill="1" applyBorder="1" applyAlignment="1" applyProtection="1">
      <alignment horizontal="center"/>
      <protection hidden="1"/>
    </xf>
    <xf numFmtId="2" fontId="1" fillId="20" borderId="0" xfId="0" applyNumberFormat="1" applyFont="1" applyFill="1" applyBorder="1" applyProtection="1">
      <protection hidden="1"/>
    </xf>
    <xf numFmtId="0" fontId="1" fillId="20" borderId="0" xfId="0" applyFont="1" applyFill="1" applyBorder="1" applyProtection="1">
      <protection hidden="1"/>
    </xf>
    <xf numFmtId="0" fontId="1" fillId="20" borderId="0" xfId="0" applyFont="1" applyFill="1" applyBorder="1" applyAlignment="1" applyProtection="1">
      <alignment horizontal="center"/>
      <protection hidden="1"/>
    </xf>
    <xf numFmtId="4" fontId="2" fillId="10" borderId="0" xfId="0" applyNumberFormat="1" applyFont="1" applyFill="1" applyBorder="1" applyProtection="1">
      <protection hidden="1"/>
    </xf>
    <xf numFmtId="4" fontId="5" fillId="10" borderId="0" xfId="0" applyNumberFormat="1" applyFont="1" applyFill="1" applyBorder="1" applyProtection="1">
      <protection hidden="1"/>
    </xf>
    <xf numFmtId="4" fontId="2" fillId="10" borderId="0" xfId="0" applyNumberFormat="1" applyFont="1" applyFill="1" applyBorder="1" applyAlignment="1" applyProtection="1">
      <alignment horizontal="center"/>
      <protection hidden="1"/>
    </xf>
    <xf numFmtId="167" fontId="1" fillId="10" borderId="0" xfId="0" applyNumberFormat="1" applyFont="1" applyFill="1" applyBorder="1" applyAlignment="1" applyProtection="1">
      <alignment horizontal="left"/>
      <protection hidden="1"/>
    </xf>
    <xf numFmtId="2" fontId="1" fillId="20" borderId="6" xfId="0" applyNumberFormat="1" applyFont="1" applyFill="1" applyBorder="1" applyProtection="1">
      <protection hidden="1"/>
    </xf>
    <xf numFmtId="0" fontId="1" fillId="20" borderId="5" xfId="0" applyFont="1" applyFill="1" applyBorder="1" applyProtection="1">
      <protection hidden="1"/>
    </xf>
    <xf numFmtId="0" fontId="1" fillId="20" borderId="5" xfId="0" applyFont="1" applyFill="1" applyBorder="1" applyAlignment="1" applyProtection="1">
      <alignment horizontal="center"/>
      <protection hidden="1"/>
    </xf>
    <xf numFmtId="0" fontId="1" fillId="21" borderId="3" xfId="0" applyFont="1" applyFill="1" applyBorder="1" applyAlignment="1" applyProtection="1">
      <alignment horizontal="left"/>
      <protection hidden="1"/>
    </xf>
    <xf numFmtId="0" fontId="1" fillId="3" borderId="3" xfId="0" applyNumberFormat="1" applyFont="1" applyFill="1" applyBorder="1" applyAlignment="1" applyProtection="1">
      <alignment horizontal="left"/>
      <protection locked="0" hidden="1"/>
    </xf>
    <xf numFmtId="0" fontId="1" fillId="3" borderId="3" xfId="0" applyFont="1" applyFill="1" applyBorder="1" applyAlignment="1" applyProtection="1">
      <alignment horizontal="center"/>
      <protection hidden="1"/>
    </xf>
    <xf numFmtId="0" fontId="1" fillId="3" borderId="3" xfId="0" applyFont="1" applyFill="1" applyBorder="1" applyAlignment="1" applyProtection="1">
      <alignment horizontal="left"/>
      <protection hidden="1"/>
    </xf>
    <xf numFmtId="0" fontId="0" fillId="4" borderId="0" xfId="0" applyFont="1" applyFill="1" applyBorder="1" applyAlignment="1" applyProtection="1">
      <alignment horizontal="left"/>
      <protection hidden="1"/>
    </xf>
    <xf numFmtId="1" fontId="2" fillId="7" borderId="0" xfId="0" applyNumberFormat="1" applyFont="1" applyFill="1" applyBorder="1" applyAlignment="1" applyProtection="1">
      <alignment horizontal="right"/>
      <protection locked="0" hidden="1"/>
    </xf>
    <xf numFmtId="0" fontId="2" fillId="7" borderId="0" xfId="0" applyNumberFormat="1" applyFont="1" applyFill="1" applyBorder="1" applyAlignment="1" applyProtection="1">
      <alignment horizontal="left"/>
      <protection locked="0" hidden="1"/>
    </xf>
    <xf numFmtId="0" fontId="1" fillId="6" borderId="0" xfId="0" applyFont="1" applyFill="1" applyBorder="1" applyAlignment="1" applyProtection="1">
      <alignment horizontal="left"/>
      <protection locked="0" hidden="1"/>
    </xf>
    <xf numFmtId="178" fontId="1" fillId="4" borderId="0" xfId="0" applyNumberFormat="1" applyFont="1" applyFill="1" applyBorder="1" applyAlignment="1" applyProtection="1">
      <protection hidden="1"/>
    </xf>
    <xf numFmtId="10" fontId="1" fillId="4" borderId="0" xfId="0" applyNumberFormat="1" applyFont="1" applyFill="1" applyBorder="1" applyAlignment="1" applyProtection="1">
      <protection hidden="1"/>
    </xf>
    <xf numFmtId="1" fontId="1" fillId="7" borderId="0" xfId="0" applyNumberFormat="1" applyFont="1" applyFill="1" applyBorder="1" applyAlignment="1" applyProtection="1">
      <alignment horizontal="center"/>
      <protection locked="0"/>
    </xf>
    <xf numFmtId="178" fontId="1" fillId="4" borderId="0" xfId="0" applyNumberFormat="1" applyFont="1" applyFill="1" applyBorder="1" applyProtection="1">
      <protection hidden="1"/>
    </xf>
    <xf numFmtId="10" fontId="1" fillId="4" borderId="0" xfId="0" applyNumberFormat="1" applyFont="1" applyFill="1" applyBorder="1" applyProtection="1">
      <protection hidden="1"/>
    </xf>
    <xf numFmtId="1" fontId="1" fillId="4" borderId="0" xfId="0" applyNumberFormat="1" applyFont="1" applyFill="1" applyBorder="1" applyAlignment="1" applyProtection="1">
      <alignment horizontal="center"/>
      <protection hidden="1"/>
    </xf>
    <xf numFmtId="178" fontId="1" fillId="10" borderId="0" xfId="0" applyNumberFormat="1" applyFont="1" applyFill="1" applyBorder="1" applyProtection="1">
      <protection hidden="1"/>
    </xf>
    <xf numFmtId="168" fontId="1" fillId="9" borderId="0" xfId="0" applyNumberFormat="1" applyFont="1" applyFill="1" applyBorder="1" applyAlignment="1" applyProtection="1">
      <alignment horizontal="right"/>
      <protection hidden="1"/>
    </xf>
    <xf numFmtId="1" fontId="1" fillId="4" borderId="0" xfId="0" applyNumberFormat="1" applyFont="1" applyFill="1" applyAlignment="1" applyProtection="1">
      <alignment horizontal="center"/>
      <protection hidden="1"/>
    </xf>
    <xf numFmtId="1" fontId="1" fillId="7" borderId="0" xfId="0" applyNumberFormat="1" applyFont="1" applyFill="1" applyAlignment="1" applyProtection="1">
      <alignment horizontal="center"/>
      <protection locked="0"/>
    </xf>
    <xf numFmtId="178" fontId="1" fillId="4" borderId="0" xfId="0" applyNumberFormat="1" applyFont="1" applyFill="1" applyBorder="1" applyAlignment="1" applyProtection="1">
      <alignment horizontal="center"/>
      <protection hidden="1"/>
    </xf>
    <xf numFmtId="0" fontId="1" fillId="4" borderId="0" xfId="0" applyFont="1" applyFill="1" applyProtection="1">
      <protection hidden="1"/>
    </xf>
    <xf numFmtId="178" fontId="1" fillId="4" borderId="0" xfId="0" applyNumberFormat="1" applyFont="1" applyFill="1" applyBorder="1" applyAlignment="1" applyProtection="1">
      <alignment horizontal="left"/>
      <protection hidden="1"/>
    </xf>
    <xf numFmtId="0" fontId="0" fillId="15" borderId="0" xfId="0" applyFill="1" applyBorder="1" applyProtection="1">
      <protection hidden="1"/>
    </xf>
    <xf numFmtId="2" fontId="1" fillId="12" borderId="0" xfId="0" applyNumberFormat="1" applyFont="1" applyFill="1" applyBorder="1" applyProtection="1">
      <protection hidden="1"/>
    </xf>
    <xf numFmtId="0" fontId="1" fillId="12" borderId="0" xfId="0" applyFont="1" applyFill="1" applyBorder="1" applyAlignment="1" applyProtection="1">
      <alignment horizontal="center"/>
      <protection hidden="1"/>
    </xf>
    <xf numFmtId="2" fontId="1" fillId="22" borderId="0" xfId="0" applyNumberFormat="1" applyFont="1" applyFill="1" applyBorder="1" applyProtection="1">
      <protection hidden="1"/>
    </xf>
    <xf numFmtId="0" fontId="1" fillId="22" borderId="0" xfId="0" applyFont="1" applyFill="1" applyBorder="1" applyProtection="1">
      <protection hidden="1"/>
    </xf>
    <xf numFmtId="0" fontId="1" fillId="22" borderId="0" xfId="0" applyFont="1" applyFill="1" applyBorder="1" applyAlignment="1" applyProtection="1">
      <alignment horizontal="center"/>
      <protection hidden="1"/>
    </xf>
    <xf numFmtId="2" fontId="1" fillId="12" borderId="5" xfId="0" applyNumberFormat="1" applyFont="1" applyFill="1" applyBorder="1" applyProtection="1">
      <protection hidden="1"/>
    </xf>
    <xf numFmtId="0" fontId="1" fillId="12" borderId="5" xfId="0" applyFont="1" applyFill="1" applyBorder="1" applyProtection="1">
      <protection hidden="1"/>
    </xf>
    <xf numFmtId="0" fontId="1" fillId="12" borderId="5" xfId="0" applyFont="1" applyFill="1" applyBorder="1" applyAlignment="1" applyProtection="1">
      <alignment horizontal="center"/>
      <protection hidden="1"/>
    </xf>
    <xf numFmtId="0" fontId="1" fillId="23" borderId="0" xfId="0" applyFont="1" applyFill="1" applyBorder="1" applyProtection="1">
      <protection hidden="1"/>
    </xf>
    <xf numFmtId="0" fontId="1" fillId="23" borderId="0" xfId="0" applyFont="1" applyFill="1" applyBorder="1" applyAlignment="1" applyProtection="1">
      <alignment horizontal="center"/>
      <protection hidden="1"/>
    </xf>
    <xf numFmtId="2" fontId="1" fillId="19" borderId="6" xfId="0" applyNumberFormat="1" applyFont="1" applyFill="1" applyBorder="1" applyProtection="1">
      <protection hidden="1"/>
    </xf>
    <xf numFmtId="0" fontId="1" fillId="19" borderId="5" xfId="0" applyFont="1" applyFill="1" applyBorder="1" applyProtection="1">
      <protection hidden="1"/>
    </xf>
    <xf numFmtId="0" fontId="1" fillId="19" borderId="5" xfId="0" applyFont="1" applyFill="1" applyBorder="1" applyAlignment="1" applyProtection="1">
      <alignment horizontal="center"/>
      <protection hidden="1"/>
    </xf>
    <xf numFmtId="178" fontId="1" fillId="24" borderId="0" xfId="0" applyNumberFormat="1" applyFont="1" applyFill="1" applyBorder="1" applyAlignment="1" applyProtection="1">
      <protection hidden="1"/>
    </xf>
    <xf numFmtId="178" fontId="1" fillId="24" borderId="0" xfId="0" applyNumberFormat="1" applyFont="1" applyFill="1" applyProtection="1">
      <protection hidden="1"/>
    </xf>
    <xf numFmtId="4" fontId="0" fillId="15" borderId="0" xfId="0" applyNumberFormat="1" applyFill="1" applyBorder="1" applyProtection="1">
      <protection hidden="1"/>
    </xf>
    <xf numFmtId="0" fontId="0" fillId="25" borderId="0" xfId="0" applyFill="1" applyBorder="1" applyProtection="1">
      <protection hidden="1"/>
    </xf>
    <xf numFmtId="0" fontId="0" fillId="10" borderId="0" xfId="0" applyFill="1" applyBorder="1" applyAlignment="1" applyProtection="1">
      <alignment horizontal="center"/>
      <protection hidden="1"/>
    </xf>
    <xf numFmtId="4" fontId="4" fillId="4" borderId="0" xfId="9" applyNumberFormat="1" applyFill="1" applyBorder="1" applyAlignment="1" applyProtection="1">
      <alignment horizontal="left"/>
    </xf>
    <xf numFmtId="4" fontId="1" fillId="26" borderId="0" xfId="0" applyNumberFormat="1" applyFont="1" applyFill="1" applyBorder="1" applyProtection="1">
      <protection hidden="1"/>
    </xf>
    <xf numFmtId="4" fontId="0" fillId="25" borderId="0" xfId="0" applyNumberFormat="1" applyFill="1" applyBorder="1" applyProtection="1">
      <protection hidden="1"/>
    </xf>
    <xf numFmtId="4" fontId="1" fillId="26" borderId="0" xfId="11" applyNumberFormat="1" applyFont="1" applyFill="1" applyBorder="1" applyProtection="1">
      <protection hidden="1"/>
    </xf>
    <xf numFmtId="0" fontId="16" fillId="0" borderId="0" xfId="0" applyFont="1" applyBorder="1" applyAlignment="1">
      <alignment horizontal="left" vertical="center" readingOrder="1"/>
    </xf>
    <xf numFmtId="4" fontId="1" fillId="27" borderId="0" xfId="0" applyNumberFormat="1" applyFont="1" applyFill="1" applyBorder="1" applyProtection="1">
      <protection hidden="1"/>
    </xf>
    <xf numFmtId="0" fontId="0" fillId="6" borderId="0" xfId="0" applyFont="1" applyFill="1" applyBorder="1" applyAlignment="1" applyProtection="1">
      <alignment horizontal="left"/>
      <protection locked="0" hidden="1"/>
    </xf>
    <xf numFmtId="0" fontId="0" fillId="28" borderId="0" xfId="0" applyFill="1" applyBorder="1" applyProtection="1">
      <protection hidden="1"/>
    </xf>
    <xf numFmtId="0" fontId="1" fillId="28" borderId="0" xfId="0" applyFont="1" applyFill="1" applyBorder="1" applyProtection="1">
      <protection hidden="1"/>
    </xf>
    <xf numFmtId="164" fontId="0" fillId="10" borderId="0" xfId="0" applyNumberFormat="1" applyFill="1" applyBorder="1" applyAlignment="1" applyProtection="1">
      <alignment horizontal="right"/>
      <protection hidden="1"/>
    </xf>
    <xf numFmtId="0" fontId="1" fillId="12" borderId="0" xfId="0" applyFont="1" applyFill="1" applyBorder="1" applyProtection="1">
      <protection locked="0"/>
    </xf>
    <xf numFmtId="10" fontId="1" fillId="13" borderId="0" xfId="0" applyNumberFormat="1" applyFont="1" applyFill="1" applyBorder="1" applyProtection="1">
      <protection locked="0"/>
    </xf>
    <xf numFmtId="169" fontId="6" fillId="4" borderId="0" xfId="11" applyNumberFormat="1" applyFont="1" applyFill="1" applyBorder="1" applyAlignment="1" applyProtection="1">
      <alignment horizontal="center"/>
      <protection hidden="1"/>
    </xf>
    <xf numFmtId="4" fontId="6" fillId="4" borderId="0" xfId="11" applyNumberFormat="1" applyFont="1" applyFill="1" applyBorder="1" applyAlignment="1" applyProtection="1">
      <alignment horizontal="center"/>
      <protection hidden="1"/>
    </xf>
    <xf numFmtId="164" fontId="0" fillId="11" borderId="0" xfId="0" applyNumberFormat="1" applyFont="1" applyFill="1" applyBorder="1" applyAlignment="1" applyProtection="1">
      <alignment horizontal="center"/>
      <protection locked="0"/>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Procent" xfId="11" builtinId="5"/>
    <cellStyle name="Standaard" xfId="0" builtinId="0"/>
    <cellStyle name="Standaard 2" xfId="12"/>
    <cellStyle name="Standaard 2 2" xfId="13"/>
    <cellStyle name="Standaard 3" xfId="14"/>
    <cellStyle name="Standaard 4" xfId="15"/>
    <cellStyle name="Total" xfId="1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data\wd\ad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data\Bibli%20Jo%20Theek\Kostenfiches%20model\2011\FMA-200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toOpen Stub Data"/>
      <sheetName val="Histo"/>
      <sheetName val="Opgelet"/>
      <sheetName val="Eig."/>
      <sheetName val="OG"/>
      <sheetName val="TgPartij"/>
      <sheetName val="Notif"/>
      <sheetName val="Adr"/>
      <sheetName val="NotifOVH"/>
      <sheetName val="OVAM"/>
      <sheetName val="Hyp"/>
      <sheetName val="KU"/>
      <sheetName val="gem"/>
      <sheetName val="gvl"/>
      <sheetName val="BrV"/>
      <sheetName val="VlK"/>
      <sheetName val="VlV"/>
      <sheetName val="Att"/>
      <sheetName val="TemplateInformation"/>
      <sheetName val="Cijfers"/>
      <sheetName val="OVH"/>
      <sheetName val="Confr"/>
      <sheetName val="KS"/>
      <sheetName val="AFRK"/>
      <sheetName val="AFRV"/>
      <sheetName val="AFRL"/>
      <sheetName val="Hlg"/>
      <sheetName val="AgZ"/>
      <sheetName val="AZovh"/>
      <sheetName val="Blad1"/>
      <sheetName val="Blad2"/>
      <sheetName val="Blad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oow"/>
      <sheetName val="VK"/>
      <sheetName val="KO"/>
      <sheetName val="Raming"/>
      <sheetName val="AofR"/>
      <sheetName val="RofT"/>
      <sheetName val="OVH"/>
      <sheetName val="Koper"/>
      <sheetName val="Verkoper"/>
      <sheetName val="Lener"/>
      <sheetName val="BTWkoper"/>
      <sheetName val="BTWverk."/>
      <sheetName val="KS"/>
      <sheetName val="Db"/>
      <sheetName val="Conf"/>
      <sheetName val="Minima"/>
      <sheetName val="Andere"/>
      <sheetName val="WK"/>
      <sheetName val="VW"/>
      <sheetName val="NOT"/>
      <sheetName val="Barema's"/>
      <sheetName val="Berekeningen"/>
      <sheetName val="Berekeningen(2)"/>
      <sheetName val="Blad1"/>
      <sheetName val="Blad2"/>
      <sheetName val="Blad3"/>
    </sheetNames>
    <sheetDataSet>
      <sheetData sheetId="0"/>
      <sheetData sheetId="1" refreshError="1">
        <row r="1">
          <cell r="A1">
            <v>7</v>
          </cell>
          <cell r="B1">
            <v>668</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row r="1">
          <cell r="B1" t="str">
            <v>Naam</v>
          </cell>
          <cell r="C1" t="str">
            <v>idem zonder tekens)</v>
          </cell>
          <cell r="D1" t="str">
            <v>Hoedanigheid</v>
          </cell>
          <cell r="E1" t="str">
            <v>Straat&amp;nr.</v>
          </cell>
          <cell r="F1" t="str">
            <v>nr.</v>
          </cell>
          <cell r="G1" t="str">
            <v>bus</v>
          </cell>
          <cell r="H1" t="str">
            <v>Postnr</v>
          </cell>
          <cell r="I1" t="str">
            <v>Prov</v>
          </cell>
          <cell r="J1" t="str">
            <v>Arr.</v>
          </cell>
          <cell r="K1" t="str">
            <v>Wpl.</v>
          </cell>
          <cell r="L1" t="str">
            <v>°geb.</v>
          </cell>
          <cell r="M1" t="str">
            <v>M/V</v>
          </cell>
          <cell r="N1" t="str">
            <v>Zone</v>
          </cell>
          <cell r="O1" t="str">
            <v>Tel.</v>
          </cell>
          <cell r="P1" t="str">
            <v>Fax.</v>
          </cell>
          <cell r="Q1" t="str">
            <v>email/GSM</v>
          </cell>
          <cell r="R1" t="str">
            <v>CRT</v>
          </cell>
          <cell r="S1" t="str">
            <v>Bank</v>
          </cell>
          <cell r="T1" t="str">
            <v>B.St.</v>
          </cell>
        </row>
        <row r="2">
          <cell r="A2">
            <v>1</v>
          </cell>
        </row>
        <row r="3">
          <cell r="A3">
            <v>2</v>
          </cell>
          <cell r="B3" t="str">
            <v>Frederika LENS &amp; Jo ABBELOOS</v>
          </cell>
          <cell r="C3" t="str">
            <v>Abbeloos Jo</v>
          </cell>
          <cell r="D3" t="str">
            <v>Geassocieerd Notaris</v>
          </cell>
          <cell r="E3" t="str">
            <v>Grote Markt</v>
          </cell>
          <cell r="F3" t="str">
            <v>3</v>
          </cell>
          <cell r="G3" t="str">
            <v/>
          </cell>
          <cell r="H3" t="str">
            <v>1800</v>
          </cell>
          <cell r="I3" t="str">
            <v>Vlaams Brabant</v>
          </cell>
          <cell r="K3" t="str">
            <v>Vilvoorde</v>
          </cell>
          <cell r="M3" t="str">
            <v>M</v>
          </cell>
          <cell r="O3" t="str">
            <v>02.251.51.39</v>
          </cell>
          <cell r="P3" t="str">
            <v>02.252.53.81</v>
          </cell>
          <cell r="Q3" t="str">
            <v>jo.abbeloos@notaris.be</v>
          </cell>
          <cell r="R3">
            <v>3582</v>
          </cell>
          <cell r="T3" t="str">
            <v>*2004</v>
          </cell>
        </row>
        <row r="4">
          <cell r="A4">
            <v>3</v>
          </cell>
          <cell r="B4" t="str">
            <v>BVBA Notaris Philip Adriaens</v>
          </cell>
          <cell r="C4" t="str">
            <v>Adriaens Philip</v>
          </cell>
          <cell r="D4" t="str">
            <v>Notaris</v>
          </cell>
          <cell r="E4" t="str">
            <v>Klein Overlaar</v>
          </cell>
          <cell r="F4" t="str">
            <v>22</v>
          </cell>
          <cell r="G4" t="str">
            <v/>
          </cell>
          <cell r="H4" t="str">
            <v>3320</v>
          </cell>
          <cell r="I4" t="str">
            <v>Vlaams Brabant</v>
          </cell>
          <cell r="K4" t="str">
            <v>Hoegaarden</v>
          </cell>
          <cell r="M4" t="str">
            <v>M</v>
          </cell>
          <cell r="O4" t="str">
            <v>016.76.61.42</v>
          </cell>
          <cell r="P4" t="str">
            <v>016.76.78.36</v>
          </cell>
          <cell r="Q4" t="str">
            <v>PHILIP.ADRIAENS@NOTARIS.BE</v>
          </cell>
          <cell r="R4">
            <v>2425</v>
          </cell>
          <cell r="S4" t="str">
            <v>000-0180649-35</v>
          </cell>
          <cell r="T4" t="str">
            <v>*1978</v>
          </cell>
        </row>
        <row r="5">
          <cell r="A5">
            <v>4</v>
          </cell>
          <cell r="B5" t="str">
            <v>ADRIAENSSENS Eric-Louis</v>
          </cell>
          <cell r="C5" t="str">
            <v>ADRIAENSSENS Eric-Louis</v>
          </cell>
          <cell r="D5" t="str">
            <v>Notaris</v>
          </cell>
          <cell r="E5" t="str">
            <v>Dorpstraat</v>
          </cell>
          <cell r="F5" t="str">
            <v>4</v>
          </cell>
          <cell r="G5" t="str">
            <v/>
          </cell>
          <cell r="H5" t="str">
            <v>2040</v>
          </cell>
          <cell r="I5" t="str">
            <v>Antwerpen</v>
          </cell>
          <cell r="K5" t="str">
            <v>Antwerpen</v>
          </cell>
          <cell r="M5" t="str">
            <v>M</v>
          </cell>
          <cell r="O5" t="str">
            <v>03.568.65.40</v>
          </cell>
          <cell r="P5" t="str">
            <v>03.568.16.58</v>
          </cell>
          <cell r="Q5" t="str">
            <v>ERICLOUIS.ADRIAENSSENS@NOTARIS.BE</v>
          </cell>
          <cell r="R5">
            <v>2746</v>
          </cell>
          <cell r="S5" t="str">
            <v>000-1465968-07</v>
          </cell>
          <cell r="T5" t="str">
            <v>*1985</v>
          </cell>
        </row>
        <row r="6">
          <cell r="A6">
            <v>5</v>
          </cell>
          <cell r="B6" t="str">
            <v>AERTS Alain</v>
          </cell>
          <cell r="C6" t="str">
            <v>AERTS Alain</v>
          </cell>
          <cell r="D6" t="str">
            <v>Notaris</v>
          </cell>
          <cell r="E6" t="str">
            <v>Chaussée du Pont du Sart</v>
          </cell>
          <cell r="F6" t="str">
            <v>12</v>
          </cell>
          <cell r="G6" t="str">
            <v/>
          </cell>
          <cell r="H6" t="str">
            <v>7110</v>
          </cell>
          <cell r="I6" t="str">
            <v>Hainaut</v>
          </cell>
          <cell r="K6" t="str">
            <v>Houdeng-Aimeries</v>
          </cell>
          <cell r="M6" t="str">
            <v>M</v>
          </cell>
          <cell r="O6" t="str">
            <v>064.22.27.44</v>
          </cell>
          <cell r="P6" t="str">
            <v>064.23.82.99</v>
          </cell>
          <cell r="Q6" t="str">
            <v>ALAIN.AERTS@NOTAIRE.BE</v>
          </cell>
          <cell r="R6">
            <v>3275</v>
          </cell>
          <cell r="S6" t="str">
            <v>000-0536188-69</v>
          </cell>
          <cell r="T6" t="str">
            <v>*1997</v>
          </cell>
        </row>
        <row r="7">
          <cell r="A7">
            <v>6</v>
          </cell>
          <cell r="B7" t="str">
            <v>AGNEESSENS Jean-François</v>
          </cell>
          <cell r="C7" t="str">
            <v>AGNEESSENS Jean-François</v>
          </cell>
          <cell r="D7" t="str">
            <v>Notaris</v>
          </cell>
          <cell r="E7" t="str">
            <v>Groendreef</v>
          </cell>
          <cell r="F7" t="str">
            <v>2</v>
          </cell>
          <cell r="G7" t="str">
            <v/>
          </cell>
          <cell r="H7" t="str">
            <v>9810</v>
          </cell>
          <cell r="I7" t="str">
            <v>Oost-Vlaanderen</v>
          </cell>
          <cell r="K7" t="str">
            <v>Nazareth</v>
          </cell>
          <cell r="M7" t="str">
            <v>M</v>
          </cell>
          <cell r="O7" t="str">
            <v>09.385.49.75</v>
          </cell>
          <cell r="P7" t="str">
            <v>09.385.70.34</v>
          </cell>
          <cell r="Q7" t="str">
            <v>JEANFRANCOIS.AGNEESSENS@NOTARIS.BE</v>
          </cell>
          <cell r="R7">
            <v>2542</v>
          </cell>
          <cell r="S7" t="str">
            <v>000-0096462-44</v>
          </cell>
          <cell r="T7" t="str">
            <v>*1981</v>
          </cell>
        </row>
        <row r="8">
          <cell r="A8">
            <v>7</v>
          </cell>
          <cell r="B8" t="str">
            <v>ALLAER Ann</v>
          </cell>
          <cell r="C8" t="str">
            <v>ALLAER Ann</v>
          </cell>
          <cell r="D8" t="str">
            <v>Notaris</v>
          </cell>
          <cell r="E8" t="str">
            <v>D´Hondtstraat</v>
          </cell>
          <cell r="F8" t="str">
            <v>21</v>
          </cell>
          <cell r="G8" t="str">
            <v/>
          </cell>
          <cell r="H8" t="str">
            <v>8900</v>
          </cell>
          <cell r="I8" t="str">
            <v>West-Vlaanderen</v>
          </cell>
          <cell r="K8" t="str">
            <v>Ieper</v>
          </cell>
          <cell r="L8">
            <v>19579</v>
          </cell>
          <cell r="M8" t="str">
            <v>Vr</v>
          </cell>
          <cell r="O8" t="str">
            <v>057.21.81.21</v>
          </cell>
          <cell r="P8" t="str">
            <v>057.21.88.47</v>
          </cell>
          <cell r="Q8" t="str">
            <v>ANN.ALLAER@NOTARIS.BE</v>
          </cell>
          <cell r="R8">
            <v>3399</v>
          </cell>
          <cell r="S8" t="str">
            <v>000-0003750-64</v>
          </cell>
          <cell r="T8" t="str">
            <v>*1999</v>
          </cell>
        </row>
        <row r="9">
          <cell r="A9">
            <v>8</v>
          </cell>
          <cell r="B9" t="str">
            <v>ALLARD Isabelle</v>
          </cell>
          <cell r="C9" t="str">
            <v>ALLARD Isabelle</v>
          </cell>
          <cell r="D9" t="str">
            <v>Notaris</v>
          </cell>
          <cell r="E9" t="str">
            <v>rue Albert 1er</v>
          </cell>
          <cell r="F9" t="str">
            <v>17</v>
          </cell>
          <cell r="G9" t="str">
            <v/>
          </cell>
          <cell r="H9" t="str">
            <v>6540</v>
          </cell>
          <cell r="I9" t="str">
            <v>Hainaut</v>
          </cell>
          <cell r="K9" t="str">
            <v>Lobbes</v>
          </cell>
          <cell r="M9" t="str">
            <v>Vr</v>
          </cell>
          <cell r="O9" t="str">
            <v>071.59.07.34</v>
          </cell>
          <cell r="P9" t="str">
            <v>071.59.21.61</v>
          </cell>
          <cell r="Q9" t="str">
            <v>ISABELLE.ALLARD@NOTAIRE.BE</v>
          </cell>
          <cell r="R9">
            <v>3464</v>
          </cell>
          <cell r="S9" t="str">
            <v>000-0815831-61</v>
          </cell>
          <cell r="T9" t="str">
            <v>*1999</v>
          </cell>
        </row>
        <row r="10">
          <cell r="A10">
            <v>9</v>
          </cell>
          <cell r="B10" t="str">
            <v>AMORY Hugues</v>
          </cell>
          <cell r="C10" t="str">
            <v>AMORY Hugues</v>
          </cell>
          <cell r="D10" t="str">
            <v>Notaris</v>
          </cell>
          <cell r="E10" t="str">
            <v>Rue du Pérréon</v>
          </cell>
          <cell r="F10" t="str">
            <v>19</v>
          </cell>
          <cell r="G10" t="str">
            <v/>
          </cell>
          <cell r="H10" t="str">
            <v>4141</v>
          </cell>
          <cell r="I10" t="str">
            <v>Liège</v>
          </cell>
          <cell r="K10" t="str">
            <v>Louveigné Sprimont)</v>
          </cell>
          <cell r="M10" t="str">
            <v>M</v>
          </cell>
          <cell r="O10" t="str">
            <v>04.360.01.40</v>
          </cell>
          <cell r="P10" t="str">
            <v>04.360.01.49</v>
          </cell>
          <cell r="Q10" t="str">
            <v>HUGUES.AMORY@NOTAIRE.BE</v>
          </cell>
          <cell r="R10">
            <v>3118</v>
          </cell>
          <cell r="S10" t="str">
            <v>000-1369307-55</v>
          </cell>
          <cell r="T10" t="str">
            <v>*1993</v>
          </cell>
        </row>
        <row r="11">
          <cell r="A11">
            <v>10</v>
          </cell>
          <cell r="B11" t="str">
            <v>ANGENOT Jean-Luc</v>
          </cell>
          <cell r="C11" t="str">
            <v>ANGENOT Jean-Luc</v>
          </cell>
          <cell r="D11" t="str">
            <v>Notaris</v>
          </cell>
          <cell r="E11" t="str">
            <v>Rue Xhonneux</v>
          </cell>
          <cell r="F11" t="str">
            <v>32</v>
          </cell>
          <cell r="G11" t="str">
            <v/>
          </cell>
          <cell r="H11" t="str">
            <v>4840</v>
          </cell>
          <cell r="I11" t="str">
            <v>Liège</v>
          </cell>
          <cell r="K11" t="str">
            <v>Welkenraedt</v>
          </cell>
          <cell r="M11" t="str">
            <v>M</v>
          </cell>
          <cell r="O11" t="str">
            <v>087.88.06.77</v>
          </cell>
          <cell r="P11" t="str">
            <v>087.88.35.82</v>
          </cell>
          <cell r="Q11" t="str">
            <v>JEANLUC.ANGENOT@NOTAIRE.BE</v>
          </cell>
          <cell r="R11">
            <v>2726</v>
          </cell>
          <cell r="S11" t="str">
            <v>000-1465304-22</v>
          </cell>
          <cell r="T11" t="str">
            <v>*1985</v>
          </cell>
        </row>
        <row r="12">
          <cell r="A12">
            <v>11</v>
          </cell>
          <cell r="B12" t="str">
            <v>ANTONIS Luc</v>
          </cell>
          <cell r="C12" t="str">
            <v>ANTONIS Luc</v>
          </cell>
          <cell r="D12" t="str">
            <v>Notaris</v>
          </cell>
          <cell r="E12" t="str">
            <v>Herentalsesteenweg</v>
          </cell>
          <cell r="F12" t="str">
            <v>33</v>
          </cell>
          <cell r="G12" t="str">
            <v/>
          </cell>
          <cell r="H12" t="str">
            <v>2230</v>
          </cell>
          <cell r="I12" t="str">
            <v>Antwerpen</v>
          </cell>
          <cell r="K12" t="str">
            <v>Herselt</v>
          </cell>
          <cell r="M12" t="str">
            <v>M</v>
          </cell>
          <cell r="O12" t="str">
            <v>014.54.45.80</v>
          </cell>
          <cell r="P12" t="str">
            <v>014.54.14.22</v>
          </cell>
          <cell r="Q12" t="str">
            <v>LUC.ANTONIS@NOTARIS.BE</v>
          </cell>
          <cell r="R12">
            <v>3081</v>
          </cell>
          <cell r="S12" t="str">
            <v>230-0094021-48</v>
          </cell>
          <cell r="T12" t="str">
            <v>*1993</v>
          </cell>
        </row>
        <row r="13">
          <cell r="A13">
            <v>12</v>
          </cell>
          <cell r="B13" t="str">
            <v>BVBA VAN CAMPENHOUT &amp; ARNAUTS</v>
          </cell>
          <cell r="C13" t="str">
            <v>Arnouts Bart</v>
          </cell>
          <cell r="D13" t="str">
            <v>Geassocieerd Notaris</v>
          </cell>
          <cell r="E13" t="str">
            <v>Tremelobaan</v>
          </cell>
          <cell r="F13" t="str">
            <v>61</v>
          </cell>
          <cell r="G13" t="str">
            <v/>
          </cell>
          <cell r="H13" t="str">
            <v>3140</v>
          </cell>
          <cell r="I13" t="str">
            <v>Vlaams Brabant</v>
          </cell>
          <cell r="K13" t="str">
            <v>Keerbergen</v>
          </cell>
          <cell r="M13" t="str">
            <v>M</v>
          </cell>
          <cell r="O13" t="str">
            <v>015.52.07.50</v>
          </cell>
          <cell r="P13" t="str">
            <v>015.52.93.75</v>
          </cell>
          <cell r="Q13" t="str">
            <v>bart.arnauts@notaris.be</v>
          </cell>
          <cell r="R13">
            <v>3487</v>
          </cell>
          <cell r="T13" t="str">
            <v>*2001</v>
          </cell>
        </row>
        <row r="14">
          <cell r="A14">
            <v>13</v>
          </cell>
          <cell r="B14" t="str">
            <v>AUMANN Franz</v>
          </cell>
          <cell r="C14" t="str">
            <v>AUMANN Franz</v>
          </cell>
          <cell r="D14" t="str">
            <v>Notaris</v>
          </cell>
          <cell r="E14" t="str">
            <v>Stationsstraat</v>
          </cell>
          <cell r="F14" t="str">
            <v>16</v>
          </cell>
          <cell r="G14" t="str">
            <v/>
          </cell>
          <cell r="H14" t="str">
            <v>3800</v>
          </cell>
          <cell r="I14" t="str">
            <v>Limburg</v>
          </cell>
          <cell r="K14" t="str">
            <v>Sint-Truiden</v>
          </cell>
          <cell r="M14" t="str">
            <v>M</v>
          </cell>
          <cell r="O14" t="str">
            <v>011.68.20.60</v>
          </cell>
          <cell r="P14" t="str">
            <v>011.67.38.46</v>
          </cell>
          <cell r="Q14" t="str">
            <v>FRANZ.AUMANN@NOTARIS.BE</v>
          </cell>
          <cell r="R14">
            <v>2638</v>
          </cell>
          <cell r="S14" t="str">
            <v>000-1477212-96</v>
          </cell>
          <cell r="T14" t="str">
            <v>*1983</v>
          </cell>
        </row>
        <row r="15">
          <cell r="A15">
            <v>14</v>
          </cell>
          <cell r="B15" t="str">
            <v>BABUSIAUX Serge</v>
          </cell>
          <cell r="C15" t="str">
            <v>BABUSIAUX Serge</v>
          </cell>
          <cell r="D15" t="str">
            <v>Notaris</v>
          </cell>
          <cell r="E15" t="str">
            <v>Avenue Charles Deliège</v>
          </cell>
          <cell r="F15" t="str">
            <v>120</v>
          </cell>
          <cell r="G15" t="str">
            <v/>
          </cell>
          <cell r="H15" t="str">
            <v>7130</v>
          </cell>
          <cell r="I15" t="str">
            <v>Hainaut</v>
          </cell>
          <cell r="K15" t="str">
            <v>Binche</v>
          </cell>
          <cell r="M15" t="str">
            <v>M</v>
          </cell>
          <cell r="O15" t="str">
            <v>064.31.14.20</v>
          </cell>
          <cell r="P15" t="str">
            <v>064.36.97.90</v>
          </cell>
          <cell r="Q15" t="str">
            <v>SERGE.BABUSIAUX@NOTAIRE.BE</v>
          </cell>
          <cell r="R15">
            <v>3621</v>
          </cell>
          <cell r="S15" t="str">
            <v>000-0001529-74</v>
          </cell>
          <cell r="T15" t="str">
            <v>*2003</v>
          </cell>
        </row>
        <row r="16">
          <cell r="A16">
            <v>15</v>
          </cell>
          <cell r="B16" t="str">
            <v>BAEL Jan</v>
          </cell>
          <cell r="C16" t="str">
            <v>BAEL Jan</v>
          </cell>
          <cell r="D16" t="str">
            <v>Notaris</v>
          </cell>
          <cell r="E16" t="str">
            <v>Drabstraat</v>
          </cell>
          <cell r="F16" t="str">
            <v>47</v>
          </cell>
          <cell r="G16" t="str">
            <v/>
          </cell>
          <cell r="H16" t="str">
            <v>9000</v>
          </cell>
          <cell r="I16" t="str">
            <v>Oost-Vlaanderen</v>
          </cell>
          <cell r="K16" t="str">
            <v>Gent</v>
          </cell>
          <cell r="M16" t="str">
            <v>M</v>
          </cell>
          <cell r="O16" t="str">
            <v>09.225.29.94</v>
          </cell>
          <cell r="P16" t="str">
            <v>09.225.06.60</v>
          </cell>
          <cell r="Q16" t="str">
            <v>jan.bael@belnot.be</v>
          </cell>
          <cell r="R16">
            <v>3348</v>
          </cell>
          <cell r="S16" t="str">
            <v>000-0040299-44</v>
          </cell>
          <cell r="T16" t="str">
            <v>*1998</v>
          </cell>
        </row>
        <row r="17">
          <cell r="A17">
            <v>16</v>
          </cell>
          <cell r="B17" t="str">
            <v>BAELDEN Vincent</v>
          </cell>
          <cell r="C17" t="str">
            <v>BAELDEN Vincent</v>
          </cell>
          <cell r="D17" t="str">
            <v>Notaris</v>
          </cell>
          <cell r="E17" t="str">
            <v>Rue du Fourneau</v>
          </cell>
          <cell r="F17" t="str">
            <v>3</v>
          </cell>
          <cell r="G17" t="str">
            <v/>
          </cell>
          <cell r="H17" t="str">
            <v>5651</v>
          </cell>
          <cell r="I17" t="str">
            <v>Namur</v>
          </cell>
          <cell r="K17" t="str">
            <v>Thy-le-Château</v>
          </cell>
          <cell r="M17" t="str">
            <v>M</v>
          </cell>
          <cell r="O17" t="str">
            <v>071.61.10.39</v>
          </cell>
          <cell r="P17" t="str">
            <v>071.61.32.02</v>
          </cell>
          <cell r="Q17" t="str">
            <v>VINCENT.BAELDEN@NOTAIRE.BE</v>
          </cell>
          <cell r="R17">
            <v>3213</v>
          </cell>
          <cell r="S17" t="str">
            <v>000-0825607-40</v>
          </cell>
          <cell r="T17" t="str">
            <v>*1995</v>
          </cell>
        </row>
        <row r="18">
          <cell r="A18">
            <v>17</v>
          </cell>
          <cell r="B18" t="str">
            <v>BAETENS Rose-Marie</v>
          </cell>
          <cell r="C18" t="str">
            <v>BAETENS Rose-Marie</v>
          </cell>
          <cell r="D18" t="str">
            <v>Notaris</v>
          </cell>
          <cell r="E18" t="str">
            <v>Schuttersvest</v>
          </cell>
          <cell r="F18" t="str">
            <v>41</v>
          </cell>
          <cell r="G18" t="str">
            <v>bus 2</v>
          </cell>
          <cell r="H18" t="str">
            <v>2800</v>
          </cell>
          <cell r="I18" t="str">
            <v>Antwerpen</v>
          </cell>
          <cell r="K18" t="str">
            <v>Mechelen</v>
          </cell>
          <cell r="M18" t="str">
            <v>Vr</v>
          </cell>
          <cell r="O18" t="str">
            <v>015.41.28.04</v>
          </cell>
          <cell r="P18" t="str">
            <v>015.42.12.02</v>
          </cell>
          <cell r="Q18" t="str">
            <v>ROSEMARIE.BAETENS@NOTARIS.BE</v>
          </cell>
          <cell r="R18">
            <v>3412</v>
          </cell>
          <cell r="S18" t="str">
            <v>405-0124101-69</v>
          </cell>
          <cell r="T18" t="str">
            <v>*1999</v>
          </cell>
        </row>
        <row r="19">
          <cell r="A19">
            <v>18</v>
          </cell>
          <cell r="B19" t="str">
            <v>BALTHAZAR Philippe</v>
          </cell>
          <cell r="C19" t="str">
            <v>BALTHAZAR Philippe</v>
          </cell>
          <cell r="D19" t="str">
            <v>Notaris</v>
          </cell>
          <cell r="E19" t="str">
            <v>Av. Gouverneur Bovesse</v>
          </cell>
          <cell r="F19" t="str">
            <v>24</v>
          </cell>
          <cell r="G19" t="str">
            <v>bte 6</v>
          </cell>
          <cell r="H19" t="str">
            <v>5100</v>
          </cell>
          <cell r="I19" t="str">
            <v>Namur</v>
          </cell>
          <cell r="K19" t="str">
            <v>Jambes</v>
          </cell>
          <cell r="M19" t="str">
            <v>M</v>
          </cell>
          <cell r="O19" t="str">
            <v>081.30.23.69</v>
          </cell>
          <cell r="P19" t="str">
            <v>081.30.16.32</v>
          </cell>
          <cell r="Q19" t="str">
            <v>PHILIPPE.BALTHAZAR@NOTAIRE.BE</v>
          </cell>
          <cell r="R19">
            <v>3011</v>
          </cell>
          <cell r="S19" t="str">
            <v>000-1569618-61</v>
          </cell>
          <cell r="T19" t="str">
            <v>*1991</v>
          </cell>
        </row>
        <row r="20">
          <cell r="A20">
            <v>19</v>
          </cell>
          <cell r="B20" t="str">
            <v>BARBIER Luc</v>
          </cell>
          <cell r="C20" t="str">
            <v>BARBIER Luc</v>
          </cell>
          <cell r="D20" t="str">
            <v>Notaris</v>
          </cell>
          <cell r="E20" t="str">
            <v>Rue Pierre Flamand</v>
          </cell>
          <cell r="F20" t="str">
            <v>17</v>
          </cell>
          <cell r="G20" t="str">
            <v>bte 2</v>
          </cell>
          <cell r="H20" t="str">
            <v>1420</v>
          </cell>
          <cell r="I20" t="str">
            <v>Brabant Wallon</v>
          </cell>
          <cell r="K20" t="str">
            <v>Braine-L´Alleud</v>
          </cell>
          <cell r="M20" t="str">
            <v>M</v>
          </cell>
          <cell r="O20" t="str">
            <v>02.384.20.00</v>
          </cell>
          <cell r="P20" t="str">
            <v>02.384.15.73</v>
          </cell>
          <cell r="Q20" t="str">
            <v>LUC.BARBIER@NOTAIRE.BE</v>
          </cell>
          <cell r="R20">
            <v>2479</v>
          </cell>
          <cell r="S20" t="str">
            <v>000-1176887-83</v>
          </cell>
          <cell r="T20" t="str">
            <v>*1980</v>
          </cell>
        </row>
        <row r="21">
          <cell r="A21">
            <v>20</v>
          </cell>
          <cell r="B21" t="str">
            <v>BARNICH Laurent</v>
          </cell>
          <cell r="C21" t="str">
            <v>BARNICH Laurent</v>
          </cell>
          <cell r="D21" t="str">
            <v>Notaris</v>
          </cell>
          <cell r="E21" t="str">
            <v>Rue Isidore Hoton</v>
          </cell>
          <cell r="F21" t="str">
            <v>23</v>
          </cell>
          <cell r="G21" t="str">
            <v/>
          </cell>
          <cell r="H21" t="str">
            <v>7800</v>
          </cell>
          <cell r="I21" t="str">
            <v>Hainaut</v>
          </cell>
          <cell r="K21" t="str">
            <v>Ath</v>
          </cell>
          <cell r="M21" t="str">
            <v>M</v>
          </cell>
          <cell r="O21" t="str">
            <v>068.28.21.76</v>
          </cell>
          <cell r="P21" t="str">
            <v>068.28.71.90</v>
          </cell>
          <cell r="Q21" t="str">
            <v>LAURENT.BARNICH@NOTAIRE.BE</v>
          </cell>
          <cell r="R21">
            <v>3187</v>
          </cell>
          <cell r="S21" t="str">
            <v>275-0536769-16</v>
          </cell>
          <cell r="T21" t="str">
            <v>*1995</v>
          </cell>
        </row>
        <row r="22">
          <cell r="A22">
            <v>21</v>
          </cell>
          <cell r="B22" t="str">
            <v>BARTHELS Lucien</v>
          </cell>
          <cell r="C22" t="str">
            <v>BARTHELS Lucien</v>
          </cell>
          <cell r="D22" t="str">
            <v>Notaris</v>
          </cell>
          <cell r="E22" t="str">
            <v>Statiestraat</v>
          </cell>
          <cell r="F22" t="str">
            <v>36</v>
          </cell>
          <cell r="G22" t="str">
            <v/>
          </cell>
          <cell r="H22" t="str">
            <v>3770</v>
          </cell>
          <cell r="I22" t="str">
            <v>Limburg</v>
          </cell>
          <cell r="K22" t="str">
            <v>Kanne</v>
          </cell>
          <cell r="M22" t="str">
            <v>M</v>
          </cell>
          <cell r="O22" t="str">
            <v>012.45.10.05</v>
          </cell>
          <cell r="P22" t="str">
            <v>012.45.52.84</v>
          </cell>
          <cell r="Q22" t="str">
            <v>LUCIEN.BARTHELS@NOTARIS.BE</v>
          </cell>
          <cell r="R22">
            <v>1051</v>
          </cell>
          <cell r="S22" t="str">
            <v>000-3068980-94</v>
          </cell>
          <cell r="T22" t="str">
            <v>*1974</v>
          </cell>
        </row>
        <row r="23">
          <cell r="A23">
            <v>22</v>
          </cell>
          <cell r="B23" t="str">
            <v>BATTAILLE Jacques</v>
          </cell>
          <cell r="C23" t="str">
            <v>BATTAILLE Jacques</v>
          </cell>
          <cell r="D23" t="str">
            <v>Notaris</v>
          </cell>
          <cell r="E23" t="str">
            <v>Rue Vankeerberghen</v>
          </cell>
          <cell r="F23" t="str">
            <v>35</v>
          </cell>
          <cell r="G23" t="str">
            <v/>
          </cell>
          <cell r="H23" t="str">
            <v>4500</v>
          </cell>
          <cell r="I23" t="str">
            <v>Liège</v>
          </cell>
          <cell r="K23" t="str">
            <v>Huy</v>
          </cell>
          <cell r="M23" t="str">
            <v>M</v>
          </cell>
          <cell r="O23" t="str">
            <v>085.27.43.50</v>
          </cell>
          <cell r="P23" t="str">
            <v>085.27.43.55</v>
          </cell>
          <cell r="Q23" t="str">
            <v>JACQUES.BATTAILLE@NOTAIRE.BE</v>
          </cell>
          <cell r="R23">
            <v>2512</v>
          </cell>
          <cell r="S23" t="str">
            <v>000-1790076-38</v>
          </cell>
          <cell r="T23" t="str">
            <v>*1981</v>
          </cell>
        </row>
        <row r="24">
          <cell r="A24">
            <v>23</v>
          </cell>
          <cell r="B24" t="str">
            <v>BAUDET Denis</v>
          </cell>
          <cell r="C24" t="str">
            <v>BAUDET Denis</v>
          </cell>
          <cell r="D24" t="str">
            <v>Notaris</v>
          </cell>
          <cell r="E24" t="str">
            <v>Avenue Nestor Martin</v>
          </cell>
          <cell r="F24" t="str">
            <v>17</v>
          </cell>
          <cell r="G24" t="str">
            <v/>
          </cell>
          <cell r="H24" t="str">
            <v>6870</v>
          </cell>
          <cell r="I24" t="str">
            <v>Luxembourg</v>
          </cell>
          <cell r="K24" t="str">
            <v>Saint-Hubert</v>
          </cell>
          <cell r="M24" t="str">
            <v>M</v>
          </cell>
          <cell r="O24" t="str">
            <v>061.61.10.09</v>
          </cell>
          <cell r="P24" t="str">
            <v>061.61.20.83</v>
          </cell>
          <cell r="Q24" t="str">
            <v>DENIS.BAUDET@NOTAIRE.BE</v>
          </cell>
          <cell r="R24">
            <v>419</v>
          </cell>
          <cell r="S24" t="str">
            <v>000-0159189-12</v>
          </cell>
          <cell r="T24" t="str">
            <v>*1973</v>
          </cell>
        </row>
        <row r="25">
          <cell r="A25">
            <v>24</v>
          </cell>
          <cell r="B25" t="str">
            <v>BAUDRUX Philippe</v>
          </cell>
          <cell r="C25" t="str">
            <v>BAUDRUX Philippe</v>
          </cell>
          <cell r="D25" t="str">
            <v>Notaris</v>
          </cell>
          <cell r="E25" t="str">
            <v>Rue de Luxembourg</v>
          </cell>
          <cell r="F25" t="str">
            <v>41</v>
          </cell>
          <cell r="G25" t="str">
            <v/>
          </cell>
          <cell r="H25" t="str">
            <v>6720</v>
          </cell>
          <cell r="I25" t="str">
            <v>Luxembourg</v>
          </cell>
          <cell r="K25" t="str">
            <v>Habay</v>
          </cell>
          <cell r="M25" t="str">
            <v>M</v>
          </cell>
          <cell r="O25" t="str">
            <v>063.42.25.25</v>
          </cell>
          <cell r="P25" t="str">
            <v>063.42.23.61</v>
          </cell>
          <cell r="Q25" t="str">
            <v>PHILIPPE.BAUDRUX@NOTAIRE.BE</v>
          </cell>
          <cell r="R25">
            <v>3084</v>
          </cell>
          <cell r="S25" t="str">
            <v>267-0064383-91</v>
          </cell>
          <cell r="T25" t="str">
            <v>*1993</v>
          </cell>
        </row>
        <row r="26">
          <cell r="A26">
            <v>25</v>
          </cell>
          <cell r="B26" t="str">
            <v>BAUDRY Eddy</v>
          </cell>
          <cell r="C26" t="str">
            <v>BAUDRY Eddy</v>
          </cell>
          <cell r="D26" t="str">
            <v>Notaris</v>
          </cell>
          <cell r="E26" t="str">
            <v>Geerwijnstraat</v>
          </cell>
          <cell r="F26" t="str">
            <v>13</v>
          </cell>
          <cell r="G26" t="str">
            <v/>
          </cell>
          <cell r="H26" t="str">
            <v>8000</v>
          </cell>
          <cell r="I26" t="str">
            <v>West-Vlaanderen</v>
          </cell>
          <cell r="K26" t="str">
            <v>Brugge</v>
          </cell>
          <cell r="L26">
            <v>20628</v>
          </cell>
          <cell r="M26" t="str">
            <v>M</v>
          </cell>
          <cell r="O26" t="str">
            <v>050.33.15.75</v>
          </cell>
          <cell r="P26" t="str">
            <v>050.34.34.54</v>
          </cell>
          <cell r="Q26" t="str">
            <v>EDDY.BAUDRY@NOTARIS.BE</v>
          </cell>
          <cell r="R26">
            <v>3180</v>
          </cell>
          <cell r="S26" t="str">
            <v>380-0081633-30</v>
          </cell>
          <cell r="T26" t="str">
            <v>*1994</v>
          </cell>
        </row>
        <row r="27">
          <cell r="A27">
            <v>26</v>
          </cell>
          <cell r="B27" t="str">
            <v>BAUWENS Marc</v>
          </cell>
          <cell r="C27" t="str">
            <v>BAUWENS Marc</v>
          </cell>
          <cell r="D27" t="str">
            <v>Notaris</v>
          </cell>
          <cell r="E27" t="str">
            <v>Stationsstraat</v>
          </cell>
          <cell r="F27" t="str">
            <v>131</v>
          </cell>
          <cell r="G27" t="str">
            <v/>
          </cell>
          <cell r="H27" t="str">
            <v>9450</v>
          </cell>
          <cell r="I27" t="str">
            <v>Oost-Vlaanderen</v>
          </cell>
          <cell r="K27" t="str">
            <v>Haaltert</v>
          </cell>
          <cell r="M27" t="str">
            <v>M</v>
          </cell>
          <cell r="O27" t="str">
            <v>053.83.45.34</v>
          </cell>
          <cell r="P27" t="str">
            <v>053.83.03.43</v>
          </cell>
          <cell r="Q27" t="str">
            <v>MARC.BAUWENS@NOTARIS.BE</v>
          </cell>
          <cell r="R27">
            <v>168</v>
          </cell>
          <cell r="S27" t="str">
            <v>000-0381499-95</v>
          </cell>
          <cell r="T27" t="str">
            <v>*1973</v>
          </cell>
        </row>
        <row r="28">
          <cell r="A28">
            <v>27</v>
          </cell>
          <cell r="B28" t="str">
            <v>Paul Bauwens Notaris B.V. odv. B.V.B.A.</v>
          </cell>
          <cell r="C28" t="str">
            <v>Bauwens Paul</v>
          </cell>
          <cell r="D28" t="str">
            <v>Notaris</v>
          </cell>
          <cell r="E28" t="str">
            <v>Rozenlaan</v>
          </cell>
          <cell r="F28" t="str">
            <v>10</v>
          </cell>
          <cell r="G28" t="str">
            <v/>
          </cell>
          <cell r="H28" t="str">
            <v>1700</v>
          </cell>
          <cell r="I28" t="str">
            <v>Vlaams Brabant</v>
          </cell>
          <cell r="K28" t="str">
            <v>Dilbeek</v>
          </cell>
          <cell r="M28" t="str">
            <v>M</v>
          </cell>
          <cell r="O28" t="str">
            <v>02.568.00.80</v>
          </cell>
          <cell r="P28" t="str">
            <v>02.568.00.70</v>
          </cell>
          <cell r="Q28" t="str">
            <v>PAUL.BAUWENS@NOTARIS.BE</v>
          </cell>
          <cell r="R28">
            <v>2800</v>
          </cell>
          <cell r="S28" t="str">
            <v>000-0097333-42</v>
          </cell>
          <cell r="T28" t="str">
            <v>*1986</v>
          </cell>
        </row>
        <row r="29">
          <cell r="A29">
            <v>28</v>
          </cell>
          <cell r="B29" t="str">
            <v>BAUWENS Philip</v>
          </cell>
          <cell r="C29" t="str">
            <v>BAUWENS Philip</v>
          </cell>
          <cell r="D29" t="str">
            <v>Notaris</v>
          </cell>
          <cell r="E29" t="str">
            <v>Leemweg</v>
          </cell>
          <cell r="F29" t="str">
            <v>63</v>
          </cell>
          <cell r="G29" t="str">
            <v/>
          </cell>
          <cell r="H29" t="str">
            <v>9980</v>
          </cell>
          <cell r="I29" t="str">
            <v>Oost-Vlaanderen</v>
          </cell>
          <cell r="K29" t="str">
            <v>Sint-Laureins</v>
          </cell>
          <cell r="M29" t="str">
            <v>M</v>
          </cell>
          <cell r="O29" t="str">
            <v>09.379.80.49</v>
          </cell>
          <cell r="P29" t="str">
            <v>09.379.87.40</v>
          </cell>
          <cell r="Q29" t="str">
            <v>PHILIP.BAUWENS@NOTARIS.BE</v>
          </cell>
          <cell r="R29">
            <v>3170</v>
          </cell>
          <cell r="S29" t="str">
            <v>290-0431250-09</v>
          </cell>
          <cell r="T29" t="str">
            <v>*1994</v>
          </cell>
        </row>
        <row r="30">
          <cell r="A30">
            <v>29</v>
          </cell>
          <cell r="B30" t="str">
            <v>BAX Guido</v>
          </cell>
          <cell r="C30" t="str">
            <v>BAX Guido</v>
          </cell>
          <cell r="D30" t="str">
            <v>Notaris</v>
          </cell>
          <cell r="E30" t="str">
            <v>Sint-Trudoplein</v>
          </cell>
          <cell r="F30" t="str">
            <v>10</v>
          </cell>
          <cell r="G30" t="str">
            <v/>
          </cell>
          <cell r="H30" t="str">
            <v>3530</v>
          </cell>
          <cell r="I30" t="str">
            <v>Limburg</v>
          </cell>
          <cell r="K30" t="str">
            <v>Houthalen-Helchteren</v>
          </cell>
          <cell r="M30" t="str">
            <v>M</v>
          </cell>
          <cell r="O30" t="str">
            <v>011.60.88.40</v>
          </cell>
          <cell r="P30" t="str">
            <v>011.60.88.49</v>
          </cell>
          <cell r="Q30" t="str">
            <v>GUIDO.BAX@NOTARIS.BE</v>
          </cell>
          <cell r="R30">
            <v>2419</v>
          </cell>
          <cell r="S30" t="str">
            <v>000-1164008-08</v>
          </cell>
          <cell r="T30" t="str">
            <v>*1978</v>
          </cell>
        </row>
        <row r="31">
          <cell r="A31">
            <v>30</v>
          </cell>
          <cell r="B31" t="str">
            <v>SPRL Corinne Beaudoul Notaire</v>
          </cell>
          <cell r="C31" t="str">
            <v>Beaudoul Corinne</v>
          </cell>
          <cell r="D31" t="str">
            <v>Notaris</v>
          </cell>
          <cell r="E31" t="str">
            <v>Rue de Landelies</v>
          </cell>
          <cell r="F31" t="str">
            <v>21</v>
          </cell>
          <cell r="G31" t="str">
            <v/>
          </cell>
          <cell r="H31" t="str">
            <v>6110</v>
          </cell>
          <cell r="I31" t="str">
            <v>Hainaut</v>
          </cell>
          <cell r="K31" t="str">
            <v>Montigny-le-Tilleul</v>
          </cell>
          <cell r="M31" t="str">
            <v>Vr</v>
          </cell>
          <cell r="O31" t="str">
            <v>071.51.52.74</v>
          </cell>
          <cell r="P31" t="str">
            <v>071.51.90.37</v>
          </cell>
          <cell r="Q31" t="str">
            <v>CORINNE.BEAUDOUL@NOTAIRE.BE</v>
          </cell>
          <cell r="R31">
            <v>2868</v>
          </cell>
          <cell r="S31" t="str">
            <v>000-1577428-14</v>
          </cell>
          <cell r="T31" t="str">
            <v>*1987</v>
          </cell>
        </row>
        <row r="32">
          <cell r="A32">
            <v>31</v>
          </cell>
          <cell r="B32" t="str">
            <v>BECHET Michel</v>
          </cell>
          <cell r="C32" t="str">
            <v>BECHET Michel</v>
          </cell>
          <cell r="D32" t="str">
            <v>Notaris</v>
          </cell>
          <cell r="E32" t="str">
            <v>Rue Belle Vue</v>
          </cell>
          <cell r="F32" t="str">
            <v>29</v>
          </cell>
          <cell r="G32" t="str">
            <v/>
          </cell>
          <cell r="H32" t="str">
            <v>6740</v>
          </cell>
          <cell r="I32" t="str">
            <v>Luxembourg</v>
          </cell>
          <cell r="K32" t="str">
            <v>Etalle</v>
          </cell>
          <cell r="M32" t="str">
            <v>M</v>
          </cell>
          <cell r="O32" t="str">
            <v>063.45.51.14</v>
          </cell>
          <cell r="P32" t="str">
            <v>063.45.54.51</v>
          </cell>
          <cell r="Q32" t="str">
            <v>MICHEL.BECHET@NOTAIRE.BE</v>
          </cell>
          <cell r="R32">
            <v>2859</v>
          </cell>
          <cell r="S32" t="str">
            <v>367-0800559-71</v>
          </cell>
          <cell r="T32" t="str">
            <v>*1987</v>
          </cell>
        </row>
        <row r="33">
          <cell r="A33">
            <v>32</v>
          </cell>
          <cell r="B33" t="str">
            <v>BEGASSE de DHAEM Daniel</v>
          </cell>
          <cell r="C33" t="str">
            <v>BEGASSE de DHAEM Daniel</v>
          </cell>
          <cell r="D33" t="str">
            <v>Notaris</v>
          </cell>
          <cell r="E33" t="str">
            <v>rue Adrien de Witte</v>
          </cell>
          <cell r="F33" t="str">
            <v>12</v>
          </cell>
          <cell r="G33" t="str">
            <v/>
          </cell>
          <cell r="H33" t="str">
            <v>4020</v>
          </cell>
          <cell r="I33" t="str">
            <v>Liège</v>
          </cell>
          <cell r="K33" t="str">
            <v>Liège</v>
          </cell>
          <cell r="M33" t="str">
            <v>M</v>
          </cell>
          <cell r="O33" t="str">
            <v>04.342.82.88</v>
          </cell>
          <cell r="P33" t="str">
            <v>04.342.80.22</v>
          </cell>
          <cell r="Q33" t="str">
            <v>DANIEL.BEGASSEDEDHAEM@NOTAIRE.BE</v>
          </cell>
          <cell r="R33">
            <v>3006</v>
          </cell>
          <cell r="S33" t="str">
            <v>000-1307690-33</v>
          </cell>
          <cell r="T33" t="str">
            <v>*1991</v>
          </cell>
        </row>
        <row r="34">
          <cell r="A34">
            <v>33</v>
          </cell>
          <cell r="B34" t="str">
            <v>BEGUIN Etienne</v>
          </cell>
          <cell r="C34" t="str">
            <v>BEGUIN Etienne</v>
          </cell>
          <cell r="D34" t="str">
            <v>Notaris</v>
          </cell>
          <cell r="E34" t="str">
            <v>rue de Dinant</v>
          </cell>
          <cell r="F34" t="str">
            <v>95</v>
          </cell>
          <cell r="G34" t="str">
            <v/>
          </cell>
          <cell r="H34" t="str">
            <v>5570</v>
          </cell>
          <cell r="I34" t="str">
            <v>Namur</v>
          </cell>
          <cell r="K34" t="str">
            <v>Beauraing</v>
          </cell>
          <cell r="M34" t="str">
            <v>M</v>
          </cell>
          <cell r="O34" t="str">
            <v>082.71.14.06</v>
          </cell>
          <cell r="P34" t="str">
            <v>082.71.35.13</v>
          </cell>
          <cell r="Q34" t="str">
            <v>ETIENNE.BEGUIN@NOTAIRE.BE</v>
          </cell>
          <cell r="R34">
            <v>2919</v>
          </cell>
          <cell r="S34" t="str">
            <v>000-1056935-23</v>
          </cell>
          <cell r="T34" t="str">
            <v>*1989</v>
          </cell>
        </row>
        <row r="35">
          <cell r="A35">
            <v>34</v>
          </cell>
          <cell r="B35" t="str">
            <v>BEHAEGEL Hervé</v>
          </cell>
          <cell r="C35" t="str">
            <v>BEHAEGEL Hervé</v>
          </cell>
          <cell r="D35" t="str">
            <v>Notaris</v>
          </cell>
          <cell r="E35" t="str">
            <v>Avenue des Villas</v>
          </cell>
          <cell r="F35" t="str">
            <v>46</v>
          </cell>
          <cell r="G35" t="str">
            <v/>
          </cell>
          <cell r="H35" t="str">
            <v>1060</v>
          </cell>
          <cell r="I35" t="str">
            <v>Bruxelles</v>
          </cell>
          <cell r="K35" t="str">
            <v>Bruxelles</v>
          </cell>
          <cell r="M35" t="str">
            <v>M</v>
          </cell>
          <cell r="O35" t="str">
            <v>02.537.10.25</v>
          </cell>
          <cell r="P35" t="str">
            <v>02.537.84.62</v>
          </cell>
          <cell r="Q35" t="str">
            <v>HERVE.BEHAEGEL@NOTAIRE.BE</v>
          </cell>
          <cell r="R35">
            <v>3320</v>
          </cell>
          <cell r="S35" t="str">
            <v>210-0937700-53</v>
          </cell>
          <cell r="T35" t="str">
            <v>*1998</v>
          </cell>
        </row>
        <row r="36">
          <cell r="A36">
            <v>35</v>
          </cell>
          <cell r="B36" t="str">
            <v>BEHETS WYDEMANS Yves</v>
          </cell>
          <cell r="C36" t="str">
            <v>BEHETS WYDEMANS Yves</v>
          </cell>
          <cell r="D36" t="str">
            <v>Notaris</v>
          </cell>
          <cell r="E36" t="str">
            <v>rue du Cardinal</v>
          </cell>
          <cell r="F36" t="str">
            <v>46</v>
          </cell>
          <cell r="G36" t="str">
            <v/>
          </cell>
          <cell r="H36" t="str">
            <v>1000</v>
          </cell>
          <cell r="I36" t="str">
            <v>Bruxelles</v>
          </cell>
          <cell r="K36" t="str">
            <v>Bruxelles</v>
          </cell>
          <cell r="M36" t="str">
            <v>M</v>
          </cell>
          <cell r="O36" t="str">
            <v>02.235.07.50</v>
          </cell>
          <cell r="P36" t="str">
            <v>02.230.71.66</v>
          </cell>
          <cell r="Q36" t="str">
            <v>YVES.BEHETSWYDEMANS@NOTAIRE.BE</v>
          </cell>
          <cell r="R36">
            <v>2893</v>
          </cell>
          <cell r="S36" t="str">
            <v>750-2580006-61</v>
          </cell>
          <cell r="T36" t="str">
            <v>*1988</v>
          </cell>
        </row>
        <row r="37">
          <cell r="A37">
            <v>36</v>
          </cell>
          <cell r="B37" t="str">
            <v>Paul Bellemont Notaire SPRLU</v>
          </cell>
          <cell r="C37" t="str">
            <v>Bellemont Paul</v>
          </cell>
          <cell r="D37" t="str">
            <v>Notaris</v>
          </cell>
          <cell r="E37" t="str">
            <v>Chaussée de steenweg op.Charleroi</v>
          </cell>
          <cell r="F37" t="str">
            <v>70</v>
          </cell>
          <cell r="G37" t="str">
            <v>bte 3</v>
          </cell>
          <cell r="H37" t="str">
            <v>1060</v>
          </cell>
          <cell r="I37" t="str">
            <v>Bruxelles</v>
          </cell>
          <cell r="K37" t="str">
            <v>Bruxelles</v>
          </cell>
          <cell r="M37" t="str">
            <v>M</v>
          </cell>
          <cell r="O37" t="str">
            <v>02.537.39.23</v>
          </cell>
          <cell r="P37" t="str">
            <v>02.538.22.53</v>
          </cell>
          <cell r="Q37" t="str">
            <v>PAUL.BELLEMONT@NOTAIRE.BE</v>
          </cell>
          <cell r="R37">
            <v>3061</v>
          </cell>
          <cell r="S37" t="str">
            <v>000-1341906-08</v>
          </cell>
          <cell r="T37" t="str">
            <v>*1992</v>
          </cell>
        </row>
        <row r="38">
          <cell r="A38">
            <v>37</v>
          </cell>
          <cell r="B38" t="str">
            <v>Alec Benijts</v>
          </cell>
          <cell r="C38" t="str">
            <v>Benijts Alec</v>
          </cell>
          <cell r="D38" t="str">
            <v>Notaris</v>
          </cell>
          <cell r="E38" t="str">
            <v>Pas</v>
          </cell>
          <cell r="F38" t="str">
            <v>264</v>
          </cell>
          <cell r="G38" t="str">
            <v/>
          </cell>
          <cell r="H38" t="str">
            <v>2440</v>
          </cell>
          <cell r="I38" t="str">
            <v>Antwerpen</v>
          </cell>
          <cell r="K38" t="str">
            <v>Geel</v>
          </cell>
          <cell r="M38" t="str">
            <v>M</v>
          </cell>
          <cell r="O38" t="str">
            <v>014.58.44.41</v>
          </cell>
          <cell r="P38" t="str">
            <v>014.58.06.74</v>
          </cell>
          <cell r="Q38" t="str">
            <v>alec.benijts@notaris.be</v>
          </cell>
          <cell r="R38">
            <v>40</v>
          </cell>
          <cell r="S38" t="str">
            <v>320-0306300-44</v>
          </cell>
          <cell r="T38">
            <v>38727</v>
          </cell>
        </row>
        <row r="39">
          <cell r="A39">
            <v>38</v>
          </cell>
          <cell r="B39" t="str">
            <v>BEQUET Dominic</v>
          </cell>
          <cell r="C39" t="str">
            <v>BEQUET Dominic</v>
          </cell>
          <cell r="D39" t="str">
            <v>Notaris</v>
          </cell>
          <cell r="E39" t="str">
            <v>Rue de la Hulle</v>
          </cell>
          <cell r="F39" t="str">
            <v>1</v>
          </cell>
          <cell r="G39" t="str">
            <v/>
          </cell>
          <cell r="H39" t="str">
            <v>5170</v>
          </cell>
          <cell r="I39" t="str">
            <v>Namur</v>
          </cell>
          <cell r="K39" t="str">
            <v>Profondeville</v>
          </cell>
          <cell r="M39" t="str">
            <v>M</v>
          </cell>
          <cell r="O39" t="str">
            <v>081.41.10.37</v>
          </cell>
          <cell r="P39" t="str">
            <v>081.41.28.27</v>
          </cell>
          <cell r="Q39" t="str">
            <v>dominic.bequet@belnot.be</v>
          </cell>
          <cell r="R39">
            <v>2752</v>
          </cell>
          <cell r="S39" t="str">
            <v>000-0003938-58</v>
          </cell>
          <cell r="T39" t="str">
            <v>*1985</v>
          </cell>
        </row>
        <row r="40">
          <cell r="A40">
            <v>39</v>
          </cell>
          <cell r="B40" t="str">
            <v>Berben Ann</v>
          </cell>
          <cell r="C40" t="str">
            <v>Berben Ann</v>
          </cell>
          <cell r="D40" t="str">
            <v>Notaris</v>
          </cell>
          <cell r="E40" t="str">
            <v>Hoogstraat</v>
          </cell>
          <cell r="F40">
            <v>12</v>
          </cell>
          <cell r="G40" t="str">
            <v>bus 1</v>
          </cell>
          <cell r="H40">
            <v>3690</v>
          </cell>
          <cell r="I40" t="str">
            <v>Limburg</v>
          </cell>
          <cell r="K40" t="str">
            <v>Zutendaal</v>
          </cell>
          <cell r="M40" t="str">
            <v>Vr</v>
          </cell>
          <cell r="O40" t="str">
            <v>089.85.87.58</v>
          </cell>
          <cell r="P40" t="str">
            <v>089.85.78.37</v>
          </cell>
          <cell r="Q40" t="str">
            <v>ann.berben@notaris.be</v>
          </cell>
          <cell r="S40" t="str">
            <v>735-0100273-60</v>
          </cell>
          <cell r="T40">
            <v>38203</v>
          </cell>
        </row>
        <row r="41">
          <cell r="A41">
            <v>40</v>
          </cell>
          <cell r="B41" t="str">
            <v>BERBEN TOPFF &amp; LOPEZ-HERNANDEZ</v>
          </cell>
          <cell r="C41" t="str">
            <v>Berben Peter</v>
          </cell>
          <cell r="D41" t="str">
            <v>Geassocieerd Notaris</v>
          </cell>
          <cell r="E41" t="str">
            <v>Boseind</v>
          </cell>
          <cell r="F41" t="str">
            <v>23</v>
          </cell>
          <cell r="G41" t="str">
            <v/>
          </cell>
          <cell r="H41" t="str">
            <v>3910</v>
          </cell>
          <cell r="I41" t="str">
            <v>Limburg</v>
          </cell>
          <cell r="K41" t="str">
            <v>Neerpelt</v>
          </cell>
          <cell r="M41" t="str">
            <v>M</v>
          </cell>
          <cell r="O41" t="str">
            <v>011.64.10.95</v>
          </cell>
          <cell r="P41" t="str">
            <v>011.64.81.91</v>
          </cell>
          <cell r="Q41" t="str">
            <v>PETER.BERBEN@NOTARIS.BE</v>
          </cell>
          <cell r="R41">
            <v>3610</v>
          </cell>
        </row>
        <row r="42">
          <cell r="A42">
            <v>41</v>
          </cell>
          <cell r="B42" t="str">
            <v>BERGS Dorothée</v>
          </cell>
          <cell r="C42" t="str">
            <v>BERGS Dorothée</v>
          </cell>
          <cell r="D42" t="str">
            <v>Notaris</v>
          </cell>
          <cell r="E42" t="str">
            <v>Chaussée Charlemagne</v>
          </cell>
          <cell r="F42" t="str">
            <v>116</v>
          </cell>
          <cell r="G42" t="str">
            <v/>
          </cell>
          <cell r="H42" t="str">
            <v>4890</v>
          </cell>
          <cell r="I42" t="str">
            <v>Liège</v>
          </cell>
          <cell r="K42" t="str">
            <v>Thimister-Clermont</v>
          </cell>
          <cell r="M42" t="str">
            <v>Vr</v>
          </cell>
          <cell r="O42" t="str">
            <v>087.44.60.01</v>
          </cell>
          <cell r="P42" t="str">
            <v>087.44.59.85</v>
          </cell>
          <cell r="Q42" t="str">
            <v>dorothee.bergs@notaire.be</v>
          </cell>
          <cell r="R42">
            <v>3616</v>
          </cell>
          <cell r="S42" t="str">
            <v>778-5907140-89</v>
          </cell>
          <cell r="T42" t="str">
            <v>*2003</v>
          </cell>
        </row>
        <row r="43">
          <cell r="A43">
            <v>42</v>
          </cell>
          <cell r="B43" t="str">
            <v>Notaris Paul BERLENGE BVBA</v>
          </cell>
          <cell r="C43" t="str">
            <v>Berlenge Paul</v>
          </cell>
          <cell r="D43" t="str">
            <v>Notaris</v>
          </cell>
          <cell r="E43" t="str">
            <v>Firmin Bogaertstraat</v>
          </cell>
          <cell r="F43" t="str">
            <v>14</v>
          </cell>
          <cell r="G43" t="str">
            <v/>
          </cell>
          <cell r="H43" t="str">
            <v>9620</v>
          </cell>
          <cell r="I43" t="str">
            <v>Oost-Vlaanderen</v>
          </cell>
          <cell r="K43" t="str">
            <v>Zottegem</v>
          </cell>
          <cell r="M43" t="str">
            <v>M</v>
          </cell>
          <cell r="O43" t="str">
            <v>09.360.05.61</v>
          </cell>
          <cell r="P43" t="str">
            <v>09.360.93.88</v>
          </cell>
          <cell r="Q43" t="str">
            <v>PAUL.BERLENGE@NOTARIS.BE</v>
          </cell>
          <cell r="R43">
            <v>2489</v>
          </cell>
          <cell r="S43" t="str">
            <v>444-4698681-86</v>
          </cell>
          <cell r="T43" t="str">
            <v>*1980</v>
          </cell>
        </row>
        <row r="44">
          <cell r="A44">
            <v>43</v>
          </cell>
          <cell r="B44" t="str">
            <v>BERQUIN NOTARISSEN - BERQUIN NOTAIRES</v>
          </cell>
          <cell r="C44" t="str">
            <v>Berquin Vincent</v>
          </cell>
          <cell r="D44" t="str">
            <v>Geassocieerd Notaris</v>
          </cell>
          <cell r="E44" t="str">
            <v>Avenue Lloyd Georgelaan</v>
          </cell>
          <cell r="F44" t="str">
            <v>11</v>
          </cell>
          <cell r="G44" t="str">
            <v/>
          </cell>
          <cell r="H44" t="str">
            <v>1000</v>
          </cell>
          <cell r="I44" t="str">
            <v>Bruxelles</v>
          </cell>
          <cell r="K44" t="str">
            <v>Bruxelles</v>
          </cell>
          <cell r="M44" t="str">
            <v>M</v>
          </cell>
          <cell r="O44" t="str">
            <v>02.645.19.45</v>
          </cell>
          <cell r="P44" t="str">
            <v>02.645.19.86</v>
          </cell>
          <cell r="Q44" t="str">
            <v>VINCENT.BERQUIN@NOTARIS.BE</v>
          </cell>
          <cell r="R44">
            <v>3224</v>
          </cell>
          <cell r="T44" t="str">
            <v>*1999</v>
          </cell>
        </row>
        <row r="45">
          <cell r="A45">
            <v>44</v>
          </cell>
          <cell r="B45" t="str">
            <v>BERTHET Jean-Pierre</v>
          </cell>
          <cell r="C45" t="str">
            <v>BERTHET Jean-Pierre</v>
          </cell>
          <cell r="D45" t="str">
            <v>Notaris</v>
          </cell>
          <cell r="E45" t="str">
            <v>Avenue Julien Hanssenslaan</v>
          </cell>
          <cell r="F45" t="str">
            <v>11/13</v>
          </cell>
          <cell r="G45" t="str">
            <v/>
          </cell>
          <cell r="H45" t="str">
            <v>1080</v>
          </cell>
          <cell r="I45" t="str">
            <v>Bruxelles</v>
          </cell>
          <cell r="K45" t="str">
            <v>Bruxelles</v>
          </cell>
          <cell r="M45" t="str">
            <v>M</v>
          </cell>
          <cell r="O45" t="str">
            <v>02.426.26.63</v>
          </cell>
          <cell r="P45" t="str">
            <v>02.425.35.81</v>
          </cell>
          <cell r="Q45" t="str">
            <v>JEANPIERRE.BERTHET@NOTAIRE.BE</v>
          </cell>
          <cell r="R45">
            <v>3416</v>
          </cell>
          <cell r="S45" t="str">
            <v>000-0043021-50</v>
          </cell>
          <cell r="T45" t="str">
            <v>*1999</v>
          </cell>
        </row>
        <row r="46">
          <cell r="A46">
            <v>45</v>
          </cell>
          <cell r="B46" t="str">
            <v>BEUCKELAERS Arthur</v>
          </cell>
          <cell r="C46" t="str">
            <v>BEUCKELAERS Arthur</v>
          </cell>
          <cell r="D46" t="str">
            <v>Notaris</v>
          </cell>
          <cell r="E46" t="str">
            <v>Grote Steenweg</v>
          </cell>
          <cell r="F46" t="str">
            <v>293</v>
          </cell>
          <cell r="G46" t="str">
            <v/>
          </cell>
          <cell r="H46" t="str">
            <v>2600</v>
          </cell>
          <cell r="I46" t="str">
            <v>Antwerpen</v>
          </cell>
          <cell r="K46" t="str">
            <v>Berchem Antwerpen)</v>
          </cell>
          <cell r="M46" t="str">
            <v>M</v>
          </cell>
          <cell r="O46" t="str">
            <v>03.218.40.96</v>
          </cell>
          <cell r="P46" t="str">
            <v>03.230.64.35</v>
          </cell>
          <cell r="Q46" t="str">
            <v>ARTHUR.BEUCKELAERS@NOTARIS.BE</v>
          </cell>
          <cell r="R46">
            <v>173</v>
          </cell>
          <cell r="S46" t="str">
            <v>000-1026506-52</v>
          </cell>
          <cell r="T46" t="str">
            <v>*1971</v>
          </cell>
        </row>
        <row r="47">
          <cell r="A47">
            <v>46</v>
          </cell>
          <cell r="B47" t="str">
            <v>BEYENS Alain</v>
          </cell>
          <cell r="C47" t="str">
            <v>BEYENS Alain</v>
          </cell>
          <cell r="D47" t="str">
            <v>Notaris</v>
          </cell>
          <cell r="E47" t="str">
            <v>Rue de Velaine</v>
          </cell>
          <cell r="F47" t="str">
            <v>53</v>
          </cell>
          <cell r="G47" t="str">
            <v/>
          </cell>
          <cell r="H47" t="str">
            <v>5060</v>
          </cell>
          <cell r="I47" t="str">
            <v>Namur</v>
          </cell>
          <cell r="K47" t="str">
            <v>Tamines</v>
          </cell>
          <cell r="M47" t="str">
            <v>M</v>
          </cell>
          <cell r="O47" t="str">
            <v>071.26,60,99</v>
          </cell>
          <cell r="P47" t="str">
            <v>071.76.11.07</v>
          </cell>
          <cell r="Q47" t="str">
            <v>alain.beyens@notaire.be</v>
          </cell>
          <cell r="R47">
            <v>812</v>
          </cell>
          <cell r="S47" t="str">
            <v>360-0113183-87</v>
          </cell>
          <cell r="T47" t="str">
            <v>*2004</v>
          </cell>
        </row>
        <row r="48">
          <cell r="A48">
            <v>47</v>
          </cell>
          <cell r="B48" t="str">
            <v>BEYER Eugène-Christophe</v>
          </cell>
          <cell r="C48" t="str">
            <v>BEYER Eugène-Christophe</v>
          </cell>
          <cell r="D48" t="str">
            <v>Notaris</v>
          </cell>
          <cell r="E48" t="str">
            <v>Sint-Markoenstraat</v>
          </cell>
          <cell r="F48" t="str">
            <v>45</v>
          </cell>
          <cell r="G48" t="str">
            <v/>
          </cell>
          <cell r="H48" t="str">
            <v>9032</v>
          </cell>
          <cell r="I48" t="str">
            <v>Oost-Vlaanderen</v>
          </cell>
          <cell r="K48" t="str">
            <v>Wondelgem</v>
          </cell>
          <cell r="M48" t="str">
            <v>M</v>
          </cell>
          <cell r="O48" t="str">
            <v>09.253.85.49</v>
          </cell>
          <cell r="P48" t="str">
            <v>09.253.05.89</v>
          </cell>
          <cell r="Q48" t="str">
            <v>EUGENECHRISTOPHE.BEYER@NOTARIS.BE</v>
          </cell>
          <cell r="R48">
            <v>3052</v>
          </cell>
          <cell r="S48" t="str">
            <v>000-1644866-37</v>
          </cell>
          <cell r="T48" t="str">
            <v>*1992</v>
          </cell>
        </row>
        <row r="49">
          <cell r="A49">
            <v>48</v>
          </cell>
          <cell r="B49" t="str">
            <v>BILLER Stéphanie</v>
          </cell>
          <cell r="C49" t="str">
            <v>BILLER Stéphanie</v>
          </cell>
          <cell r="D49" t="str">
            <v>Notaris</v>
          </cell>
          <cell r="E49" t="str">
            <v>Rue du Onze Novembre</v>
          </cell>
          <cell r="F49" t="str">
            <v>21</v>
          </cell>
          <cell r="G49" t="str">
            <v/>
          </cell>
          <cell r="H49" t="str">
            <v>7000</v>
          </cell>
          <cell r="I49" t="str">
            <v>Hainaut</v>
          </cell>
          <cell r="K49" t="str">
            <v>Mons</v>
          </cell>
          <cell r="M49" t="str">
            <v>Vr</v>
          </cell>
          <cell r="O49" t="str">
            <v>065.36.13.35</v>
          </cell>
          <cell r="P49" t="str">
            <v>065.31.93.30</v>
          </cell>
          <cell r="Q49" t="str">
            <v>stephanie.biller@notaire.be</v>
          </cell>
          <cell r="R49">
            <v>734</v>
          </cell>
          <cell r="S49" t="str">
            <v>370-1152518-51</v>
          </cell>
          <cell r="T49" t="str">
            <v>*2004</v>
          </cell>
        </row>
        <row r="50">
          <cell r="A50">
            <v>49</v>
          </cell>
          <cell r="B50" t="str">
            <v>BINET Philippe</v>
          </cell>
          <cell r="C50" t="str">
            <v>BINET Philippe</v>
          </cell>
          <cell r="D50" t="str">
            <v>Notaris</v>
          </cell>
          <cell r="E50" t="str">
            <v>Rue la Bel</v>
          </cell>
          <cell r="F50" t="str">
            <v>51</v>
          </cell>
          <cell r="G50" t="str">
            <v/>
          </cell>
          <cell r="H50" t="str">
            <v>4880</v>
          </cell>
          <cell r="I50" t="str">
            <v>Liège</v>
          </cell>
          <cell r="K50" t="str">
            <v>Aubel</v>
          </cell>
          <cell r="M50" t="str">
            <v>M</v>
          </cell>
          <cell r="O50" t="str">
            <v>087.68.76.35</v>
          </cell>
          <cell r="P50" t="str">
            <v>087.68.65.49</v>
          </cell>
          <cell r="Q50" t="str">
            <v>PHILIPPE.BINET@NOTAIRE.BE</v>
          </cell>
          <cell r="R50">
            <v>2550</v>
          </cell>
          <cell r="S50" t="str">
            <v>248-0039100-39</v>
          </cell>
          <cell r="T50" t="str">
            <v>*1981</v>
          </cell>
        </row>
        <row r="51">
          <cell r="A51">
            <v>50</v>
          </cell>
          <cell r="B51" t="str">
            <v>BINOT Frédéric</v>
          </cell>
          <cell r="C51" t="str">
            <v>BINOT Frédéric</v>
          </cell>
          <cell r="D51" t="str">
            <v>Notaris</v>
          </cell>
          <cell r="E51" t="str">
            <v>Rue César de Paepe</v>
          </cell>
          <cell r="F51" t="str">
            <v>19</v>
          </cell>
          <cell r="G51" t="str">
            <v/>
          </cell>
          <cell r="H51" t="str">
            <v>4683</v>
          </cell>
          <cell r="I51" t="str">
            <v>Liège</v>
          </cell>
          <cell r="K51" t="str">
            <v>Vivegnis</v>
          </cell>
          <cell r="M51" t="str">
            <v>M</v>
          </cell>
          <cell r="O51" t="str">
            <v>04.264.02.42</v>
          </cell>
          <cell r="P51" t="str">
            <v>04.248.02.67</v>
          </cell>
          <cell r="Q51" t="str">
            <v>FREDERIC.BINOT@NOTAIRE.BE</v>
          </cell>
          <cell r="R51">
            <v>2938</v>
          </cell>
          <cell r="S51" t="str">
            <v>340-0554575-64</v>
          </cell>
          <cell r="T51" t="str">
            <v>*1989</v>
          </cell>
        </row>
        <row r="52">
          <cell r="A52">
            <v>51</v>
          </cell>
          <cell r="B52" t="str">
            <v>BINOT Michel</v>
          </cell>
          <cell r="C52" t="str">
            <v>BINOT Michel</v>
          </cell>
          <cell r="D52" t="str">
            <v>Notaris</v>
          </cell>
          <cell r="E52" t="str">
            <v>Rue Defacqz</v>
          </cell>
          <cell r="F52" t="str">
            <v>13</v>
          </cell>
          <cell r="G52" t="str">
            <v/>
          </cell>
          <cell r="H52" t="str">
            <v>7800</v>
          </cell>
          <cell r="I52" t="str">
            <v>Hainaut</v>
          </cell>
          <cell r="K52" t="str">
            <v>Ath</v>
          </cell>
          <cell r="M52" t="str">
            <v>M</v>
          </cell>
          <cell r="O52" t="str">
            <v>068.28.34.88</v>
          </cell>
          <cell r="P52" t="str">
            <v>068.28.76.21</v>
          </cell>
          <cell r="Q52" t="str">
            <v>MICHEL.BINOT@NOTAIRE.BE</v>
          </cell>
          <cell r="R52">
            <v>2857</v>
          </cell>
          <cell r="S52" t="str">
            <v>275-0262790-62</v>
          </cell>
          <cell r="T52" t="str">
            <v>*1987</v>
          </cell>
        </row>
        <row r="53">
          <cell r="A53">
            <v>52</v>
          </cell>
          <cell r="B53" t="str">
            <v>BINOT Philippe</v>
          </cell>
          <cell r="C53" t="str">
            <v>BINOT Philippe</v>
          </cell>
          <cell r="D53" t="str">
            <v>Notaris</v>
          </cell>
          <cell r="E53" t="str">
            <v>Rue du Notariat</v>
          </cell>
          <cell r="F53" t="str">
            <v>8</v>
          </cell>
          <cell r="G53" t="str">
            <v/>
          </cell>
          <cell r="H53" t="str">
            <v>7830</v>
          </cell>
          <cell r="I53" t="str">
            <v>Hainaut</v>
          </cell>
          <cell r="K53" t="str">
            <v>Silly</v>
          </cell>
          <cell r="M53" t="str">
            <v>M</v>
          </cell>
          <cell r="O53" t="str">
            <v>068.25.03.80</v>
          </cell>
          <cell r="P53" t="str">
            <v>068.25.03.89</v>
          </cell>
          <cell r="Q53" t="str">
            <v>PHILIPPE.BINOT@NOTAIRE.BE</v>
          </cell>
          <cell r="R53">
            <v>2765</v>
          </cell>
          <cell r="S53" t="str">
            <v>001-0600358-04</v>
          </cell>
          <cell r="T53" t="str">
            <v>*1985</v>
          </cell>
        </row>
        <row r="54">
          <cell r="A54">
            <v>53</v>
          </cell>
          <cell r="B54" t="str">
            <v>BIOUL Patrick</v>
          </cell>
          <cell r="C54" t="str">
            <v>BIOUL Patrick</v>
          </cell>
          <cell r="D54" t="str">
            <v>Notaris</v>
          </cell>
          <cell r="E54" t="str">
            <v>Allée des Marronniers</v>
          </cell>
          <cell r="F54" t="str">
            <v>16</v>
          </cell>
          <cell r="G54" t="str">
            <v>bte 2</v>
          </cell>
          <cell r="H54" t="str">
            <v>5030</v>
          </cell>
          <cell r="I54" t="str">
            <v>Namur</v>
          </cell>
          <cell r="K54" t="str">
            <v>Gembloux</v>
          </cell>
          <cell r="M54" t="str">
            <v>M</v>
          </cell>
          <cell r="O54" t="str">
            <v>081.61.10.28</v>
          </cell>
          <cell r="P54" t="str">
            <v>081.61.00.96</v>
          </cell>
          <cell r="Q54" t="str">
            <v>PATRICK.BIOUL@NOTAIRE.BE</v>
          </cell>
          <cell r="R54">
            <v>2705</v>
          </cell>
          <cell r="S54" t="str">
            <v>061-8460260-94</v>
          </cell>
          <cell r="T54" t="str">
            <v>*1984</v>
          </cell>
        </row>
        <row r="55">
          <cell r="A55">
            <v>54</v>
          </cell>
          <cell r="B55" t="str">
            <v>BLEECKX Gaétan</v>
          </cell>
          <cell r="C55" t="str">
            <v>BLEECKX Gaétan</v>
          </cell>
          <cell r="D55" t="str">
            <v>Notaris</v>
          </cell>
          <cell r="E55" t="str">
            <v>Place M. Van Meenenplein</v>
          </cell>
          <cell r="F55" t="str">
            <v>2</v>
          </cell>
          <cell r="G55" t="str">
            <v/>
          </cell>
          <cell r="H55" t="str">
            <v>1060</v>
          </cell>
          <cell r="I55" t="str">
            <v>Bruxelles</v>
          </cell>
          <cell r="K55" t="str">
            <v>Bruxelles</v>
          </cell>
          <cell r="M55" t="str">
            <v>M</v>
          </cell>
          <cell r="O55" t="str">
            <v>02.537.18.10</v>
          </cell>
          <cell r="P55" t="str">
            <v>02.539.25.28</v>
          </cell>
          <cell r="Q55" t="str">
            <v>GAETAN.BLEECKX@NOTARIS.BE</v>
          </cell>
          <cell r="R55">
            <v>3364</v>
          </cell>
          <cell r="S55" t="str">
            <v>068-2281680-73</v>
          </cell>
          <cell r="T55" t="str">
            <v>*1999</v>
          </cell>
        </row>
        <row r="56">
          <cell r="A56">
            <v>55</v>
          </cell>
          <cell r="B56" t="str">
            <v>BLINDEMAN Christophe</v>
          </cell>
          <cell r="C56" t="str">
            <v>BLINDEMAN Christophe</v>
          </cell>
          <cell r="D56" t="str">
            <v>Notaris</v>
          </cell>
          <cell r="E56" t="str">
            <v>Ferdinand Lousbergskaai</v>
          </cell>
          <cell r="F56" t="str">
            <v>103</v>
          </cell>
          <cell r="G56" t="str">
            <v/>
          </cell>
          <cell r="H56" t="str">
            <v>9000</v>
          </cell>
          <cell r="I56" t="str">
            <v>Oost-Vlaanderen</v>
          </cell>
          <cell r="K56" t="str">
            <v>Gent</v>
          </cell>
          <cell r="M56" t="str">
            <v>M</v>
          </cell>
          <cell r="O56" t="str">
            <v>09.228.17.99</v>
          </cell>
          <cell r="P56" t="str">
            <v>09.229.20.88</v>
          </cell>
          <cell r="Q56" t="str">
            <v>CHRISTOPHE.BLINDEMAN@NOTARIS.BE</v>
          </cell>
          <cell r="R56">
            <v>3431</v>
          </cell>
          <cell r="S56" t="str">
            <v>000-0211495-35</v>
          </cell>
          <cell r="T56" t="str">
            <v>*1999</v>
          </cell>
        </row>
        <row r="57">
          <cell r="A57">
            <v>56</v>
          </cell>
          <cell r="B57" t="str">
            <v>BLONTROCK François</v>
          </cell>
          <cell r="C57" t="str">
            <v>BLONTROCK François</v>
          </cell>
          <cell r="D57" t="str">
            <v>Notaris</v>
          </cell>
          <cell r="E57" t="str">
            <v>Duinenabdijstraat</v>
          </cell>
          <cell r="F57" t="str">
            <v>13</v>
          </cell>
          <cell r="G57" t="str">
            <v/>
          </cell>
          <cell r="H57" t="str">
            <v>8000</v>
          </cell>
          <cell r="I57" t="str">
            <v>West-Vlaanderen</v>
          </cell>
          <cell r="K57" t="str">
            <v>Brugge</v>
          </cell>
          <cell r="L57">
            <v>21640</v>
          </cell>
          <cell r="M57" t="str">
            <v>M</v>
          </cell>
          <cell r="O57" t="str">
            <v>050.44.05.44</v>
          </cell>
          <cell r="P57" t="str">
            <v>050.34.44.13</v>
          </cell>
          <cell r="Q57" t="str">
            <v>FRANCOIS.BLONTROCK@NOTARIS.BE</v>
          </cell>
          <cell r="R57">
            <v>3199</v>
          </cell>
          <cell r="S57" t="str">
            <v>380-0009856-33</v>
          </cell>
          <cell r="T57" t="str">
            <v>*1995</v>
          </cell>
        </row>
        <row r="58">
          <cell r="A58">
            <v>57</v>
          </cell>
          <cell r="B58" t="str">
            <v>BODSON Murielle</v>
          </cell>
          <cell r="C58" t="str">
            <v>BODSON Murielle</v>
          </cell>
          <cell r="D58" t="str">
            <v>Notaris</v>
          </cell>
          <cell r="E58" t="str">
            <v>Avenue Francisco Ferrer</v>
          </cell>
          <cell r="F58" t="str">
            <v>5</v>
          </cell>
          <cell r="G58" t="str">
            <v/>
          </cell>
          <cell r="H58" t="str">
            <v>4030</v>
          </cell>
          <cell r="I58" t="str">
            <v>Liège</v>
          </cell>
          <cell r="K58" t="str">
            <v>Grivegnée</v>
          </cell>
          <cell r="M58" t="str">
            <v>Vr</v>
          </cell>
          <cell r="O58" t="str">
            <v>04.349.37.67</v>
          </cell>
          <cell r="P58" t="str">
            <v>04.349.37.77</v>
          </cell>
          <cell r="Q58" t="str">
            <v>MURIELLE.BODSON@NOTAIRE.BE</v>
          </cell>
          <cell r="R58">
            <v>3425</v>
          </cell>
          <cell r="S58" t="str">
            <v>776-5956479-97</v>
          </cell>
          <cell r="T58" t="str">
            <v>*1999</v>
          </cell>
        </row>
        <row r="59">
          <cell r="A59">
            <v>58</v>
          </cell>
          <cell r="B59" t="str">
            <v>Bodson Vincent</v>
          </cell>
          <cell r="C59" t="str">
            <v>Bodson Vincent</v>
          </cell>
          <cell r="D59" t="str">
            <v>Notaris</v>
          </cell>
          <cell r="E59" t="str">
            <v>rue Solvay</v>
          </cell>
          <cell r="F59">
            <v>1</v>
          </cell>
          <cell r="H59">
            <v>4100</v>
          </cell>
          <cell r="I59" t="str">
            <v>Liège</v>
          </cell>
          <cell r="K59" t="str">
            <v>Bancelles</v>
          </cell>
          <cell r="M59" t="str">
            <v>M</v>
          </cell>
          <cell r="O59" t="str">
            <v>04.337.15.44</v>
          </cell>
          <cell r="P59" t="str">
            <v>04.336.88.35</v>
          </cell>
          <cell r="Q59" t="str">
            <v>vincent.bodson@notaire.be</v>
          </cell>
          <cell r="S59" t="str">
            <v>068-2416457-20</v>
          </cell>
          <cell r="T59">
            <v>38376</v>
          </cell>
        </row>
        <row r="60">
          <cell r="A60">
            <v>59</v>
          </cell>
          <cell r="B60" t="str">
            <v>BOEDTS Jan</v>
          </cell>
          <cell r="C60" t="str">
            <v>BOEDTS Jan</v>
          </cell>
          <cell r="D60" t="str">
            <v>Notaris</v>
          </cell>
          <cell r="E60" t="str">
            <v>Aartrijkestraat</v>
          </cell>
          <cell r="F60" t="str">
            <v>33</v>
          </cell>
          <cell r="G60" t="str">
            <v/>
          </cell>
          <cell r="H60" t="str">
            <v>8480</v>
          </cell>
          <cell r="I60" t="str">
            <v>West-Vlaanderen</v>
          </cell>
          <cell r="K60" t="str">
            <v>Eernegem</v>
          </cell>
          <cell r="L60">
            <v>15455</v>
          </cell>
          <cell r="M60" t="str">
            <v>M</v>
          </cell>
          <cell r="O60" t="str">
            <v>059.29.92.40</v>
          </cell>
          <cell r="P60" t="str">
            <v>059.29.08.92</v>
          </cell>
          <cell r="Q60" t="str">
            <v>JAN.BOEDTS@NOTARIS.BE</v>
          </cell>
          <cell r="R60">
            <v>176</v>
          </cell>
          <cell r="S60" t="str">
            <v>000-0036377-02</v>
          </cell>
          <cell r="T60" t="str">
            <v>*1973</v>
          </cell>
        </row>
        <row r="61">
          <cell r="A61">
            <v>60</v>
          </cell>
          <cell r="B61" t="str">
            <v>Bvba Jean-Jacques BOEL notaris</v>
          </cell>
          <cell r="C61" t="str">
            <v>Boel Jean-Jacques</v>
          </cell>
          <cell r="D61" t="str">
            <v>Notaris</v>
          </cell>
          <cell r="E61" t="str">
            <v>Gemeenteplein</v>
          </cell>
          <cell r="F61" t="str">
            <v>13</v>
          </cell>
          <cell r="G61" t="str">
            <v/>
          </cell>
          <cell r="H61" t="str">
            <v>1730</v>
          </cell>
          <cell r="I61" t="str">
            <v>Vlaams Brabant</v>
          </cell>
          <cell r="K61" t="str">
            <v>Asse</v>
          </cell>
          <cell r="M61" t="str">
            <v>M</v>
          </cell>
          <cell r="O61" t="str">
            <v>02.568.16.50</v>
          </cell>
          <cell r="P61" t="str">
            <v>02.568.16.59</v>
          </cell>
          <cell r="Q61" t="str">
            <v>JEANJACQUES.BOEL@NOTARIS.BE</v>
          </cell>
          <cell r="R61">
            <v>2925</v>
          </cell>
          <cell r="S61" t="str">
            <v>000-1594739-59</v>
          </cell>
          <cell r="T61" t="str">
            <v>*1989</v>
          </cell>
        </row>
        <row r="62">
          <cell r="A62">
            <v>61</v>
          </cell>
          <cell r="B62" t="str">
            <v>BOELAERT Marc</v>
          </cell>
          <cell r="C62" t="str">
            <v>BOELAERT Marc</v>
          </cell>
          <cell r="D62" t="str">
            <v>Notaris</v>
          </cell>
          <cell r="E62" t="str">
            <v>avenue Charles-Quint</v>
          </cell>
          <cell r="F62" t="str">
            <v>343</v>
          </cell>
          <cell r="G62" t="str">
            <v/>
          </cell>
          <cell r="H62" t="str">
            <v>1083</v>
          </cell>
          <cell r="I62" t="str">
            <v>Bruxelles</v>
          </cell>
          <cell r="K62" t="str">
            <v>Bruxelles</v>
          </cell>
          <cell r="M62" t="str">
            <v>M</v>
          </cell>
          <cell r="O62" t="str">
            <v>02.425.31.84</v>
          </cell>
          <cell r="P62" t="str">
            <v>02.425.68.64</v>
          </cell>
          <cell r="Q62" t="str">
            <v>MARC.BOELAERT@NOTARIS.BE</v>
          </cell>
          <cell r="R62">
            <v>3401</v>
          </cell>
          <cell r="S62" t="str">
            <v>210-0267480-06</v>
          </cell>
          <cell r="T62" t="str">
            <v>*1999</v>
          </cell>
        </row>
        <row r="63">
          <cell r="A63">
            <v>62</v>
          </cell>
          <cell r="B63" t="str">
            <v>BOELS Lucas</v>
          </cell>
          <cell r="C63" t="str">
            <v>BOELS Lucas</v>
          </cell>
          <cell r="D63" t="str">
            <v>Notaris</v>
          </cell>
          <cell r="E63" t="str">
            <v>Chaussée de Charleroisesteenweg</v>
          </cell>
          <cell r="F63" t="str">
            <v>74-76</v>
          </cell>
          <cell r="G63" t="str">
            <v/>
          </cell>
          <cell r="H63" t="str">
            <v>1060</v>
          </cell>
          <cell r="I63" t="str">
            <v>Bruxelles</v>
          </cell>
          <cell r="K63" t="str">
            <v>Bruxelles</v>
          </cell>
          <cell r="M63" t="str">
            <v>M</v>
          </cell>
          <cell r="O63" t="str">
            <v>02.537.47.21</v>
          </cell>
          <cell r="P63" t="str">
            <v>02.537.87.81</v>
          </cell>
          <cell r="Q63" t="str">
            <v>LUCAS.BOELS@Notaire.be</v>
          </cell>
          <cell r="R63">
            <v>2644</v>
          </cell>
          <cell r="S63" t="str">
            <v>310-1384200-96</v>
          </cell>
          <cell r="T63" t="str">
            <v>*1983</v>
          </cell>
        </row>
        <row r="64">
          <cell r="A64">
            <v>63</v>
          </cell>
          <cell r="B64" t="str">
            <v>THEO BOEN &amp; KARL VAN LOOY</v>
          </cell>
          <cell r="C64" t="str">
            <v>Boen Theo</v>
          </cell>
          <cell r="D64" t="str">
            <v>Geassocieerd Notaris</v>
          </cell>
          <cell r="E64" t="str">
            <v>Plantin en Moretuslei</v>
          </cell>
          <cell r="F64" t="str">
            <v>192</v>
          </cell>
          <cell r="G64" t="str">
            <v>bus 1</v>
          </cell>
          <cell r="H64" t="str">
            <v>2018</v>
          </cell>
          <cell r="I64" t="str">
            <v>Antwerpen</v>
          </cell>
          <cell r="K64" t="str">
            <v>Antwerpen</v>
          </cell>
          <cell r="M64" t="str">
            <v>M</v>
          </cell>
          <cell r="O64" t="str">
            <v>03.236.12.24</v>
          </cell>
          <cell r="P64" t="str">
            <v>03.271.01.49</v>
          </cell>
          <cell r="Q64" t="str">
            <v>THEO.BOEN@NOTARIS.BE</v>
          </cell>
          <cell r="R64">
            <v>3594</v>
          </cell>
          <cell r="T64" t="str">
            <v>*1971</v>
          </cell>
        </row>
        <row r="65">
          <cell r="A65">
            <v>64</v>
          </cell>
          <cell r="B65" t="str">
            <v>BOES Bernard</v>
          </cell>
          <cell r="C65" t="str">
            <v>BOES Bernard</v>
          </cell>
          <cell r="D65" t="str">
            <v>Notaris</v>
          </cell>
          <cell r="E65" t="str">
            <v>Rijselsestraat</v>
          </cell>
          <cell r="F65" t="str">
            <v>20</v>
          </cell>
          <cell r="G65" t="str">
            <v/>
          </cell>
          <cell r="H65" t="str">
            <v>8500</v>
          </cell>
          <cell r="I65" t="str">
            <v>West-Vlaanderen</v>
          </cell>
          <cell r="K65" t="str">
            <v>Kortrijk</v>
          </cell>
          <cell r="L65">
            <v>18870</v>
          </cell>
          <cell r="M65" t="str">
            <v>M</v>
          </cell>
          <cell r="O65" t="str">
            <v>056.22.07.45</v>
          </cell>
          <cell r="P65" t="str">
            <v>056.22.37.24</v>
          </cell>
          <cell r="Q65" t="str">
            <v>BERNARD.BOES@NOTARIS.BE</v>
          </cell>
          <cell r="R65">
            <v>2462</v>
          </cell>
          <cell r="S65" t="str">
            <v>385-0002906-59</v>
          </cell>
          <cell r="T65" t="str">
            <v>*1979</v>
          </cell>
        </row>
        <row r="66">
          <cell r="A66">
            <v>65</v>
          </cell>
          <cell r="B66" t="str">
            <v>BVBA Notariaat E. Boes</v>
          </cell>
          <cell r="C66" t="str">
            <v>Boes Emmanuel</v>
          </cell>
          <cell r="D66" t="str">
            <v>Notaris</v>
          </cell>
          <cell r="E66" t="str">
            <v>Stationsstraat</v>
          </cell>
          <cell r="F66" t="str">
            <v>85</v>
          </cell>
          <cell r="G66" t="str">
            <v/>
          </cell>
          <cell r="H66" t="str">
            <v>3620</v>
          </cell>
          <cell r="I66" t="str">
            <v>Limburg</v>
          </cell>
          <cell r="K66" t="str">
            <v>Lanaken</v>
          </cell>
          <cell r="M66" t="str">
            <v>M</v>
          </cell>
          <cell r="O66" t="str">
            <v>089.71.41.01</v>
          </cell>
          <cell r="P66" t="str">
            <v>089.71.22.18</v>
          </cell>
          <cell r="Q66" t="str">
            <v>EMMANUEL.BOES@NOTARIS.BE</v>
          </cell>
          <cell r="R66">
            <v>2824</v>
          </cell>
          <cell r="S66" t="str">
            <v>735-0027125-50</v>
          </cell>
          <cell r="T66" t="str">
            <v>*1987</v>
          </cell>
        </row>
        <row r="67">
          <cell r="A67">
            <v>66</v>
          </cell>
          <cell r="B67" t="str">
            <v>BOES Thomas</v>
          </cell>
          <cell r="C67" t="str">
            <v>BOES Thomas</v>
          </cell>
          <cell r="D67" t="str">
            <v>Notaris</v>
          </cell>
          <cell r="E67" t="str">
            <v>L.E. Van Arenbergplein</v>
          </cell>
          <cell r="F67" t="str">
            <v>8</v>
          </cell>
          <cell r="G67" t="str">
            <v/>
          </cell>
          <cell r="H67" t="str">
            <v>3001</v>
          </cell>
          <cell r="I67" t="str">
            <v>Vlaams Brabant</v>
          </cell>
          <cell r="K67" t="str">
            <v>Heverlee</v>
          </cell>
          <cell r="M67" t="str">
            <v>M</v>
          </cell>
          <cell r="O67" t="str">
            <v>016.30.83.70</v>
          </cell>
          <cell r="P67" t="str">
            <v>016.30.83.79</v>
          </cell>
          <cell r="Q67" t="str">
            <v>thomas.boes@belnot.be</v>
          </cell>
          <cell r="R67">
            <v>2989</v>
          </cell>
          <cell r="S67" t="str">
            <v>431-4750661-56</v>
          </cell>
          <cell r="T67" t="str">
            <v>*1991</v>
          </cell>
        </row>
        <row r="68">
          <cell r="A68">
            <v>67</v>
          </cell>
          <cell r="B68" t="str">
            <v>bvba Notaris Boesmans Paul</v>
          </cell>
          <cell r="C68" t="str">
            <v>Boesmans Paul</v>
          </cell>
          <cell r="D68" t="str">
            <v>Notaris</v>
          </cell>
          <cell r="E68" t="str">
            <v>Pieter Vanhoudtstraat</v>
          </cell>
          <cell r="F68" t="str">
            <v>61</v>
          </cell>
          <cell r="G68" t="str">
            <v/>
          </cell>
          <cell r="H68" t="str">
            <v>3582</v>
          </cell>
          <cell r="I68" t="str">
            <v>Limburg</v>
          </cell>
          <cell r="K68" t="str">
            <v>Koersel</v>
          </cell>
          <cell r="M68" t="str">
            <v>M</v>
          </cell>
          <cell r="O68" t="str">
            <v>011.42.20.50</v>
          </cell>
          <cell r="P68" t="str">
            <v>011.42.11.82</v>
          </cell>
          <cell r="Q68" t="str">
            <v>PAUL.BOESMANS@NOTARIS.BE</v>
          </cell>
          <cell r="R68">
            <v>2889</v>
          </cell>
          <cell r="S68" t="str">
            <v>000-1548522-14</v>
          </cell>
          <cell r="T68" t="str">
            <v>*1988</v>
          </cell>
        </row>
        <row r="69">
          <cell r="A69">
            <v>68</v>
          </cell>
          <cell r="B69" t="str">
            <v>Boeykens Jan Notaris BV BVBA</v>
          </cell>
          <cell r="C69" t="str">
            <v>Boeykens Jan</v>
          </cell>
          <cell r="D69" t="str">
            <v>Notaris</v>
          </cell>
          <cell r="E69" t="str">
            <v>Van Breestraat</v>
          </cell>
          <cell r="F69" t="str">
            <v>7</v>
          </cell>
          <cell r="G69" t="str">
            <v/>
          </cell>
          <cell r="H69" t="str">
            <v>2018</v>
          </cell>
          <cell r="I69" t="str">
            <v>Antwerpen</v>
          </cell>
          <cell r="K69" t="str">
            <v>Antwerpen</v>
          </cell>
          <cell r="M69" t="str">
            <v>M</v>
          </cell>
          <cell r="O69" t="str">
            <v>03.203.57.70</v>
          </cell>
          <cell r="P69" t="str">
            <v>03.203.57.81</v>
          </cell>
          <cell r="Q69" t="str">
            <v>JAN.BOEYKENS@NOTARIS.BE</v>
          </cell>
          <cell r="R69">
            <v>2728</v>
          </cell>
          <cell r="S69" t="str">
            <v>220-0208500-83</v>
          </cell>
          <cell r="T69" t="str">
            <v>*1985</v>
          </cell>
        </row>
        <row r="70">
          <cell r="A70">
            <v>69</v>
          </cell>
          <cell r="B70" t="str">
            <v>DAEL - BOEYKENS</v>
          </cell>
          <cell r="C70" t="str">
            <v>Boeykens Marc</v>
          </cell>
          <cell r="D70" t="str">
            <v>Notaris</v>
          </cell>
          <cell r="E70" t="str">
            <v>Ledebergplein</v>
          </cell>
          <cell r="F70" t="str">
            <v>16</v>
          </cell>
          <cell r="G70" t="str">
            <v/>
          </cell>
          <cell r="H70" t="str">
            <v>9050</v>
          </cell>
          <cell r="I70" t="str">
            <v>Oost-Vlaanderen</v>
          </cell>
          <cell r="K70" t="str">
            <v>Ledeberg Gent)</v>
          </cell>
          <cell r="M70" t="str">
            <v>M</v>
          </cell>
          <cell r="O70" t="str">
            <v>09.231.28.95</v>
          </cell>
          <cell r="P70" t="str">
            <v>09.231.03.26</v>
          </cell>
          <cell r="Q70" t="str">
            <v>marc.boeykens@notaris.be</v>
          </cell>
          <cell r="R70">
            <v>3604</v>
          </cell>
          <cell r="T70" t="str">
            <v>*2003</v>
          </cell>
        </row>
        <row r="71">
          <cell r="A71">
            <v>70</v>
          </cell>
          <cell r="B71" t="str">
            <v>BOGAERT Marc</v>
          </cell>
          <cell r="C71" t="str">
            <v>BOGAERT Marc</v>
          </cell>
        </row>
        <row r="72">
          <cell r="A72">
            <v>71</v>
          </cell>
          <cell r="B72" t="str">
            <v>Bogaert Tom</v>
          </cell>
          <cell r="C72" t="str">
            <v>Bogaert Tom</v>
          </cell>
          <cell r="D72" t="str">
            <v>Notaris</v>
          </cell>
          <cell r="E72" t="str">
            <v>Jules Moretuslei</v>
          </cell>
          <cell r="F72" t="str">
            <v>342</v>
          </cell>
          <cell r="G72" t="str">
            <v/>
          </cell>
          <cell r="H72" t="str">
            <v>2610</v>
          </cell>
          <cell r="I72" t="str">
            <v>Antwerpen</v>
          </cell>
          <cell r="K72" t="str">
            <v>Wilrijk Antwerpen)</v>
          </cell>
          <cell r="M72" t="str">
            <v>M</v>
          </cell>
          <cell r="O72" t="str">
            <v>03.827.10.38</v>
          </cell>
          <cell r="P72" t="str">
            <v>03.829.09.17</v>
          </cell>
          <cell r="Q72" t="str">
            <v>tom.bogaert@notaris.be</v>
          </cell>
          <cell r="R72">
            <v>324</v>
          </cell>
          <cell r="S72" t="str">
            <v>320-0340125-16</v>
          </cell>
          <cell r="T72">
            <v>38448</v>
          </cell>
        </row>
        <row r="73">
          <cell r="A73">
            <v>72</v>
          </cell>
          <cell r="B73" t="str">
            <v>BOGAERTS Luc</v>
          </cell>
          <cell r="C73" t="str">
            <v>BOGAERTS Luc</v>
          </cell>
          <cell r="D73" t="str">
            <v>Notaris</v>
          </cell>
          <cell r="E73" t="str">
            <v>Michel Theysstraat</v>
          </cell>
          <cell r="F73" t="str">
            <v>31</v>
          </cell>
          <cell r="G73" t="str">
            <v/>
          </cell>
          <cell r="H73" t="str">
            <v>3290</v>
          </cell>
          <cell r="I73" t="str">
            <v>Vlaams Brabant</v>
          </cell>
          <cell r="K73" t="str">
            <v>Diest</v>
          </cell>
          <cell r="M73" t="str">
            <v>M</v>
          </cell>
          <cell r="O73" t="str">
            <v>013.31.11.92</v>
          </cell>
          <cell r="P73" t="str">
            <v>013.31.39.35</v>
          </cell>
          <cell r="Q73" t="str">
            <v>LUC.BOGAERTS@NOTARIS.BE</v>
          </cell>
          <cell r="R73">
            <v>3376</v>
          </cell>
          <cell r="S73" t="str">
            <v>000-0943779-66</v>
          </cell>
          <cell r="T73" t="str">
            <v>*1999</v>
          </cell>
        </row>
        <row r="74">
          <cell r="A74">
            <v>73</v>
          </cell>
          <cell r="B74" t="str">
            <v>BOHYN Hubert</v>
          </cell>
          <cell r="C74" t="str">
            <v>BOHYN Hubert</v>
          </cell>
          <cell r="D74" t="str">
            <v>Notaris</v>
          </cell>
          <cell r="E74" t="str">
            <v>Stationsstraat</v>
          </cell>
          <cell r="F74" t="str">
            <v>8</v>
          </cell>
          <cell r="G74" t="str">
            <v>bus 5</v>
          </cell>
          <cell r="H74" t="str">
            <v>9190</v>
          </cell>
          <cell r="I74" t="str">
            <v>Oost-Vlaanderen</v>
          </cell>
          <cell r="K74" t="str">
            <v>Kemzeke</v>
          </cell>
          <cell r="M74" t="str">
            <v>M</v>
          </cell>
          <cell r="O74" t="str">
            <v>03.779.67.93</v>
          </cell>
          <cell r="P74" t="str">
            <v>03.789.97.00</v>
          </cell>
          <cell r="Q74" t="str">
            <v xml:space="preserve"> </v>
          </cell>
          <cell r="R74">
            <v>182</v>
          </cell>
          <cell r="S74" t="str">
            <v>000-0528354-92</v>
          </cell>
          <cell r="T74" t="str">
            <v>*1976</v>
          </cell>
        </row>
        <row r="75">
          <cell r="A75">
            <v>74</v>
          </cell>
          <cell r="B75" t="str">
            <v>BOHYN Patrice</v>
          </cell>
          <cell r="C75" t="str">
            <v>BOHYN Patrice</v>
          </cell>
          <cell r="D75" t="str">
            <v>Notaris</v>
          </cell>
          <cell r="E75" t="str">
            <v>Perstraat</v>
          </cell>
          <cell r="F75" t="str">
            <v>65</v>
          </cell>
          <cell r="G75" t="str">
            <v/>
          </cell>
          <cell r="H75" t="str">
            <v>9120</v>
          </cell>
          <cell r="I75" t="str">
            <v>Oost-Vlaanderen</v>
          </cell>
          <cell r="K75" t="str">
            <v>Haasdonk</v>
          </cell>
          <cell r="M75" t="str">
            <v>M</v>
          </cell>
          <cell r="O75" t="str">
            <v>03.750.93.80</v>
          </cell>
          <cell r="P75" t="str">
            <v>03.775.76.66</v>
          </cell>
          <cell r="Q75" t="str">
            <v>PATRICE.BOHYN@NOTARIS.BE</v>
          </cell>
          <cell r="R75">
            <v>2986</v>
          </cell>
          <cell r="S75" t="str">
            <v>000-1619658-49</v>
          </cell>
          <cell r="T75" t="str">
            <v>*1991</v>
          </cell>
        </row>
        <row r="76">
          <cell r="A76">
            <v>75</v>
          </cell>
          <cell r="B76" t="str">
            <v>BOMBEECK Marc</v>
          </cell>
          <cell r="C76" t="str">
            <v>BOMBEECK Marc</v>
          </cell>
          <cell r="D76" t="str">
            <v>Notaris</v>
          </cell>
          <cell r="E76" t="str">
            <v>rue des Boscailles</v>
          </cell>
          <cell r="F76" t="str">
            <v>25</v>
          </cell>
          <cell r="G76" t="str">
            <v/>
          </cell>
          <cell r="H76" t="str">
            <v>1457</v>
          </cell>
          <cell r="I76" t="str">
            <v>Brabant Wallon</v>
          </cell>
          <cell r="K76" t="str">
            <v>Walhain</v>
          </cell>
          <cell r="M76" t="str">
            <v>M</v>
          </cell>
          <cell r="O76" t="str">
            <v>010.65.45.45</v>
          </cell>
          <cell r="P76" t="str">
            <v>010.65.45.46</v>
          </cell>
          <cell r="Q76" t="str">
            <v>MARC.BOMBEECK@NOTAIRE.BE</v>
          </cell>
          <cell r="R76">
            <v>3457</v>
          </cell>
          <cell r="S76" t="str">
            <v>000-0199792-69</v>
          </cell>
          <cell r="T76" t="str">
            <v>*1999</v>
          </cell>
        </row>
        <row r="77">
          <cell r="A77">
            <v>76</v>
          </cell>
          <cell r="B77" t="str">
            <v>BOOGAERTS Peter</v>
          </cell>
          <cell r="C77" t="str">
            <v>BOOGAERTS Peter</v>
          </cell>
          <cell r="D77" t="str">
            <v>Notaris</v>
          </cell>
          <cell r="E77" t="str">
            <v>Diestsesteenweg</v>
          </cell>
          <cell r="F77" t="str">
            <v>261</v>
          </cell>
          <cell r="G77" t="str">
            <v/>
          </cell>
          <cell r="H77" t="str">
            <v>3202</v>
          </cell>
          <cell r="I77" t="str">
            <v>Vlaams Brabant</v>
          </cell>
          <cell r="K77" t="str">
            <v>Rillaar</v>
          </cell>
          <cell r="M77" t="str">
            <v>M</v>
          </cell>
          <cell r="O77" t="str">
            <v>016.50.24.20</v>
          </cell>
          <cell r="P77" t="str">
            <v>016.50.24.21</v>
          </cell>
          <cell r="Q77" t="str">
            <v>PETER.BOOGAERTS@NOTARIS.BE</v>
          </cell>
          <cell r="R77">
            <v>2931</v>
          </cell>
          <cell r="S77" t="str">
            <v>734-3811242-24</v>
          </cell>
          <cell r="T77" t="str">
            <v>*1989</v>
          </cell>
        </row>
        <row r="78">
          <cell r="A78">
            <v>77</v>
          </cell>
          <cell r="B78" t="str">
            <v>BOONE Claire</v>
          </cell>
          <cell r="C78" t="str">
            <v>BOONE Claire</v>
          </cell>
          <cell r="D78" t="str">
            <v>Notaris</v>
          </cell>
          <cell r="E78" t="str">
            <v>Parklaan</v>
          </cell>
          <cell r="F78" t="str">
            <v>122</v>
          </cell>
          <cell r="G78" t="str">
            <v/>
          </cell>
          <cell r="H78" t="str">
            <v>2300</v>
          </cell>
          <cell r="I78" t="str">
            <v>Antwerpen</v>
          </cell>
          <cell r="K78" t="str">
            <v>Turnhout</v>
          </cell>
          <cell r="M78" t="str">
            <v>Vr</v>
          </cell>
          <cell r="O78" t="str">
            <v>014.41.69.31</v>
          </cell>
          <cell r="P78" t="str">
            <v>014.42.35.21</v>
          </cell>
          <cell r="Q78" t="str">
            <v>CLAIRE.BOONE@NOTARIS.BE</v>
          </cell>
          <cell r="R78">
            <v>2954</v>
          </cell>
          <cell r="S78" t="str">
            <v>000-0493152-04</v>
          </cell>
          <cell r="T78" t="str">
            <v>*1990</v>
          </cell>
        </row>
        <row r="79">
          <cell r="A79">
            <v>78</v>
          </cell>
          <cell r="B79" t="str">
            <v>BORREMANS Stephan</v>
          </cell>
          <cell r="C79" t="str">
            <v>BORREMANS Stephan</v>
          </cell>
          <cell r="D79" t="str">
            <v>Notaris</v>
          </cell>
          <cell r="E79" t="str">
            <v>Avenue du Diamantlaan</v>
          </cell>
          <cell r="F79" t="str">
            <v>138</v>
          </cell>
          <cell r="G79" t="str">
            <v/>
          </cell>
          <cell r="H79" t="str">
            <v>1030</v>
          </cell>
          <cell r="I79" t="str">
            <v>Bruxelles</v>
          </cell>
          <cell r="K79" t="str">
            <v>Bruxelles</v>
          </cell>
          <cell r="M79" t="str">
            <v>M</v>
          </cell>
          <cell r="O79" t="str">
            <v>02.734.86.38</v>
          </cell>
          <cell r="P79" t="str">
            <v>02.736.47.77</v>
          </cell>
          <cell r="Q79" t="str">
            <v>STEPHAN.BORREMANS@NOTAIRE.BE</v>
          </cell>
          <cell r="R79">
            <v>3258</v>
          </cell>
          <cell r="S79" t="str">
            <v>000-0077885-91</v>
          </cell>
          <cell r="T79" t="str">
            <v>*1996</v>
          </cell>
        </row>
        <row r="80">
          <cell r="A80">
            <v>79</v>
          </cell>
          <cell r="B80" t="str">
            <v>BÖSE Michaël</v>
          </cell>
          <cell r="C80" t="str">
            <v>BÖSE Michaël</v>
          </cell>
          <cell r="D80" t="str">
            <v>Notaris</v>
          </cell>
          <cell r="E80" t="str">
            <v>Molenstraat</v>
          </cell>
          <cell r="F80" t="str">
            <v>15</v>
          </cell>
          <cell r="G80" t="str">
            <v/>
          </cell>
          <cell r="H80" t="str">
            <v>3600</v>
          </cell>
          <cell r="I80" t="str">
            <v>Limburg</v>
          </cell>
          <cell r="K80" t="str">
            <v>Genk</v>
          </cell>
          <cell r="M80" t="str">
            <v>M</v>
          </cell>
          <cell r="O80" t="str">
            <v>089.35.22.70</v>
          </cell>
          <cell r="P80" t="str">
            <v>089.35.88.29</v>
          </cell>
          <cell r="Q80" t="str">
            <v>michael.bose@notaris.be</v>
          </cell>
          <cell r="R80">
            <v>1205</v>
          </cell>
          <cell r="S80" t="str">
            <v>735-0086132-81</v>
          </cell>
          <cell r="T80" t="str">
            <v>*2003</v>
          </cell>
        </row>
        <row r="81">
          <cell r="A81">
            <v>80</v>
          </cell>
          <cell r="B81" t="str">
            <v>Benoît Bosmans</v>
          </cell>
          <cell r="C81" t="str">
            <v>Bosmans Benoit</v>
          </cell>
          <cell r="D81" t="str">
            <v>Notaris</v>
          </cell>
          <cell r="E81" t="str">
            <v>Rue du Docteur Briart</v>
          </cell>
          <cell r="F81" t="str">
            <v>24</v>
          </cell>
          <cell r="G81" t="str">
            <v/>
          </cell>
          <cell r="H81" t="str">
            <v>7160</v>
          </cell>
          <cell r="I81" t="str">
            <v>Hainaut</v>
          </cell>
          <cell r="K81" t="str">
            <v>Chapelle-lez-Herlaimont</v>
          </cell>
          <cell r="M81" t="str">
            <v>M</v>
          </cell>
          <cell r="O81" t="str">
            <v>064.44.23.34</v>
          </cell>
          <cell r="P81" t="str">
            <v>064.44.61.66</v>
          </cell>
          <cell r="Q81" t="str">
            <v>Benoit.Bosmans@NOTAIRE.BE</v>
          </cell>
          <cell r="R81">
            <v>2495</v>
          </cell>
          <cell r="S81" t="str">
            <v>732-6375100-20</v>
          </cell>
          <cell r="T81">
            <v>38391</v>
          </cell>
        </row>
        <row r="82">
          <cell r="A82">
            <v>81</v>
          </cell>
          <cell r="B82" t="str">
            <v>BOSMANS Jean Michel</v>
          </cell>
          <cell r="C82" t="str">
            <v>BOSMANS Jean Michel</v>
          </cell>
          <cell r="D82" t="str">
            <v>Notaris</v>
          </cell>
          <cell r="E82" t="str">
            <v>Leopold I-straat</v>
          </cell>
          <cell r="F82" t="str">
            <v>50</v>
          </cell>
          <cell r="G82" t="str">
            <v/>
          </cell>
          <cell r="H82" t="str">
            <v>3000</v>
          </cell>
          <cell r="I82" t="str">
            <v>Vlaams Brabant</v>
          </cell>
          <cell r="K82" t="str">
            <v>Leuven</v>
          </cell>
          <cell r="M82" t="str">
            <v>M</v>
          </cell>
          <cell r="O82" t="str">
            <v>016.23.98.38</v>
          </cell>
          <cell r="P82" t="str">
            <v>016.22.22.49</v>
          </cell>
          <cell r="Q82" t="str">
            <v>JEANMICHEL.BOSMANS@NOTARIS.BE</v>
          </cell>
          <cell r="R82">
            <v>3279</v>
          </cell>
          <cell r="S82" t="str">
            <v>230-0055355-85</v>
          </cell>
          <cell r="T82" t="str">
            <v>*1997</v>
          </cell>
        </row>
        <row r="83">
          <cell r="A83">
            <v>82</v>
          </cell>
          <cell r="B83" t="str">
            <v>BOSSAUX Colette</v>
          </cell>
          <cell r="C83" t="str">
            <v>BOSSAUX Colette</v>
          </cell>
          <cell r="D83" t="str">
            <v>Notaris</v>
          </cell>
          <cell r="E83" t="str">
            <v>Rue Reine Elisabeth</v>
          </cell>
          <cell r="F83" t="str">
            <v>34</v>
          </cell>
          <cell r="G83" t="str">
            <v/>
          </cell>
          <cell r="H83" t="str">
            <v>5640</v>
          </cell>
          <cell r="I83" t="str">
            <v>Namur</v>
          </cell>
          <cell r="K83" t="str">
            <v>Mettet</v>
          </cell>
          <cell r="M83" t="str">
            <v>Vr</v>
          </cell>
          <cell r="O83" t="str">
            <v>071.72.70.02</v>
          </cell>
          <cell r="P83" t="str">
            <v>071.72.58.38</v>
          </cell>
          <cell r="Q83" t="str">
            <v>COLETTE.BOSSAUX@NOTAIRE.BE</v>
          </cell>
          <cell r="R83">
            <v>1347</v>
          </cell>
          <cell r="S83" t="str">
            <v>350-0187585-09</v>
          </cell>
          <cell r="T83" t="str">
            <v>*1978</v>
          </cell>
        </row>
        <row r="84">
          <cell r="A84">
            <v>83</v>
          </cell>
          <cell r="B84" t="str">
            <v>BOSSELER Philippe</v>
          </cell>
          <cell r="C84" t="str">
            <v>BOSSELER Philippe</v>
          </cell>
          <cell r="D84" t="str">
            <v>Notaris</v>
          </cell>
          <cell r="E84" t="str">
            <v>rue Général Molitor</v>
          </cell>
          <cell r="F84" t="str">
            <v>6</v>
          </cell>
          <cell r="G84" t="str">
            <v/>
          </cell>
          <cell r="H84" t="str">
            <v>6700</v>
          </cell>
          <cell r="I84" t="str">
            <v>Luxembourg</v>
          </cell>
          <cell r="K84" t="str">
            <v>Arlon</v>
          </cell>
          <cell r="M84" t="str">
            <v>M</v>
          </cell>
          <cell r="O84" t="str">
            <v>063.22.02.28</v>
          </cell>
          <cell r="P84" t="str">
            <v>063.23.36.28</v>
          </cell>
          <cell r="Q84" t="str">
            <v>PHILIPPE.BOSSELER@NOTAIRE.BE</v>
          </cell>
          <cell r="R84">
            <v>3467</v>
          </cell>
          <cell r="S84" t="str">
            <v>000-0129495-97</v>
          </cell>
          <cell r="T84" t="str">
            <v>*2000</v>
          </cell>
        </row>
        <row r="85">
          <cell r="A85">
            <v>84</v>
          </cell>
          <cell r="B85" t="str">
            <v>BOSSUYT Wouter</v>
          </cell>
          <cell r="C85" t="str">
            <v>BOSSUYT Wouter</v>
          </cell>
          <cell r="D85" t="str">
            <v>Notaris</v>
          </cell>
          <cell r="E85" t="str">
            <v>Komvest</v>
          </cell>
          <cell r="F85" t="str">
            <v>48</v>
          </cell>
          <cell r="G85" t="str">
            <v/>
          </cell>
          <cell r="H85" t="str">
            <v>8000</v>
          </cell>
          <cell r="I85" t="str">
            <v>West-Vlaanderen</v>
          </cell>
          <cell r="K85" t="str">
            <v>Brugge</v>
          </cell>
          <cell r="L85">
            <v>25688</v>
          </cell>
          <cell r="M85" t="str">
            <v>M</v>
          </cell>
          <cell r="O85" t="str">
            <v>050.33.49.17</v>
          </cell>
          <cell r="P85" t="str">
            <v>050.34.40.26</v>
          </cell>
          <cell r="Q85" t="str">
            <v>wouter.bossuyt@notaris.be</v>
          </cell>
          <cell r="R85">
            <v>35</v>
          </cell>
          <cell r="S85" t="str">
            <v>001-0651122-37</v>
          </cell>
          <cell r="T85" t="str">
            <v>*2003</v>
          </cell>
        </row>
        <row r="86">
          <cell r="A86">
            <v>85</v>
          </cell>
          <cell r="B86" t="str">
            <v>BOSTOEN Virginie</v>
          </cell>
          <cell r="C86" t="str">
            <v>BOSTOEN Virginie</v>
          </cell>
          <cell r="D86" t="str">
            <v>Notaris</v>
          </cell>
          <cell r="E86" t="str">
            <v>Hoogstraat</v>
          </cell>
          <cell r="F86" t="str">
            <v>30</v>
          </cell>
          <cell r="G86" t="str">
            <v/>
          </cell>
          <cell r="H86" t="str">
            <v>9000</v>
          </cell>
          <cell r="I86" t="str">
            <v>Oost-Vlaanderen</v>
          </cell>
          <cell r="K86" t="str">
            <v>Gent</v>
          </cell>
          <cell r="M86" t="str">
            <v>Vr</v>
          </cell>
          <cell r="O86" t="str">
            <v>09.225.29.63</v>
          </cell>
          <cell r="P86" t="str">
            <v>09.225.24.86</v>
          </cell>
          <cell r="Q86" t="str">
            <v>VIRGINIE.BOSTOEN@NOTARIS.BE</v>
          </cell>
          <cell r="R86">
            <v>3347</v>
          </cell>
          <cell r="S86" t="str">
            <v>000-0189761-29</v>
          </cell>
          <cell r="T86" t="str">
            <v>*1998</v>
          </cell>
        </row>
        <row r="87">
          <cell r="A87">
            <v>86</v>
          </cell>
          <cell r="B87" t="str">
            <v>BOTERMANS Jean</v>
          </cell>
          <cell r="C87" t="str">
            <v>BOTERMANS Jean</v>
          </cell>
          <cell r="D87" t="str">
            <v>Notaris</v>
          </cell>
          <cell r="E87" t="str">
            <v>Avenue Léon Jourez</v>
          </cell>
          <cell r="F87" t="str">
            <v>14</v>
          </cell>
          <cell r="G87" t="str">
            <v/>
          </cell>
          <cell r="H87" t="str">
            <v>1420</v>
          </cell>
          <cell r="I87" t="str">
            <v>Brabant Wallon</v>
          </cell>
          <cell r="K87" t="str">
            <v>Braine-L´Alleud</v>
          </cell>
          <cell r="M87" t="str">
            <v>M</v>
          </cell>
          <cell r="O87" t="str">
            <v>02.384.87.65</v>
          </cell>
          <cell r="P87" t="str">
            <v>02.384.45.19</v>
          </cell>
          <cell r="Q87" t="str">
            <v>JEAN.BOTERMANS@NOTAIRE.BE</v>
          </cell>
          <cell r="R87">
            <v>3592</v>
          </cell>
          <cell r="S87" t="str">
            <v>340-1068200-74</v>
          </cell>
          <cell r="T87" t="str">
            <v>*2002</v>
          </cell>
        </row>
        <row r="88">
          <cell r="A88">
            <v>87</v>
          </cell>
          <cell r="B88" t="str">
            <v>BOUCKAERT François</v>
          </cell>
          <cell r="C88" t="str">
            <v>BOUCKAERT François</v>
          </cell>
          <cell r="D88" t="str">
            <v>Notaris</v>
          </cell>
          <cell r="E88" t="str">
            <v>Voordries</v>
          </cell>
          <cell r="F88" t="str">
            <v>5</v>
          </cell>
          <cell r="G88" t="str">
            <v/>
          </cell>
          <cell r="H88" t="str">
            <v>9860</v>
          </cell>
          <cell r="I88" t="str">
            <v>Oost-Vlaanderen</v>
          </cell>
          <cell r="K88" t="str">
            <v>Oosterzele</v>
          </cell>
          <cell r="M88" t="str">
            <v>M</v>
          </cell>
          <cell r="O88" t="str">
            <v>09.362.50.66</v>
          </cell>
          <cell r="P88" t="str">
            <v>09.362.49.04</v>
          </cell>
          <cell r="Q88" t="str">
            <v>kantoor.francois.bouckaert@belnot.be</v>
          </cell>
          <cell r="R88">
            <v>2537</v>
          </cell>
          <cell r="S88" t="str">
            <v>000-0016076-71</v>
          </cell>
          <cell r="T88" t="str">
            <v>*1981</v>
          </cell>
        </row>
        <row r="89">
          <cell r="A89">
            <v>88</v>
          </cell>
          <cell r="B89" t="str">
            <v>BOUILLET Yves</v>
          </cell>
          <cell r="C89" t="str">
            <v>BOUILLET Yves</v>
          </cell>
          <cell r="D89" t="str">
            <v>Notaris</v>
          </cell>
          <cell r="E89" t="str">
            <v>Rue Gérard de Cambrai</v>
          </cell>
          <cell r="F89" t="str">
            <v>28</v>
          </cell>
          <cell r="G89" t="str">
            <v/>
          </cell>
          <cell r="H89" t="str">
            <v>5620</v>
          </cell>
          <cell r="I89" t="str">
            <v>Namur</v>
          </cell>
          <cell r="K89" t="str">
            <v>Florennes</v>
          </cell>
          <cell r="M89" t="str">
            <v>M</v>
          </cell>
          <cell r="O89" t="str">
            <v>071.68.80.19</v>
          </cell>
          <cell r="P89" t="str">
            <v>071.68.77.57</v>
          </cell>
          <cell r="Q89" t="str">
            <v>YVES.BOUILLET@NOTAIRE.BE</v>
          </cell>
          <cell r="R89">
            <v>3091</v>
          </cell>
        </row>
        <row r="90">
          <cell r="A90">
            <v>89</v>
          </cell>
          <cell r="B90" t="str">
            <v>BOUQUELLE Stéphane &amp; MIKOLAJCZAK O.</v>
          </cell>
          <cell r="C90" t="str">
            <v>Bouquelle Stéphane</v>
          </cell>
          <cell r="D90" t="str">
            <v>Geassocieerd Notaris</v>
          </cell>
          <cell r="E90" t="str">
            <v>Rue de Monnel</v>
          </cell>
          <cell r="F90" t="str">
            <v>3</v>
          </cell>
          <cell r="G90" t="str">
            <v/>
          </cell>
          <cell r="H90" t="str">
            <v>7500</v>
          </cell>
          <cell r="I90" t="str">
            <v>Hainaut</v>
          </cell>
          <cell r="K90" t="str">
            <v>Tournai</v>
          </cell>
          <cell r="M90" t="str">
            <v>M</v>
          </cell>
          <cell r="O90" t="str">
            <v>069.22.54.27</v>
          </cell>
          <cell r="P90" t="str">
            <v>069.84.36.79</v>
          </cell>
          <cell r="Q90" t="str">
            <v>STEPHANE.BOUQUELLE@NOTAIRE.BE</v>
          </cell>
          <cell r="R90">
            <v>1326</v>
          </cell>
        </row>
        <row r="91">
          <cell r="A91">
            <v>90</v>
          </cell>
          <cell r="B91" t="str">
            <v>BVBA Notaris Godelieve Bourgeois-Hendrix</v>
          </cell>
          <cell r="C91" t="str">
            <v>Bourgeois-Hendrix Godelieve</v>
          </cell>
          <cell r="D91" t="str">
            <v>Notaris</v>
          </cell>
          <cell r="E91" t="str">
            <v>Kapelstraat</v>
          </cell>
          <cell r="F91" t="str">
            <v>22</v>
          </cell>
          <cell r="G91" t="str">
            <v/>
          </cell>
          <cell r="H91" t="str">
            <v>3941</v>
          </cell>
          <cell r="I91" t="str">
            <v>Limburg</v>
          </cell>
          <cell r="K91" t="str">
            <v>Eksel</v>
          </cell>
          <cell r="M91" t="str">
            <v>Vr</v>
          </cell>
          <cell r="O91" t="str">
            <v>011.73.43.34</v>
          </cell>
          <cell r="P91" t="str">
            <v>011.73.10.86</v>
          </cell>
          <cell r="Q91" t="str">
            <v>GODELIEVE.BOURGEOISHENDRIX@NOTARIS.BE</v>
          </cell>
          <cell r="R91">
            <v>2490</v>
          </cell>
        </row>
        <row r="92">
          <cell r="A92">
            <v>91</v>
          </cell>
          <cell r="B92" t="str">
            <v>BOURGUIGNON François</v>
          </cell>
          <cell r="C92" t="str">
            <v>BOURGUIGNON François</v>
          </cell>
          <cell r="D92" t="str">
            <v>Notaris</v>
          </cell>
          <cell r="E92" t="str">
            <v>rue Porte Haute</v>
          </cell>
          <cell r="F92" t="str">
            <v>1</v>
          </cell>
          <cell r="G92" t="str">
            <v/>
          </cell>
          <cell r="H92" t="str">
            <v>6900</v>
          </cell>
          <cell r="I92" t="str">
            <v>Luxembourg</v>
          </cell>
          <cell r="K92" t="str">
            <v>Marche-en-Famenne</v>
          </cell>
          <cell r="M92" t="str">
            <v>M</v>
          </cell>
          <cell r="O92" t="str">
            <v>084.31.20.18</v>
          </cell>
          <cell r="P92" t="str">
            <v>084.31.24.18</v>
          </cell>
          <cell r="Q92" t="str">
            <v>FRANCOIS.BOURGUIGNON@NOTAIRE.BE</v>
          </cell>
          <cell r="R92">
            <v>2633</v>
          </cell>
        </row>
        <row r="93">
          <cell r="A93">
            <v>92</v>
          </cell>
          <cell r="B93" t="str">
            <v>BOUTTIAU Albert</v>
          </cell>
          <cell r="C93" t="str">
            <v>BOUTTIAU Albert</v>
          </cell>
          <cell r="D93" t="str">
            <v>Notaris</v>
          </cell>
          <cell r="E93" t="str">
            <v>Rue E. Wauquier</v>
          </cell>
          <cell r="F93" t="str">
            <v>25</v>
          </cell>
          <cell r="G93" t="str">
            <v/>
          </cell>
          <cell r="H93" t="str">
            <v>7040</v>
          </cell>
          <cell r="I93" t="str">
            <v>Hainaut</v>
          </cell>
          <cell r="K93" t="str">
            <v>Asquillies</v>
          </cell>
          <cell r="M93" t="str">
            <v>M</v>
          </cell>
          <cell r="O93" t="str">
            <v>065.34.05.70</v>
          </cell>
          <cell r="P93" t="str">
            <v>065.34.06.11</v>
          </cell>
          <cell r="Q93" t="str">
            <v>ALBERT.BOUTTIAU@NOTAIRE.BE</v>
          </cell>
          <cell r="R93">
            <v>2556</v>
          </cell>
        </row>
        <row r="94">
          <cell r="A94">
            <v>93</v>
          </cell>
          <cell r="B94" t="str">
            <v>BOVEND´AERDE Nathalie</v>
          </cell>
          <cell r="C94" t="str">
            <v>BOVEND´AERDE Nathalie</v>
          </cell>
          <cell r="D94" t="str">
            <v>Notaris</v>
          </cell>
          <cell r="E94" t="str">
            <v>Houthalenseweg</v>
          </cell>
          <cell r="F94" t="str">
            <v>9</v>
          </cell>
          <cell r="G94" t="str">
            <v/>
          </cell>
          <cell r="H94" t="str">
            <v>3520</v>
          </cell>
          <cell r="I94" t="str">
            <v>Limburg</v>
          </cell>
          <cell r="K94" t="str">
            <v>Zonhoven</v>
          </cell>
          <cell r="M94" t="str">
            <v>Vr</v>
          </cell>
          <cell r="O94" t="str">
            <v>011.81.08.81</v>
          </cell>
          <cell r="P94" t="str">
            <v>011.81.08.80</v>
          </cell>
          <cell r="Q94" t="str">
            <v>NATHALIE.BOVENDAERDE@NOTARIS.BE</v>
          </cell>
          <cell r="R94">
            <v>3410</v>
          </cell>
        </row>
        <row r="95">
          <cell r="A95">
            <v>94</v>
          </cell>
          <cell r="B95" t="str">
            <v>BOVEROUX Jean-Marie</v>
          </cell>
          <cell r="C95" t="str">
            <v>BOVEROUX Jean-Marie</v>
          </cell>
          <cell r="D95" t="str">
            <v>Notaris</v>
          </cell>
          <cell r="E95" t="str">
            <v>Place de l´Union</v>
          </cell>
          <cell r="F95" t="str">
            <v>5</v>
          </cell>
          <cell r="G95" t="str">
            <v/>
          </cell>
          <cell r="H95" t="str">
            <v>4690</v>
          </cell>
          <cell r="I95" t="str">
            <v>Liège</v>
          </cell>
          <cell r="K95" t="str">
            <v>Roclenge-sur-Geer</v>
          </cell>
          <cell r="M95" t="str">
            <v>M</v>
          </cell>
          <cell r="O95" t="str">
            <v>04.286.20.85</v>
          </cell>
          <cell r="P95" t="str">
            <v>04.286.31.11</v>
          </cell>
          <cell r="Q95" t="str">
            <v>JEANMARIE.BOVEROUX@NOTAIRE.BE</v>
          </cell>
          <cell r="R95">
            <v>206</v>
          </cell>
        </row>
        <row r="96">
          <cell r="A96">
            <v>95</v>
          </cell>
          <cell r="B96" t="str">
            <v>BOVY Christian</v>
          </cell>
          <cell r="C96" t="str">
            <v>BOVY Christian</v>
          </cell>
          <cell r="D96" t="str">
            <v>Notaris</v>
          </cell>
          <cell r="E96" t="str">
            <v>Quai de la Cité</v>
          </cell>
          <cell r="F96" t="str">
            <v>2</v>
          </cell>
          <cell r="G96" t="str">
            <v/>
          </cell>
          <cell r="H96" t="str">
            <v>4170</v>
          </cell>
          <cell r="I96" t="str">
            <v>Liège</v>
          </cell>
          <cell r="K96" t="str">
            <v>Comblain-au-Pont</v>
          </cell>
          <cell r="M96" t="str">
            <v>M</v>
          </cell>
          <cell r="O96" t="str">
            <v>04.369.15.00</v>
          </cell>
          <cell r="P96" t="str">
            <v>04.369.47.80</v>
          </cell>
          <cell r="Q96" t="str">
            <v>CHRISTIAN.BOVY@NOTAIRE.BE</v>
          </cell>
          <cell r="R96">
            <v>3455</v>
          </cell>
        </row>
        <row r="97">
          <cell r="A97">
            <v>96</v>
          </cell>
          <cell r="B97" t="str">
            <v>BRACKE Hildegard</v>
          </cell>
          <cell r="C97" t="str">
            <v>BRACKE Hildegard</v>
          </cell>
          <cell r="D97" t="str">
            <v>Notaris</v>
          </cell>
          <cell r="E97" t="str">
            <v>Margote</v>
          </cell>
          <cell r="F97" t="str">
            <v>75</v>
          </cell>
          <cell r="G97" t="str">
            <v/>
          </cell>
          <cell r="H97" t="str">
            <v>9260</v>
          </cell>
          <cell r="I97" t="str">
            <v>Oost-Vlaanderen</v>
          </cell>
          <cell r="K97" t="str">
            <v>Wichelen</v>
          </cell>
          <cell r="M97" t="str">
            <v>Vr</v>
          </cell>
          <cell r="O97" t="str">
            <v>052.42.34.64</v>
          </cell>
          <cell r="P97" t="str">
            <v>052.42.55.76</v>
          </cell>
          <cell r="Q97" t="str">
            <v>HILDEGARD.BRACKE@NOTARIS.BE</v>
          </cell>
          <cell r="R97">
            <v>3390</v>
          </cell>
        </row>
        <row r="98">
          <cell r="A98">
            <v>97</v>
          </cell>
          <cell r="B98" t="str">
            <v>BRACKE Luc</v>
          </cell>
          <cell r="C98" t="str">
            <v>BRACKE Luc</v>
          </cell>
          <cell r="D98" t="str">
            <v>Notaris</v>
          </cell>
          <cell r="E98" t="str">
            <v>Eikenlei</v>
          </cell>
          <cell r="F98" t="str">
            <v>13B</v>
          </cell>
          <cell r="G98" t="str">
            <v>bus 4</v>
          </cell>
          <cell r="H98" t="str">
            <v>2960</v>
          </cell>
          <cell r="I98" t="str">
            <v>Antwerpen</v>
          </cell>
          <cell r="K98" t="str">
            <v>Sint-Job-in-´t-Goor</v>
          </cell>
          <cell r="M98" t="str">
            <v>M</v>
          </cell>
          <cell r="O98" t="str">
            <v>03.232.45.25</v>
          </cell>
          <cell r="P98" t="str">
            <v>03.232.46.23</v>
          </cell>
          <cell r="Q98" t="str">
            <v>LUC.BRACKE@NOTARIS.BE</v>
          </cell>
          <cell r="R98">
            <v>3448</v>
          </cell>
        </row>
        <row r="99">
          <cell r="A99">
            <v>98</v>
          </cell>
          <cell r="B99" t="str">
            <v>BRAHY Pierre</v>
          </cell>
          <cell r="C99" t="str">
            <v>BRAHY Pierre</v>
          </cell>
          <cell r="D99" t="str">
            <v>Notaris</v>
          </cell>
          <cell r="E99" t="str">
            <v>Rue du Parc</v>
          </cell>
          <cell r="F99" t="str">
            <v>28</v>
          </cell>
          <cell r="G99" t="str">
            <v/>
          </cell>
          <cell r="H99" t="str">
            <v>7100</v>
          </cell>
          <cell r="I99" t="str">
            <v>Hainaut</v>
          </cell>
          <cell r="K99" t="str">
            <v>La Louvière</v>
          </cell>
          <cell r="M99" t="str">
            <v>M</v>
          </cell>
          <cell r="O99" t="str">
            <v>064.22.17.57</v>
          </cell>
          <cell r="P99" t="str">
            <v>064.26.08.55</v>
          </cell>
          <cell r="Q99" t="str">
            <v>PIERRE.BRAHY@NOTAIRE.BE</v>
          </cell>
          <cell r="R99">
            <v>2725</v>
          </cell>
        </row>
        <row r="100">
          <cell r="A100">
            <v>99</v>
          </cell>
          <cell r="B100" t="str">
            <v>BRANDHOF Georges</v>
          </cell>
          <cell r="C100" t="str">
            <v>BRANDHOF Georges</v>
          </cell>
          <cell r="D100" t="str">
            <v>Notaris</v>
          </cell>
          <cell r="E100" t="str">
            <v>Bondgenotenlaan</v>
          </cell>
          <cell r="F100" t="str">
            <v>22</v>
          </cell>
          <cell r="G100" t="str">
            <v/>
          </cell>
          <cell r="H100" t="str">
            <v>3400</v>
          </cell>
          <cell r="I100" t="str">
            <v>Vlaams Brabant</v>
          </cell>
          <cell r="K100" t="str">
            <v>Landen</v>
          </cell>
          <cell r="M100" t="str">
            <v>M</v>
          </cell>
          <cell r="O100" t="str">
            <v>011.88.50.38</v>
          </cell>
          <cell r="P100" t="str">
            <v>011.88.33.84</v>
          </cell>
          <cell r="Q100" t="str">
            <v>GEORGES.BRANDHOF@NOTARIS.BE</v>
          </cell>
          <cell r="R100">
            <v>1271</v>
          </cell>
        </row>
        <row r="101">
          <cell r="A101">
            <v>100</v>
          </cell>
          <cell r="B101" t="str">
            <v>BVBA BRANDHOF &amp; VAN GORP</v>
          </cell>
          <cell r="C101" t="str">
            <v>Brandhof Michel</v>
          </cell>
          <cell r="D101" t="str">
            <v>Geassocieerd Notaris</v>
          </cell>
          <cell r="E101" t="str">
            <v>Guido Gezellestraat</v>
          </cell>
          <cell r="F101" t="str">
            <v>21</v>
          </cell>
          <cell r="G101" t="str">
            <v/>
          </cell>
          <cell r="H101" t="str">
            <v>3290</v>
          </cell>
          <cell r="I101" t="str">
            <v>Vlaams Brabant</v>
          </cell>
          <cell r="K101" t="str">
            <v>Diest</v>
          </cell>
          <cell r="M101" t="str">
            <v>M</v>
          </cell>
          <cell r="O101" t="str">
            <v>013.31.10.63</v>
          </cell>
          <cell r="P101" t="str">
            <v>013.31.13.68</v>
          </cell>
          <cell r="Q101" t="str">
            <v>MICHEL.BRANDHOF@NOTARIS.BE</v>
          </cell>
          <cell r="R101">
            <v>3636</v>
          </cell>
        </row>
        <row r="102">
          <cell r="A102">
            <v>101</v>
          </cell>
          <cell r="B102" t="str">
            <v>BRECKPOT Danièle</v>
          </cell>
          <cell r="C102" t="str">
            <v>BRECKPOT Danièle</v>
          </cell>
          <cell r="D102" t="str">
            <v>Notaris</v>
          </cell>
          <cell r="E102" t="str">
            <v>Graanmarkt</v>
          </cell>
          <cell r="F102" t="str">
            <v>11</v>
          </cell>
          <cell r="G102" t="str">
            <v/>
          </cell>
          <cell r="H102" t="str">
            <v>9300</v>
          </cell>
          <cell r="I102" t="str">
            <v>Oost-Vlaanderen</v>
          </cell>
          <cell r="K102" t="str">
            <v>Aalst</v>
          </cell>
          <cell r="M102" t="str">
            <v>Vr</v>
          </cell>
          <cell r="O102" t="str">
            <v>053.21.18.41</v>
          </cell>
          <cell r="P102" t="str">
            <v>053.78.66.74</v>
          </cell>
          <cell r="Q102" t="str">
            <v>DANIELE.BRECKPOT@NOTARIS.BE</v>
          </cell>
          <cell r="R102">
            <v>3029</v>
          </cell>
        </row>
        <row r="103">
          <cell r="A103">
            <v>102</v>
          </cell>
          <cell r="B103" t="str">
            <v>BRICART Jean-François</v>
          </cell>
          <cell r="C103" t="str">
            <v>BRICART Jean-François</v>
          </cell>
          <cell r="D103" t="str">
            <v>Notaris</v>
          </cell>
          <cell r="E103" t="str">
            <v>rue de la Clinique</v>
          </cell>
          <cell r="F103" t="str">
            <v>9</v>
          </cell>
          <cell r="G103" t="str">
            <v/>
          </cell>
          <cell r="H103" t="str">
            <v>6780</v>
          </cell>
          <cell r="I103" t="str">
            <v>Luxembourg</v>
          </cell>
          <cell r="K103" t="str">
            <v>Messancy</v>
          </cell>
          <cell r="M103" t="str">
            <v>M</v>
          </cell>
          <cell r="O103" t="str">
            <v>063.37.04.36</v>
          </cell>
          <cell r="P103" t="str">
            <v>063.38.58.80</v>
          </cell>
          <cell r="Q103" t="str">
            <v>JEANFRANCOIS.BRICART@NOTAIRE.BE</v>
          </cell>
          <cell r="R103">
            <v>3215</v>
          </cell>
        </row>
        <row r="104">
          <cell r="A104">
            <v>103</v>
          </cell>
          <cell r="B104" t="str">
            <v>BRICOUT Thierry</v>
          </cell>
          <cell r="C104" t="str">
            <v>BRICOUT Thierry</v>
          </cell>
          <cell r="D104" t="str">
            <v>Notaris</v>
          </cell>
          <cell r="E104" t="str">
            <v>Rue Léon Houtart</v>
          </cell>
          <cell r="F104" t="str">
            <v>28</v>
          </cell>
          <cell r="G104" t="str">
            <v/>
          </cell>
          <cell r="H104" t="str">
            <v>7110</v>
          </cell>
          <cell r="I104" t="str">
            <v>Hainaut</v>
          </cell>
          <cell r="K104" t="str">
            <v>Houdeng La Louvière)</v>
          </cell>
          <cell r="M104" t="str">
            <v>M</v>
          </cell>
          <cell r="O104" t="str">
            <v>064.22.13.52</v>
          </cell>
          <cell r="P104" t="str">
            <v>064.22.86.13</v>
          </cell>
          <cell r="Q104" t="str">
            <v>THIERRY.BRICOUT@NOTAIRE.BE</v>
          </cell>
          <cell r="R104">
            <v>3162</v>
          </cell>
        </row>
        <row r="105">
          <cell r="A105">
            <v>104</v>
          </cell>
          <cell r="B105" t="str">
            <v>BRICOUT Xavier</v>
          </cell>
          <cell r="C105" t="str">
            <v>BRICOUT Xavier</v>
          </cell>
          <cell r="D105" t="str">
            <v>Notaris</v>
          </cell>
          <cell r="E105" t="str">
            <v>Rue Henry Leroy</v>
          </cell>
          <cell r="F105" t="str">
            <v>13</v>
          </cell>
          <cell r="G105" t="str">
            <v/>
          </cell>
          <cell r="H105" t="str">
            <v>7060</v>
          </cell>
          <cell r="I105" t="str">
            <v>Hainaut</v>
          </cell>
          <cell r="K105" t="str">
            <v>Soignies</v>
          </cell>
          <cell r="M105" t="str">
            <v>M</v>
          </cell>
          <cell r="O105" t="str">
            <v>067.33.11.17</v>
          </cell>
          <cell r="P105" t="str">
            <v>067.34.18.80</v>
          </cell>
          <cell r="Q105" t="str">
            <v>XAVIER.BRICOUT@NOTAIRE.BE</v>
          </cell>
          <cell r="R105">
            <v>3226</v>
          </cell>
        </row>
        <row r="106">
          <cell r="A106">
            <v>105</v>
          </cell>
          <cell r="B106" t="str">
            <v>BROHEE Jean-Louis</v>
          </cell>
          <cell r="C106" t="str">
            <v>BROHEE Jean-Louis</v>
          </cell>
          <cell r="D106" t="str">
            <v>Notaris</v>
          </cell>
          <cell r="E106" t="str">
            <v>Rue Belliardstraat</v>
          </cell>
          <cell r="F106" t="str">
            <v>187</v>
          </cell>
          <cell r="G106" t="str">
            <v/>
          </cell>
          <cell r="H106" t="str">
            <v>1040</v>
          </cell>
          <cell r="I106" t="str">
            <v>Bruxelles</v>
          </cell>
          <cell r="K106" t="str">
            <v>Bruxelles</v>
          </cell>
          <cell r="M106" t="str">
            <v>M</v>
          </cell>
          <cell r="O106" t="str">
            <v>02.234.69.49</v>
          </cell>
          <cell r="P106" t="str">
            <v>02.234.69.40</v>
          </cell>
          <cell r="Q106" t="str">
            <v>JEANLOUIS.BROHEE@NOTAIRE.BE</v>
          </cell>
          <cell r="R106">
            <v>2930</v>
          </cell>
        </row>
        <row r="107">
          <cell r="A107">
            <v>106</v>
          </cell>
          <cell r="B107" t="str">
            <v>BROHEE Paul-Emile</v>
          </cell>
          <cell r="C107" t="str">
            <v>BROHEE Paul-Emile</v>
          </cell>
          <cell r="D107" t="str">
            <v>Notaris</v>
          </cell>
          <cell r="E107" t="str">
            <v>Avenue de Tervueren</v>
          </cell>
          <cell r="F107" t="str">
            <v>250</v>
          </cell>
          <cell r="G107" t="str">
            <v>bte 4</v>
          </cell>
          <cell r="H107" t="str">
            <v>1150</v>
          </cell>
          <cell r="I107" t="str">
            <v>Bruxelles</v>
          </cell>
          <cell r="K107" t="str">
            <v>Bruxelles</v>
          </cell>
          <cell r="M107" t="str">
            <v>M</v>
          </cell>
          <cell r="O107" t="str">
            <v>02.770.62.69</v>
          </cell>
          <cell r="P107" t="str">
            <v>02.772.53.77</v>
          </cell>
          <cell r="Q107" t="str">
            <v>PAULEMILE.BROHEE@NOTAIRE.BE</v>
          </cell>
          <cell r="R107">
            <v>2932</v>
          </cell>
        </row>
        <row r="108">
          <cell r="A108">
            <v>107</v>
          </cell>
          <cell r="B108" t="str">
            <v>BROUEZ Lucie</v>
          </cell>
          <cell r="C108" t="str">
            <v>BROUEZ Lucie</v>
          </cell>
          <cell r="D108" t="str">
            <v>Notaris</v>
          </cell>
          <cell r="E108" t="str">
            <v>Rue de Maubeuge</v>
          </cell>
          <cell r="F108" t="str">
            <v>38 A</v>
          </cell>
          <cell r="G108" t="str">
            <v/>
          </cell>
          <cell r="H108" t="str">
            <v>7340</v>
          </cell>
          <cell r="I108" t="str">
            <v>Hainaut</v>
          </cell>
          <cell r="K108" t="str">
            <v>Wasmes</v>
          </cell>
          <cell r="M108" t="str">
            <v>Vr</v>
          </cell>
          <cell r="O108" t="str">
            <v>065.67.41.34</v>
          </cell>
          <cell r="P108" t="str">
            <v>065.67.77.68</v>
          </cell>
          <cell r="Q108" t="str">
            <v>LUCIE.BROUEZ@NOTAIRE.BE</v>
          </cell>
          <cell r="R108">
            <v>1216</v>
          </cell>
        </row>
        <row r="109">
          <cell r="A109">
            <v>108</v>
          </cell>
          <cell r="B109" t="str">
            <v>VAN BENEDEN Marc &amp; BROUWERS Olivier</v>
          </cell>
          <cell r="C109" t="str">
            <v>Brouwers Olivier</v>
          </cell>
          <cell r="D109" t="str">
            <v>Geassocieerd Notaris</v>
          </cell>
          <cell r="E109" t="str">
            <v>rue du Noyer</v>
          </cell>
          <cell r="F109" t="str">
            <v>183</v>
          </cell>
          <cell r="G109" t="str">
            <v/>
          </cell>
          <cell r="H109" t="str">
            <v>1000</v>
          </cell>
          <cell r="I109" t="str">
            <v>Bruxelles</v>
          </cell>
          <cell r="K109" t="str">
            <v>Bruxelles</v>
          </cell>
          <cell r="M109" t="str">
            <v>M</v>
          </cell>
          <cell r="O109" t="str">
            <v>02.736.01.05</v>
          </cell>
          <cell r="P109" t="str">
            <v>02.732.12.65</v>
          </cell>
          <cell r="Q109" t="str">
            <v>Olivier.brouwers@notaire.be</v>
          </cell>
          <cell r="R109">
            <v>2874</v>
          </cell>
          <cell r="T109">
            <v>38545</v>
          </cell>
        </row>
        <row r="110">
          <cell r="A110">
            <v>109</v>
          </cell>
          <cell r="B110" t="str">
            <v>Dubaere Guy &amp; Brusselmans Didier</v>
          </cell>
          <cell r="C110" t="str">
            <v>Brusselmans Didier</v>
          </cell>
          <cell r="D110" t="str">
            <v>Geassocieerd Notaris</v>
          </cell>
          <cell r="E110" t="str">
            <v>Avenue de Jettelaan</v>
          </cell>
          <cell r="F110" t="str">
            <v>171</v>
          </cell>
          <cell r="G110" t="str">
            <v/>
          </cell>
          <cell r="H110" t="str">
            <v>1090</v>
          </cell>
          <cell r="I110" t="str">
            <v>Bruxelles</v>
          </cell>
          <cell r="K110" t="str">
            <v>Bruxelles</v>
          </cell>
          <cell r="M110" t="str">
            <v>M</v>
          </cell>
          <cell r="O110" t="str">
            <v>02.421.58.20</v>
          </cell>
          <cell r="P110" t="str">
            <v>02.424.04.26</v>
          </cell>
          <cell r="Q110" t="str">
            <v>didier.brusselmans@notaris.be</v>
          </cell>
          <cell r="R110">
            <v>3513</v>
          </cell>
          <cell r="T110">
            <v>38322</v>
          </cell>
        </row>
        <row r="111">
          <cell r="A111">
            <v>110</v>
          </cell>
          <cell r="B111" t="str">
            <v>BRUSSELMANS Wivine</v>
          </cell>
          <cell r="C111" t="str">
            <v>BRUSSELMANS Wivine</v>
          </cell>
          <cell r="D111" t="str">
            <v>Notaris</v>
          </cell>
          <cell r="E111" t="str">
            <v>Lessensestraat</v>
          </cell>
          <cell r="F111" t="str">
            <v>52 B</v>
          </cell>
          <cell r="G111" t="str">
            <v/>
          </cell>
          <cell r="H111" t="str">
            <v>9500</v>
          </cell>
          <cell r="I111" t="str">
            <v>Oost-Vlaanderen</v>
          </cell>
          <cell r="K111" t="str">
            <v>Geraardsbergen</v>
          </cell>
          <cell r="M111" t="str">
            <v>Vr</v>
          </cell>
          <cell r="O111" t="str">
            <v>054.41.20.29</v>
          </cell>
          <cell r="P111" t="str">
            <v>054.41.23.59</v>
          </cell>
          <cell r="Q111" t="str">
            <v>WIVINE.BRUSSELMANS@NOTARIS.BE</v>
          </cell>
          <cell r="R111">
            <v>3426</v>
          </cell>
        </row>
        <row r="112">
          <cell r="A112">
            <v>111</v>
          </cell>
          <cell r="B112" t="str">
            <v>BRUYERE Marcel</v>
          </cell>
          <cell r="C112" t="str">
            <v>BRUYERE Marcel</v>
          </cell>
          <cell r="D112" t="str">
            <v>Notaris</v>
          </cell>
          <cell r="E112" t="str">
            <v>Rue des Combattants</v>
          </cell>
          <cell r="F112" t="str">
            <v>50</v>
          </cell>
          <cell r="G112" t="str">
            <v/>
          </cell>
          <cell r="H112" t="str">
            <v>7100</v>
          </cell>
          <cell r="I112" t="str">
            <v>Hainaut</v>
          </cell>
          <cell r="K112" t="str">
            <v>Haine-Saint-Pierre</v>
          </cell>
          <cell r="M112" t="str">
            <v>M</v>
          </cell>
          <cell r="O112" t="str">
            <v>064.22.26.44</v>
          </cell>
          <cell r="P112" t="str">
            <v>064.28.32.21</v>
          </cell>
          <cell r="Q112" t="str">
            <v>MARCEL.BRUYERE@NOTAIRE.BE</v>
          </cell>
          <cell r="R112">
            <v>2558</v>
          </cell>
        </row>
        <row r="113">
          <cell r="A113">
            <v>112</v>
          </cell>
          <cell r="B113" t="str">
            <v>BRUYNINCX Leo</v>
          </cell>
          <cell r="C113" t="str">
            <v>BRUYNINCX Leo</v>
          </cell>
          <cell r="D113" t="str">
            <v>Notaris</v>
          </cell>
          <cell r="E113" t="str">
            <v>Kerkstraat</v>
          </cell>
          <cell r="F113" t="str">
            <v>6</v>
          </cell>
          <cell r="G113" t="str">
            <v/>
          </cell>
          <cell r="H113" t="str">
            <v>9200</v>
          </cell>
          <cell r="I113" t="str">
            <v>Oost-Vlaanderen</v>
          </cell>
          <cell r="K113" t="str">
            <v>Dendermonde</v>
          </cell>
          <cell r="M113" t="str">
            <v>M</v>
          </cell>
          <cell r="O113" t="str">
            <v>052.21.16.94</v>
          </cell>
          <cell r="P113" t="str">
            <v>052.22.21.19</v>
          </cell>
          <cell r="Q113" t="str">
            <v>LEO.BRUYNINCX@NOTARIS.BE</v>
          </cell>
          <cell r="R113">
            <v>2607</v>
          </cell>
        </row>
        <row r="114">
          <cell r="A114">
            <v>113</v>
          </cell>
          <cell r="B114" t="str">
            <v>BULTEREYS Bob</v>
          </cell>
          <cell r="C114" t="str">
            <v>BULTEREYS Bob</v>
          </cell>
          <cell r="D114" t="str">
            <v>Notaris</v>
          </cell>
          <cell r="E114" t="str">
            <v>Stijn Streuvelslaan</v>
          </cell>
          <cell r="F114" t="str">
            <v>11</v>
          </cell>
          <cell r="G114" t="str">
            <v/>
          </cell>
          <cell r="H114" t="str">
            <v>8580</v>
          </cell>
          <cell r="I114" t="str">
            <v>West-Vlaanderen</v>
          </cell>
          <cell r="K114" t="str">
            <v>Avelgem</v>
          </cell>
          <cell r="L114">
            <v>20970</v>
          </cell>
          <cell r="M114" t="str">
            <v>M</v>
          </cell>
          <cell r="O114" t="str">
            <v>056.64.40.12</v>
          </cell>
          <cell r="P114" t="str">
            <v>056.64.75.04</v>
          </cell>
          <cell r="Q114" t="str">
            <v>BOB.BULTEREYS@NOTARIS.BE</v>
          </cell>
          <cell r="R114">
            <v>3020</v>
          </cell>
        </row>
        <row r="115">
          <cell r="A115">
            <v>114</v>
          </cell>
          <cell r="B115" t="str">
            <v>BUSSCHAERT Guy</v>
          </cell>
          <cell r="C115" t="str">
            <v>BUSSCHAERT Guy</v>
          </cell>
          <cell r="D115" t="str">
            <v>Notaris</v>
          </cell>
          <cell r="E115" t="str">
            <v>Rue de la Station</v>
          </cell>
          <cell r="F115" t="str">
            <v>57</v>
          </cell>
          <cell r="G115" t="str">
            <v/>
          </cell>
          <cell r="H115" t="str">
            <v>7700</v>
          </cell>
          <cell r="I115" t="str">
            <v>Hainaut</v>
          </cell>
          <cell r="K115" t="str">
            <v>Mouscron</v>
          </cell>
          <cell r="M115" t="str">
            <v>M</v>
          </cell>
          <cell r="O115" t="str">
            <v>056.33.00.05</v>
          </cell>
          <cell r="P115" t="str">
            <v>056.33.17.87</v>
          </cell>
          <cell r="Q115" t="str">
            <v>GUY.BUSSCHAERT@NOTAIRE.BE</v>
          </cell>
          <cell r="R115">
            <v>665</v>
          </cell>
        </row>
        <row r="116">
          <cell r="A116">
            <v>115</v>
          </cell>
          <cell r="B116" t="str">
            <v>Butaeye Guy &amp; Vincent</v>
          </cell>
          <cell r="C116" t="str">
            <v>Butaye Guy</v>
          </cell>
          <cell r="D116" t="str">
            <v>Geassocieerd Notaris</v>
          </cell>
          <cell r="E116" t="str">
            <v>Rue de la Marliere</v>
          </cell>
          <cell r="F116" t="str">
            <v>21</v>
          </cell>
          <cell r="G116" t="str">
            <v/>
          </cell>
          <cell r="H116" t="str">
            <v>7190</v>
          </cell>
          <cell r="I116" t="str">
            <v>Hainaut</v>
          </cell>
          <cell r="K116" t="str">
            <v>Ecaussinnes</v>
          </cell>
          <cell r="M116" t="str">
            <v>M</v>
          </cell>
          <cell r="O116" t="str">
            <v>067.44.28.13</v>
          </cell>
          <cell r="P116" t="str">
            <v>067.44.31.19</v>
          </cell>
          <cell r="Q116" t="str">
            <v>GUY.BUTAYE@NOTAIRE.BE</v>
          </cell>
          <cell r="R116">
            <v>3013</v>
          </cell>
        </row>
        <row r="117">
          <cell r="A117">
            <v>116</v>
          </cell>
          <cell r="B117" t="str">
            <v>BUTAYE Philippe</v>
          </cell>
          <cell r="C117" t="str">
            <v>BUTAYE Philippe</v>
          </cell>
          <cell r="D117" t="str">
            <v>Notaris</v>
          </cell>
          <cell r="E117" t="str">
            <v>Place Gambetta</v>
          </cell>
          <cell r="F117" t="str">
            <v>46</v>
          </cell>
          <cell r="G117" t="str">
            <v/>
          </cell>
          <cell r="H117" t="str">
            <v>6044</v>
          </cell>
          <cell r="I117" t="str">
            <v>Hainaut</v>
          </cell>
          <cell r="K117" t="str">
            <v>Roux</v>
          </cell>
          <cell r="M117" t="str">
            <v>M</v>
          </cell>
          <cell r="O117" t="str">
            <v>071.45.11.66</v>
          </cell>
          <cell r="P117" t="str">
            <v>071.45.67.22</v>
          </cell>
          <cell r="Q117" t="str">
            <v>PHILIPPE.BUTAYE@NOTAIRE.BE</v>
          </cell>
          <cell r="R117">
            <v>3134</v>
          </cell>
        </row>
        <row r="118">
          <cell r="A118">
            <v>117</v>
          </cell>
          <cell r="B118" t="str">
            <v>Butaeye Guy &amp; Vincent</v>
          </cell>
          <cell r="C118" t="str">
            <v>Butaye Vincent</v>
          </cell>
          <cell r="D118" t="str">
            <v>Geassocieerd Notaris</v>
          </cell>
          <cell r="E118" t="str">
            <v>Rue de la Marliere</v>
          </cell>
          <cell r="F118" t="str">
            <v>21</v>
          </cell>
          <cell r="G118" t="str">
            <v/>
          </cell>
          <cell r="H118" t="str">
            <v>7190</v>
          </cell>
          <cell r="I118" t="str">
            <v>Hainaut</v>
          </cell>
          <cell r="K118" t="str">
            <v>Ecaussinnes</v>
          </cell>
          <cell r="M118" t="str">
            <v>M</v>
          </cell>
          <cell r="O118" t="str">
            <v>067.44.28.13</v>
          </cell>
          <cell r="P118" t="str">
            <v>067.44.31.19</v>
          </cell>
          <cell r="Q118" t="str">
            <v>GUY.BUTAYE@NOTAIRE.BE</v>
          </cell>
          <cell r="R118">
            <v>3013</v>
          </cell>
          <cell r="T118">
            <v>38420</v>
          </cell>
        </row>
        <row r="119">
          <cell r="A119">
            <v>118</v>
          </cell>
          <cell r="B119" t="str">
            <v>BUYS Jean-Claude</v>
          </cell>
          <cell r="C119" t="str">
            <v>BUYS Jean-Claude</v>
          </cell>
          <cell r="D119" t="str">
            <v>Notaris</v>
          </cell>
          <cell r="E119" t="str">
            <v>Kasteeldreef</v>
          </cell>
          <cell r="F119" t="str">
            <v>61</v>
          </cell>
          <cell r="G119" t="str">
            <v/>
          </cell>
          <cell r="H119" t="str">
            <v>9340</v>
          </cell>
          <cell r="I119" t="str">
            <v>Oost-Vlaanderen</v>
          </cell>
          <cell r="K119" t="str">
            <v>Lede</v>
          </cell>
          <cell r="M119" t="str">
            <v>M</v>
          </cell>
          <cell r="O119" t="str">
            <v>053.80.52.07</v>
          </cell>
          <cell r="P119" t="str">
            <v>053.80.33.62</v>
          </cell>
          <cell r="Q119" t="str">
            <v>JEANCLAUDE.BUYS@NOTARIS.BE</v>
          </cell>
          <cell r="R119">
            <v>1346</v>
          </cell>
        </row>
        <row r="120">
          <cell r="A120">
            <v>119</v>
          </cell>
          <cell r="B120" t="str">
            <v>BUYSSE Jean-Luc</v>
          </cell>
          <cell r="C120" t="str">
            <v>BUYSSE Jean-Luc</v>
          </cell>
          <cell r="D120" t="str">
            <v>Notaris</v>
          </cell>
          <cell r="E120" t="str">
            <v>Kerkstraat</v>
          </cell>
          <cell r="F120" t="str">
            <v>28</v>
          </cell>
          <cell r="G120" t="str">
            <v/>
          </cell>
          <cell r="H120" t="str">
            <v>9060</v>
          </cell>
          <cell r="I120" t="str">
            <v>Oost-Vlaanderen</v>
          </cell>
          <cell r="K120" t="str">
            <v>Zelzate</v>
          </cell>
          <cell r="M120" t="str">
            <v>M</v>
          </cell>
          <cell r="O120" t="str">
            <v>09.337.80.80</v>
          </cell>
          <cell r="P120" t="str">
            <v>09.345.70.09</v>
          </cell>
          <cell r="Q120" t="str">
            <v>JEANLUC.BUYSSE@NOTARIS.BE</v>
          </cell>
          <cell r="R120">
            <v>3284</v>
          </cell>
        </row>
        <row r="121">
          <cell r="A121">
            <v>120</v>
          </cell>
          <cell r="B121" t="str">
            <v>FREDDY GLORIE &amp; FRANK BUYSSENS</v>
          </cell>
          <cell r="C121" t="str">
            <v>Buyssens Frank</v>
          </cell>
          <cell r="D121" t="str">
            <v>Geassocieerd Notaris</v>
          </cell>
          <cell r="E121" t="str">
            <v>Melselestraat</v>
          </cell>
          <cell r="F121" t="str">
            <v>25</v>
          </cell>
          <cell r="G121" t="str">
            <v/>
          </cell>
          <cell r="H121" t="str">
            <v>2070</v>
          </cell>
          <cell r="I121" t="str">
            <v>Antwerpen</v>
          </cell>
          <cell r="K121" t="str">
            <v>Zwijndrecht</v>
          </cell>
          <cell r="M121" t="str">
            <v>M</v>
          </cell>
          <cell r="O121" t="str">
            <v>03.250.11.70</v>
          </cell>
          <cell r="P121" t="str">
            <v>03.250.11.79</v>
          </cell>
          <cell r="Q121" t="str">
            <v>frank.buyssens@notaris.be</v>
          </cell>
          <cell r="R121">
            <v>3551</v>
          </cell>
        </row>
        <row r="122">
          <cell r="A122">
            <v>121</v>
          </cell>
          <cell r="B122" t="str">
            <v>Caeymax Guy &amp; Palsterman Olivier</v>
          </cell>
          <cell r="C122" t="str">
            <v>Caeymax Guy</v>
          </cell>
          <cell r="D122" t="str">
            <v>Geassocieerd Notaris</v>
          </cell>
          <cell r="E122" t="str">
            <v>rue Van Orleystraat</v>
          </cell>
          <cell r="F122" t="str">
            <v>1</v>
          </cell>
          <cell r="G122" t="str">
            <v/>
          </cell>
          <cell r="H122" t="str">
            <v>1000</v>
          </cell>
          <cell r="I122" t="str">
            <v>Bruxelles</v>
          </cell>
          <cell r="K122" t="str">
            <v>Bruxelles</v>
          </cell>
          <cell r="M122" t="str">
            <v>M</v>
          </cell>
          <cell r="O122" t="str">
            <v>02.219.53.20</v>
          </cell>
          <cell r="P122" t="str">
            <v>02.219.87.67</v>
          </cell>
          <cell r="Q122" t="str">
            <v>GUY.CAEYMAEX@NOTARIS.BE</v>
          </cell>
          <cell r="R122">
            <v>2571</v>
          </cell>
          <cell r="S122" t="str">
            <v>210-0397800-55</v>
          </cell>
        </row>
        <row r="123">
          <cell r="A123">
            <v>122</v>
          </cell>
          <cell r="B123" t="str">
            <v>CALLENS Christine</v>
          </cell>
          <cell r="C123" t="str">
            <v>CALLENS Christine</v>
          </cell>
          <cell r="D123" t="str">
            <v>Notaris</v>
          </cell>
          <cell r="E123" t="str">
            <v>Hulstemolenstraat</v>
          </cell>
          <cell r="F123" t="str">
            <v>41</v>
          </cell>
          <cell r="G123" t="str">
            <v/>
          </cell>
          <cell r="H123" t="str">
            <v>8860</v>
          </cell>
          <cell r="I123" t="str">
            <v>West-Vlaanderen</v>
          </cell>
          <cell r="K123" t="str">
            <v>Lendelede</v>
          </cell>
          <cell r="L123">
            <v>22662</v>
          </cell>
          <cell r="M123" t="str">
            <v>Vr</v>
          </cell>
          <cell r="O123" t="str">
            <v>051.30.24.92</v>
          </cell>
          <cell r="P123" t="str">
            <v>051.30.29.63</v>
          </cell>
          <cell r="Q123" t="str">
            <v>CHRISTINE.CALLENS@NOTARIS.BE</v>
          </cell>
          <cell r="R123">
            <v>3219</v>
          </cell>
        </row>
        <row r="124">
          <cell r="A124">
            <v>123</v>
          </cell>
          <cell r="B124" t="str">
            <v>CALLIAUW Peter</v>
          </cell>
          <cell r="C124" t="str">
            <v>CALLIAUW Peter</v>
          </cell>
          <cell r="D124" t="str">
            <v>Notaris</v>
          </cell>
          <cell r="E124" t="str">
            <v>Brugsesteenweg</v>
          </cell>
          <cell r="F124" t="str">
            <v>555</v>
          </cell>
          <cell r="G124" t="str">
            <v/>
          </cell>
          <cell r="H124" t="str">
            <v>9000</v>
          </cell>
          <cell r="I124" t="str">
            <v>Oost-Vlaanderen</v>
          </cell>
          <cell r="K124" t="str">
            <v>Gent</v>
          </cell>
          <cell r="M124" t="str">
            <v>M</v>
          </cell>
          <cell r="O124" t="str">
            <v>09.223.17.31</v>
          </cell>
          <cell r="P124" t="str">
            <v>09.223.61.98</v>
          </cell>
          <cell r="Q124" t="str">
            <v>PETER.CALLIAUW@NOTARIS.BE</v>
          </cell>
          <cell r="R124">
            <v>3437</v>
          </cell>
        </row>
        <row r="125">
          <cell r="A125">
            <v>124</v>
          </cell>
          <cell r="B125" t="str">
            <v>CAMBIER Baudouin</v>
          </cell>
          <cell r="C125" t="str">
            <v>CAMBIER Baudouin</v>
          </cell>
          <cell r="D125" t="str">
            <v>Notaris</v>
          </cell>
          <cell r="E125" t="str">
            <v>Place des Combattants</v>
          </cell>
          <cell r="F125" t="str">
            <v>23</v>
          </cell>
          <cell r="G125" t="str">
            <v/>
          </cell>
          <cell r="H125" t="str">
            <v>5650</v>
          </cell>
          <cell r="I125" t="str">
            <v>Namur</v>
          </cell>
          <cell r="K125" t="str">
            <v>Walcourt</v>
          </cell>
          <cell r="M125" t="str">
            <v>M</v>
          </cell>
          <cell r="O125" t="str">
            <v>071.61.10.25</v>
          </cell>
          <cell r="P125" t="str">
            <v>071.61.10.22</v>
          </cell>
          <cell r="Q125" t="str">
            <v>BAUDOUIN.CAMBIER@NOTAIRE.BE</v>
          </cell>
          <cell r="R125">
            <v>3212</v>
          </cell>
        </row>
        <row r="126">
          <cell r="A126">
            <v>125</v>
          </cell>
          <cell r="B126" t="str">
            <v>Cambier Laurence</v>
          </cell>
          <cell r="C126" t="str">
            <v>Cambier Laurence</v>
          </cell>
          <cell r="D126" t="str">
            <v>Notaris</v>
          </cell>
          <cell r="E126" t="str">
            <v>Rue de Bétissart</v>
          </cell>
          <cell r="F126" t="str">
            <v>13</v>
          </cell>
          <cell r="G126" t="str">
            <v/>
          </cell>
          <cell r="H126" t="str">
            <v>7802</v>
          </cell>
          <cell r="I126" t="str">
            <v>Hainaut</v>
          </cell>
          <cell r="K126" t="str">
            <v>Ormeignies</v>
          </cell>
          <cell r="M126" t="str">
            <v>M</v>
          </cell>
          <cell r="O126" t="str">
            <v>068.28.20.80</v>
          </cell>
          <cell r="P126" t="str">
            <v>068.28.51.43</v>
          </cell>
          <cell r="Q126" t="str">
            <v>laurence.cambier@notaire.be</v>
          </cell>
          <cell r="T126">
            <v>38597</v>
          </cell>
        </row>
        <row r="127">
          <cell r="A127">
            <v>126</v>
          </cell>
          <cell r="B127" t="str">
            <v>CAMBIER Philippe</v>
          </cell>
          <cell r="C127" t="str">
            <v>CAMBIER Philippe</v>
          </cell>
          <cell r="D127" t="str">
            <v>Notaris</v>
          </cell>
          <cell r="E127" t="str">
            <v>Faubourg d´Arival</v>
          </cell>
          <cell r="F127" t="str">
            <v>68</v>
          </cell>
          <cell r="G127" t="str">
            <v/>
          </cell>
          <cell r="H127" t="str">
            <v>6760</v>
          </cell>
          <cell r="I127" t="str">
            <v>Luxembourg</v>
          </cell>
          <cell r="K127" t="str">
            <v>Virton</v>
          </cell>
          <cell r="M127" t="str">
            <v>M</v>
          </cell>
          <cell r="O127" t="str">
            <v>063.57.70.62</v>
          </cell>
          <cell r="P127" t="str">
            <v>063.58.11.16</v>
          </cell>
          <cell r="Q127" t="str">
            <v>PHILIPPE.CAMBIER@NOTAIRE.BE</v>
          </cell>
          <cell r="R127">
            <v>2878</v>
          </cell>
        </row>
        <row r="128">
          <cell r="A128">
            <v>127</v>
          </cell>
          <cell r="B128" t="str">
            <v>Notaire Serge Cambier sprl</v>
          </cell>
          <cell r="C128" t="str">
            <v>Cambier Serge</v>
          </cell>
          <cell r="D128" t="str">
            <v>Notaris</v>
          </cell>
          <cell r="E128" t="str">
            <v>Rue de la Gare</v>
          </cell>
          <cell r="F128" t="str">
            <v>2</v>
          </cell>
          <cell r="G128" t="str">
            <v/>
          </cell>
          <cell r="H128" t="str">
            <v>7880</v>
          </cell>
          <cell r="I128" t="str">
            <v>Hainaut</v>
          </cell>
          <cell r="K128" t="str">
            <v>Flobecq</v>
          </cell>
          <cell r="M128" t="str">
            <v>M</v>
          </cell>
          <cell r="O128" t="str">
            <v>068.44.50.02</v>
          </cell>
          <cell r="P128" t="str">
            <v>068.44.50.03</v>
          </cell>
          <cell r="Q128" t="str">
            <v>SERGE.CAMBIER@NOTAIRE.BE</v>
          </cell>
          <cell r="R128">
            <v>3263</v>
          </cell>
        </row>
        <row r="129">
          <cell r="A129">
            <v>128</v>
          </cell>
          <cell r="B129" t="str">
            <v>CAPELLE Michel</v>
          </cell>
          <cell r="C129" t="str">
            <v>CAPELLE Michel</v>
          </cell>
          <cell r="D129" t="str">
            <v>Notaris</v>
          </cell>
          <cell r="E129" t="str">
            <v>Place de Bronckart</v>
          </cell>
          <cell r="F129" t="str">
            <v>17</v>
          </cell>
          <cell r="G129" t="str">
            <v/>
          </cell>
          <cell r="H129" t="str">
            <v>4000</v>
          </cell>
          <cell r="I129" t="str">
            <v>Liège</v>
          </cell>
          <cell r="K129" t="str">
            <v>Liège</v>
          </cell>
          <cell r="M129" t="str">
            <v>M</v>
          </cell>
          <cell r="O129" t="str">
            <v>04.254.42.55</v>
          </cell>
          <cell r="P129" t="str">
            <v>04.254.42.75</v>
          </cell>
          <cell r="Q129" t="str">
            <v>MICHEL.CAPELLE@NOTAIRE.BE</v>
          </cell>
          <cell r="R129">
            <v>570</v>
          </cell>
        </row>
        <row r="130">
          <cell r="A130">
            <v>129</v>
          </cell>
          <cell r="B130" t="str">
            <v>CAPRASSE Etienne</v>
          </cell>
          <cell r="C130" t="str">
            <v>CAPRASSE Etienne</v>
          </cell>
          <cell r="D130" t="str">
            <v>Notaris</v>
          </cell>
          <cell r="E130" t="str">
            <v>Rue de Bierset</v>
          </cell>
          <cell r="F130" t="str">
            <v>1</v>
          </cell>
          <cell r="G130" t="str">
            <v/>
          </cell>
          <cell r="H130" t="str">
            <v>4460</v>
          </cell>
          <cell r="I130" t="str">
            <v>Liège</v>
          </cell>
          <cell r="K130" t="str">
            <v>Grâce-Hollogne</v>
          </cell>
          <cell r="M130" t="str">
            <v>M</v>
          </cell>
          <cell r="O130" t="str">
            <v>04.233.80.51</v>
          </cell>
          <cell r="P130" t="str">
            <v>04.233.04.12</v>
          </cell>
          <cell r="Q130" t="str">
            <v>ETIENNE.CAPRASSE@NOTAIRE.BE</v>
          </cell>
          <cell r="R130">
            <v>2525</v>
          </cell>
        </row>
        <row r="131">
          <cell r="A131">
            <v>130</v>
          </cell>
          <cell r="B131" t="str">
            <v>Remi Caprasse Notaires associés SPRL</v>
          </cell>
          <cell r="C131" t="str">
            <v>Caprasse Remi</v>
          </cell>
          <cell r="D131" t="str">
            <v>Notaris</v>
          </cell>
          <cell r="E131" t="str">
            <v>Rue Des Auges</v>
          </cell>
          <cell r="F131" t="str">
            <v>40</v>
          </cell>
          <cell r="G131" t="str">
            <v/>
          </cell>
          <cell r="H131" t="str">
            <v>5060</v>
          </cell>
          <cell r="I131" t="str">
            <v>Namur</v>
          </cell>
          <cell r="K131" t="str">
            <v>Auvelais</v>
          </cell>
          <cell r="M131" t="str">
            <v>M</v>
          </cell>
          <cell r="O131" t="str">
            <v>071.77.19.74</v>
          </cell>
          <cell r="P131" t="str">
            <v>071.77.89.09</v>
          </cell>
          <cell r="Q131" t="str">
            <v>REMI.CAPRASSE@NOTAIRE.BE</v>
          </cell>
          <cell r="R131">
            <v>3059</v>
          </cell>
        </row>
        <row r="132">
          <cell r="A132">
            <v>131</v>
          </cell>
          <cell r="B132" t="str">
            <v>CARLIER Etienne</v>
          </cell>
          <cell r="C132" t="str">
            <v>CARLIER Etienne</v>
          </cell>
          <cell r="D132" t="str">
            <v>Notaris</v>
          </cell>
          <cell r="E132" t="str">
            <v>Boulevard Léopold III</v>
          </cell>
          <cell r="F132" t="str">
            <v>4</v>
          </cell>
          <cell r="G132" t="str">
            <v/>
          </cell>
          <cell r="H132" t="str">
            <v>7600</v>
          </cell>
          <cell r="I132" t="str">
            <v>Hainaut</v>
          </cell>
          <cell r="K132" t="str">
            <v>Péruwelz</v>
          </cell>
          <cell r="M132" t="str">
            <v>M</v>
          </cell>
          <cell r="O132" t="str">
            <v>069.77.20.68</v>
          </cell>
          <cell r="P132" t="str">
            <v>069.77.53.23</v>
          </cell>
          <cell r="Q132" t="str">
            <v>ETIENNE.CARLIER@NOTAIRE.BE</v>
          </cell>
          <cell r="R132">
            <v>2909</v>
          </cell>
        </row>
        <row r="133">
          <cell r="A133">
            <v>132</v>
          </cell>
          <cell r="B133" t="str">
            <v>CARLIER Guy</v>
          </cell>
          <cell r="C133" t="str">
            <v>CARLIER Guy</v>
          </cell>
          <cell r="D133" t="str">
            <v>Notaris</v>
          </cell>
          <cell r="E133" t="str">
            <v>Place Victor Louis</v>
          </cell>
          <cell r="F133" t="str">
            <v>8 B</v>
          </cell>
          <cell r="G133" t="str">
            <v/>
          </cell>
          <cell r="H133" t="str">
            <v>6500</v>
          </cell>
          <cell r="I133" t="str">
            <v>Hainaut</v>
          </cell>
          <cell r="K133" t="str">
            <v>Beaumont</v>
          </cell>
          <cell r="M133" t="str">
            <v>M</v>
          </cell>
          <cell r="O133" t="str">
            <v>071.58.80.20</v>
          </cell>
          <cell r="P133" t="str">
            <v>071.58.94.59</v>
          </cell>
          <cell r="Q133" t="str">
            <v>GUY.CARLIER@NOTAIRE.BE</v>
          </cell>
          <cell r="R133">
            <v>3037</v>
          </cell>
        </row>
        <row r="134">
          <cell r="A134">
            <v>133</v>
          </cell>
          <cell r="B134" t="str">
            <v>CARLIER Jean-Marie</v>
          </cell>
          <cell r="C134" t="str">
            <v>CARLIER Jean-Marie</v>
          </cell>
          <cell r="D134" t="str">
            <v>Notaris</v>
          </cell>
          <cell r="E134" t="str">
            <v>Rue Surlemont</v>
          </cell>
          <cell r="F134" t="str">
            <v>12</v>
          </cell>
          <cell r="G134" t="str">
            <v/>
          </cell>
          <cell r="H134" t="str">
            <v>4801</v>
          </cell>
          <cell r="I134" t="str">
            <v>Liège</v>
          </cell>
          <cell r="K134" t="str">
            <v>Stembert</v>
          </cell>
          <cell r="M134" t="str">
            <v>M</v>
          </cell>
          <cell r="O134" t="str">
            <v>087.33.65.95</v>
          </cell>
          <cell r="P134" t="str">
            <v>087.31.52.54</v>
          </cell>
          <cell r="Q134" t="str">
            <v>JEANMARIE.CARLIER@NOTAIRE.BE</v>
          </cell>
          <cell r="R134">
            <v>1166</v>
          </cell>
        </row>
        <row r="135">
          <cell r="A135">
            <v>134</v>
          </cell>
          <cell r="B135" t="str">
            <v>CARLY Xavier</v>
          </cell>
          <cell r="C135" t="str">
            <v>CARLY Xavier</v>
          </cell>
          <cell r="D135" t="str">
            <v>Notaris</v>
          </cell>
          <cell r="E135" t="str">
            <v>Chaussée de Vleurgatsesteenweg</v>
          </cell>
          <cell r="F135" t="str">
            <v>30</v>
          </cell>
          <cell r="G135" t="str">
            <v/>
          </cell>
          <cell r="H135" t="str">
            <v>1050</v>
          </cell>
          <cell r="I135" t="str">
            <v>Bruxelles</v>
          </cell>
          <cell r="K135" t="str">
            <v>Bruxelles</v>
          </cell>
          <cell r="M135" t="str">
            <v>M</v>
          </cell>
          <cell r="O135" t="str">
            <v>02.648.08.30</v>
          </cell>
          <cell r="P135" t="str">
            <v>02.647.14.24</v>
          </cell>
          <cell r="Q135" t="str">
            <v>XAVIER.CARLY@NOTAIRE.BE</v>
          </cell>
          <cell r="R135">
            <v>678</v>
          </cell>
        </row>
        <row r="136">
          <cell r="A136">
            <v>135</v>
          </cell>
          <cell r="B136" t="str">
            <v>CARPENTIER Denis</v>
          </cell>
          <cell r="C136" t="str">
            <v>CARPENTIER Denis</v>
          </cell>
          <cell r="D136" t="str">
            <v>Notaris</v>
          </cell>
          <cell r="E136" t="str">
            <v>rue de l´Enseignement</v>
          </cell>
          <cell r="F136" t="str">
            <v>15</v>
          </cell>
          <cell r="G136" t="str">
            <v/>
          </cell>
          <cell r="H136" t="str">
            <v>6140</v>
          </cell>
          <cell r="I136" t="str">
            <v>Hainaut</v>
          </cell>
          <cell r="K136" t="str">
            <v>Fontaine-l´Evêque</v>
          </cell>
          <cell r="M136" t="str">
            <v>M</v>
          </cell>
          <cell r="O136" t="str">
            <v>071.54.88.88</v>
          </cell>
          <cell r="P136" t="str">
            <v>071.54.88.89</v>
          </cell>
          <cell r="Q136" t="str">
            <v>DENIS.CARPENTIER@NOTAIRE.BE</v>
          </cell>
          <cell r="R136">
            <v>3407</v>
          </cell>
        </row>
        <row r="137">
          <cell r="A137">
            <v>136</v>
          </cell>
          <cell r="B137" t="str">
            <v>CARRETTE Philippe</v>
          </cell>
          <cell r="C137" t="str">
            <v>CARRETTE Philippe</v>
          </cell>
          <cell r="D137" t="str">
            <v>Notaris</v>
          </cell>
          <cell r="E137" t="str">
            <v>Avenue Charles et Léopold Godin</v>
          </cell>
          <cell r="F137" t="str">
            <v>6</v>
          </cell>
          <cell r="G137" t="str">
            <v>bte 1</v>
          </cell>
          <cell r="H137" t="str">
            <v>4500</v>
          </cell>
          <cell r="I137" t="str">
            <v>Liège</v>
          </cell>
          <cell r="K137" t="str">
            <v>Huy</v>
          </cell>
          <cell r="M137" t="str">
            <v>M</v>
          </cell>
          <cell r="O137" t="str">
            <v>085.21.10.09</v>
          </cell>
          <cell r="P137" t="str">
            <v>085.23.54.89</v>
          </cell>
          <cell r="Q137" t="str">
            <v>PHILIPPE.CARRETTE@NOTAIRE.BE</v>
          </cell>
          <cell r="R137">
            <v>78</v>
          </cell>
        </row>
        <row r="138">
          <cell r="A138">
            <v>137</v>
          </cell>
          <cell r="B138" t="str">
            <v>CARTUYVELS Benoît</v>
          </cell>
          <cell r="C138" t="str">
            <v>CARTUYVELS Benoît</v>
          </cell>
          <cell r="D138" t="str">
            <v>Notaris</v>
          </cell>
          <cell r="E138" t="str">
            <v>Rue du Centre</v>
          </cell>
          <cell r="F138" t="str">
            <v>2</v>
          </cell>
          <cell r="G138" t="str">
            <v/>
          </cell>
          <cell r="H138" t="str">
            <v>4260</v>
          </cell>
          <cell r="I138" t="str">
            <v>Liège</v>
          </cell>
          <cell r="K138" t="str">
            <v>Braives</v>
          </cell>
          <cell r="M138" t="str">
            <v>M</v>
          </cell>
          <cell r="O138" t="str">
            <v>019.69.92.16</v>
          </cell>
          <cell r="P138" t="str">
            <v>019.69.85.41</v>
          </cell>
          <cell r="Q138" t="str">
            <v>BENOIT.CARTUYVELS@NOTAIRE.BE</v>
          </cell>
          <cell r="R138">
            <v>2977</v>
          </cell>
        </row>
        <row r="139">
          <cell r="A139">
            <v>138</v>
          </cell>
          <cell r="B139" t="str">
            <v>CASSART Baudouin</v>
          </cell>
          <cell r="C139" t="str">
            <v>CASSART Baudouin</v>
          </cell>
          <cell r="D139" t="str">
            <v>Notaire</v>
          </cell>
          <cell r="H139" t="str">
            <v>7390</v>
          </cell>
          <cell r="I139" t="str">
            <v>Hainaut</v>
          </cell>
          <cell r="K139" t="str">
            <v>Quaregnon</v>
          </cell>
          <cell r="M139" t="str">
            <v>M</v>
          </cell>
          <cell r="T139">
            <v>38513</v>
          </cell>
        </row>
        <row r="140">
          <cell r="A140">
            <v>139</v>
          </cell>
          <cell r="B140" t="str">
            <v>CASTERMANS Jacques</v>
          </cell>
          <cell r="C140" t="str">
            <v>CASTERMANS Jacques</v>
          </cell>
          <cell r="D140" t="str">
            <v>Notaris</v>
          </cell>
          <cell r="E140" t="str">
            <v>Place des Chasseurs Ardennais</v>
          </cell>
          <cell r="F140" t="str">
            <v>5</v>
          </cell>
          <cell r="G140" t="str">
            <v/>
          </cell>
          <cell r="H140" t="str">
            <v>5575</v>
          </cell>
          <cell r="I140" t="str">
            <v>Namur</v>
          </cell>
          <cell r="K140" t="str">
            <v>Gedinne</v>
          </cell>
          <cell r="M140" t="str">
            <v>M</v>
          </cell>
          <cell r="O140" t="str">
            <v>061.58.83.87</v>
          </cell>
          <cell r="P140" t="str">
            <v>061.58.85.11</v>
          </cell>
          <cell r="Q140" t="str">
            <v>JACQUES.CASTERMANS@NOTAIRE.BE</v>
          </cell>
          <cell r="R140">
            <v>2548</v>
          </cell>
        </row>
        <row r="141">
          <cell r="A141">
            <v>140</v>
          </cell>
          <cell r="B141" t="str">
            <v>CASTERS Olivier</v>
          </cell>
          <cell r="C141" t="str">
            <v>CASTERS Olivier</v>
          </cell>
          <cell r="D141" t="str">
            <v>Notaris</v>
          </cell>
          <cell r="E141" t="str">
            <v>rue Saint-Nicolas</v>
          </cell>
          <cell r="F141" t="str">
            <v>47</v>
          </cell>
          <cell r="G141" t="str">
            <v/>
          </cell>
          <cell r="H141" t="str">
            <v>4000</v>
          </cell>
          <cell r="I141" t="str">
            <v>Liège</v>
          </cell>
          <cell r="K141" t="str">
            <v>Liège</v>
          </cell>
          <cell r="M141" t="str">
            <v>M</v>
          </cell>
          <cell r="O141" t="str">
            <v>04.229.99.00</v>
          </cell>
          <cell r="P141" t="str">
            <v>04.252.80.78</v>
          </cell>
          <cell r="Q141" t="str">
            <v>OLIVIER.CASTERS@NOTAIRE.BE</v>
          </cell>
          <cell r="R141">
            <v>3323</v>
          </cell>
        </row>
        <row r="142">
          <cell r="A142">
            <v>141</v>
          </cell>
          <cell r="B142" t="str">
            <v>BVBA Notaris Frederic Caudron</v>
          </cell>
          <cell r="C142" t="str">
            <v>Caudron Frederic</v>
          </cell>
          <cell r="D142" t="str">
            <v>Notaris</v>
          </cell>
          <cell r="E142" t="str">
            <v>Hogeweg</v>
          </cell>
          <cell r="F142" t="str">
            <v>3/B</v>
          </cell>
          <cell r="G142" t="str">
            <v/>
          </cell>
          <cell r="H142" t="str">
            <v>9320</v>
          </cell>
          <cell r="I142" t="str">
            <v>Oost-Vlaanderen</v>
          </cell>
          <cell r="K142" t="str">
            <v>Erembodegem Aalst)</v>
          </cell>
          <cell r="M142" t="str">
            <v>M</v>
          </cell>
          <cell r="O142" t="str">
            <v>053.21.11.05</v>
          </cell>
          <cell r="P142" t="str">
            <v>053.78.55.85</v>
          </cell>
          <cell r="Q142" t="str">
            <v>frederic.caudron@belnot.be</v>
          </cell>
          <cell r="R142">
            <v>3071</v>
          </cell>
        </row>
        <row r="143">
          <cell r="A143">
            <v>142</v>
          </cell>
          <cell r="B143" t="str">
            <v>SPRL Jean-François Cayphas notaire</v>
          </cell>
          <cell r="C143" t="str">
            <v>Cayphas Jean-François</v>
          </cell>
          <cell r="D143" t="str">
            <v>Notaris</v>
          </cell>
          <cell r="E143" t="str">
            <v>avenue Rodolphe Gossia</v>
          </cell>
          <cell r="F143" t="str">
            <v>12</v>
          </cell>
          <cell r="G143" t="str">
            <v/>
          </cell>
          <cell r="H143" t="str">
            <v>1350</v>
          </cell>
          <cell r="I143" t="str">
            <v>Brabant Wallon</v>
          </cell>
          <cell r="K143" t="str">
            <v>Jauche</v>
          </cell>
          <cell r="M143" t="str">
            <v>M</v>
          </cell>
          <cell r="O143" t="str">
            <v>019.65.92.90</v>
          </cell>
          <cell r="P143" t="str">
            <v>019.65.92.99</v>
          </cell>
          <cell r="Q143" t="str">
            <v>jeanfrancois.cayphas@belnot.be</v>
          </cell>
          <cell r="R143">
            <v>3168</v>
          </cell>
        </row>
        <row r="144">
          <cell r="A144">
            <v>143</v>
          </cell>
          <cell r="B144" t="str">
            <v>JOSEPH ROEVENS &amp; CHRIS CELIS</v>
          </cell>
          <cell r="C144" t="str">
            <v>Celis Chris</v>
          </cell>
          <cell r="D144" t="str">
            <v>Geassocieerd Notaris</v>
          </cell>
          <cell r="E144" t="str">
            <v>Door Verstraetelei</v>
          </cell>
          <cell r="F144" t="str">
            <v>38</v>
          </cell>
          <cell r="G144" t="str">
            <v/>
          </cell>
          <cell r="H144" t="str">
            <v>2930</v>
          </cell>
          <cell r="I144" t="str">
            <v>Antwerpen</v>
          </cell>
          <cell r="K144" t="str">
            <v>Brasschaat</v>
          </cell>
          <cell r="M144" t="str">
            <v>Vr</v>
          </cell>
          <cell r="O144" t="str">
            <v>03.651.62.11</v>
          </cell>
          <cell r="P144" t="str">
            <v>03.651.77.85</v>
          </cell>
          <cell r="Q144" t="str">
            <v>chris.celis@notaris.be</v>
          </cell>
          <cell r="R144">
            <v>3516</v>
          </cell>
        </row>
        <row r="145">
          <cell r="A145">
            <v>144</v>
          </cell>
          <cell r="B145" t="str">
            <v>CELIS CELIS &amp; LIESSE CVBA</v>
          </cell>
          <cell r="C145" t="str">
            <v>Celis Erik</v>
          </cell>
          <cell r="D145" t="str">
            <v>Geassocieerd Notaris</v>
          </cell>
          <cell r="E145" t="str">
            <v>Kasteelpleinstraat</v>
          </cell>
          <cell r="F145" t="str">
            <v>59</v>
          </cell>
          <cell r="G145" t="str">
            <v/>
          </cell>
          <cell r="H145" t="str">
            <v>2000</v>
          </cell>
          <cell r="I145" t="str">
            <v>Antwerpen</v>
          </cell>
          <cell r="K145" t="str">
            <v>Antwerpen</v>
          </cell>
          <cell r="M145" t="str">
            <v>M</v>
          </cell>
          <cell r="O145" t="str">
            <v>03.213.86.00</v>
          </cell>
          <cell r="P145" t="str">
            <v>03.213.86.19</v>
          </cell>
          <cell r="Q145" t="str">
            <v>ERIK.CELIS@NOTARIS.BE</v>
          </cell>
          <cell r="R145">
            <v>3465</v>
          </cell>
        </row>
        <row r="146">
          <cell r="A146">
            <v>145</v>
          </cell>
          <cell r="B146" t="str">
            <v>CELIS CELIS &amp; LIESSE CVBA</v>
          </cell>
          <cell r="C146" t="str">
            <v>Celis Frank</v>
          </cell>
          <cell r="D146" t="str">
            <v>Geassocieerd Notaris</v>
          </cell>
          <cell r="E146" t="str">
            <v>Kasteelpleinstraat</v>
          </cell>
          <cell r="F146" t="str">
            <v>59</v>
          </cell>
          <cell r="G146" t="str">
            <v/>
          </cell>
          <cell r="H146" t="str">
            <v>2000</v>
          </cell>
          <cell r="I146" t="str">
            <v>Antwerpen</v>
          </cell>
          <cell r="K146" t="str">
            <v>Antwerpen</v>
          </cell>
          <cell r="M146" t="str">
            <v>M</v>
          </cell>
          <cell r="O146" t="str">
            <v>03.213.86.00</v>
          </cell>
          <cell r="P146" t="str">
            <v>03.213.86.19</v>
          </cell>
          <cell r="Q146" t="str">
            <v>FRANK.CELIS@NOTARIS.BE</v>
          </cell>
          <cell r="R146">
            <v>3465</v>
          </cell>
        </row>
        <row r="147">
          <cell r="A147">
            <v>146</v>
          </cell>
          <cell r="B147" t="str">
            <v>Bernard Champion Notaire SPRL</v>
          </cell>
          <cell r="C147" t="str">
            <v>Champion Bernard</v>
          </cell>
          <cell r="D147" t="str">
            <v>Notaris</v>
          </cell>
          <cell r="E147" t="str">
            <v>Rue de la Fontienelle</v>
          </cell>
          <cell r="F147" t="str">
            <v>38</v>
          </cell>
          <cell r="G147" t="str">
            <v/>
          </cell>
          <cell r="H147" t="str">
            <v>6880</v>
          </cell>
          <cell r="I147" t="str">
            <v>Luxembourg</v>
          </cell>
          <cell r="K147" t="str">
            <v>Bertrix</v>
          </cell>
          <cell r="M147" t="str">
            <v>M</v>
          </cell>
          <cell r="O147" t="str">
            <v>061.41.42.08</v>
          </cell>
          <cell r="P147" t="str">
            <v>061.41.34.51</v>
          </cell>
          <cell r="Q147" t="str">
            <v>BERNARD.CHAMPION@NOTAIRE.BE</v>
          </cell>
          <cell r="R147">
            <v>3176</v>
          </cell>
        </row>
        <row r="148">
          <cell r="A148">
            <v>147</v>
          </cell>
          <cell r="B148" t="str">
            <v>CHARPENTIER Axel</v>
          </cell>
          <cell r="C148" t="str">
            <v>CHARPENTIER Axel</v>
          </cell>
          <cell r="D148" t="str">
            <v>Notaris</v>
          </cell>
          <cell r="E148" t="str">
            <v>Rue de Bertinchamps</v>
          </cell>
          <cell r="F148" t="str">
            <v>12</v>
          </cell>
          <cell r="G148" t="str">
            <v/>
          </cell>
          <cell r="H148" t="str">
            <v>5140</v>
          </cell>
          <cell r="I148" t="str">
            <v>Namur</v>
          </cell>
          <cell r="K148" t="str">
            <v>Sombreffe</v>
          </cell>
          <cell r="M148" t="str">
            <v>M</v>
          </cell>
          <cell r="O148" t="str">
            <v>071.88.81.22</v>
          </cell>
          <cell r="P148" t="str">
            <v>071.88.91.30</v>
          </cell>
          <cell r="Q148" t="str">
            <v>AXEL.CHARPENTIER@NOTAIRE.BE</v>
          </cell>
          <cell r="R148">
            <v>2811</v>
          </cell>
        </row>
        <row r="149">
          <cell r="A149">
            <v>148</v>
          </cell>
          <cell r="B149" t="str">
            <v>CHIJS Ann</v>
          </cell>
          <cell r="C149" t="str">
            <v>CHIJS Ann</v>
          </cell>
          <cell r="D149" t="str">
            <v>Notaris</v>
          </cell>
          <cell r="E149" t="str">
            <v>Maldegemse Weg</v>
          </cell>
          <cell r="F149" t="str">
            <v>5</v>
          </cell>
          <cell r="G149" t="str">
            <v/>
          </cell>
          <cell r="H149" t="str">
            <v>9910</v>
          </cell>
          <cell r="I149" t="str">
            <v>Oost-Vlaanderen</v>
          </cell>
          <cell r="K149" t="str">
            <v>Knesselare</v>
          </cell>
          <cell r="M149" t="str">
            <v>Vr</v>
          </cell>
          <cell r="O149" t="str">
            <v>09.374.13.03</v>
          </cell>
          <cell r="P149" t="str">
            <v>09.374.06.39</v>
          </cell>
          <cell r="Q149" t="str">
            <v>ann.chijs@notaris.be</v>
          </cell>
          <cell r="R149">
            <v>134</v>
          </cell>
          <cell r="S149" t="str">
            <v>737-0109536-66</v>
          </cell>
          <cell r="T149" t="str">
            <v>*2003</v>
          </cell>
        </row>
        <row r="150">
          <cell r="A150">
            <v>149</v>
          </cell>
          <cell r="B150" t="str">
            <v>CLAERHOUT Jean-Francis</v>
          </cell>
          <cell r="C150" t="str">
            <v>CLAERHOUT Jean-Francis</v>
          </cell>
          <cell r="D150" t="str">
            <v>Notaris</v>
          </cell>
          <cell r="E150" t="str">
            <v>Hoogstraat</v>
          </cell>
          <cell r="F150" t="str">
            <v>24</v>
          </cell>
          <cell r="G150" t="str">
            <v/>
          </cell>
          <cell r="H150" t="str">
            <v>9000</v>
          </cell>
          <cell r="I150" t="str">
            <v>Oost-Vlaanderen</v>
          </cell>
          <cell r="K150" t="str">
            <v>Gent</v>
          </cell>
          <cell r="M150" t="str">
            <v>M</v>
          </cell>
          <cell r="O150" t="str">
            <v>09.223.33.00</v>
          </cell>
          <cell r="P150" t="str">
            <v>09.225.89.75</v>
          </cell>
          <cell r="Q150" t="str">
            <v>JEANFRANCIS.CLAERHOUT@NOTARIS.BE</v>
          </cell>
          <cell r="R150">
            <v>2751</v>
          </cell>
        </row>
        <row r="151">
          <cell r="A151">
            <v>150</v>
          </cell>
          <cell r="B151" t="str">
            <v>CLAEYS Bernard</v>
          </cell>
          <cell r="C151" t="str">
            <v>CLAEYS Bernard</v>
          </cell>
          <cell r="D151" t="str">
            <v>Notaris</v>
          </cell>
          <cell r="E151" t="str">
            <v>Rue d´Hérinnes</v>
          </cell>
          <cell r="F151" t="str">
            <v>31</v>
          </cell>
          <cell r="G151" t="str">
            <v/>
          </cell>
          <cell r="H151" t="str">
            <v>7850</v>
          </cell>
          <cell r="I151" t="str">
            <v>Hainaut</v>
          </cell>
          <cell r="K151" t="str">
            <v>Enghien</v>
          </cell>
          <cell r="M151" t="str">
            <v>M</v>
          </cell>
          <cell r="O151" t="str">
            <v>02.395.30.44</v>
          </cell>
          <cell r="P151" t="str">
            <v>02.397.02.58</v>
          </cell>
          <cell r="Q151" t="str">
            <v>BERNARD.CLAEYS@NOTAIRE.BE</v>
          </cell>
          <cell r="R151">
            <v>2902</v>
          </cell>
        </row>
        <row r="152">
          <cell r="A152">
            <v>151</v>
          </cell>
          <cell r="B152" t="str">
            <v>CLAEYS BOUUAERT MARC &amp; FABIENNE</v>
          </cell>
          <cell r="C152" t="str">
            <v>ClaeysBouuaert Fabienne</v>
          </cell>
          <cell r="D152" t="str">
            <v>Geassocieerd Notaris</v>
          </cell>
          <cell r="E152" t="str">
            <v>Franklin Rooseveltlaan</v>
          </cell>
          <cell r="F152" t="str">
            <v>23</v>
          </cell>
          <cell r="G152" t="str">
            <v/>
          </cell>
          <cell r="H152" t="str">
            <v>9000</v>
          </cell>
          <cell r="I152" t="str">
            <v>Oost-Vlaanderen</v>
          </cell>
          <cell r="K152" t="str">
            <v>Gent</v>
          </cell>
          <cell r="M152" t="str">
            <v>Vr</v>
          </cell>
          <cell r="O152" t="str">
            <v>09.225.36.16</v>
          </cell>
          <cell r="P152" t="str">
            <v>09.224.07.78</v>
          </cell>
          <cell r="Q152" t="str">
            <v>FABIENNE.CLAEYSBOUUAERT@NOTARIS.BE</v>
          </cell>
          <cell r="R152">
            <v>3603</v>
          </cell>
        </row>
        <row r="153">
          <cell r="A153">
            <v>152</v>
          </cell>
          <cell r="B153" t="str">
            <v>CLAEYS BOUUAERT MARC &amp; FABIENNE</v>
          </cell>
          <cell r="C153" t="str">
            <v>ClaeysBouuaert Marc</v>
          </cell>
          <cell r="D153" t="str">
            <v>Geassocieerd Notaris</v>
          </cell>
          <cell r="E153" t="str">
            <v>Franklin Rooseveltlaan</v>
          </cell>
          <cell r="F153" t="str">
            <v>23</v>
          </cell>
          <cell r="G153" t="str">
            <v/>
          </cell>
          <cell r="H153" t="str">
            <v>9000</v>
          </cell>
          <cell r="I153" t="str">
            <v>Oost-Vlaanderen</v>
          </cell>
          <cell r="K153" t="str">
            <v>Gent</v>
          </cell>
          <cell r="M153" t="str">
            <v>M</v>
          </cell>
          <cell r="O153" t="str">
            <v>09.225.36.16</v>
          </cell>
          <cell r="P153" t="str">
            <v>09.224.07.78</v>
          </cell>
          <cell r="Q153" t="str">
            <v>MARC.CLAEYSBOUUAERT@NOTARIS.BE</v>
          </cell>
          <cell r="R153">
            <v>3603</v>
          </cell>
        </row>
        <row r="154">
          <cell r="A154">
            <v>153</v>
          </cell>
          <cell r="B154" t="str">
            <v>Notaris Yves Clercx BV BVBA</v>
          </cell>
          <cell r="C154" t="str">
            <v>Clerckx Yves</v>
          </cell>
          <cell r="D154" t="str">
            <v>Notaris</v>
          </cell>
          <cell r="E154" t="str">
            <v>Berglaan</v>
          </cell>
          <cell r="F154" t="str">
            <v>11</v>
          </cell>
          <cell r="G154" t="str">
            <v/>
          </cell>
          <cell r="H154" t="str">
            <v>3600</v>
          </cell>
          <cell r="I154" t="str">
            <v>Limburg</v>
          </cell>
          <cell r="K154" t="str">
            <v>Genk</v>
          </cell>
          <cell r="M154" t="str">
            <v>M</v>
          </cell>
          <cell r="O154" t="str">
            <v>089.35.44.88</v>
          </cell>
          <cell r="P154" t="str">
            <v>089.36.43.14</v>
          </cell>
          <cell r="Q154" t="str">
            <v>YVES.CLERCX@NOTARIS.BE</v>
          </cell>
          <cell r="R154">
            <v>3196</v>
          </cell>
        </row>
        <row r="155">
          <cell r="A155">
            <v>154</v>
          </cell>
          <cell r="B155" t="str">
            <v>CLERENS Gauthier</v>
          </cell>
          <cell r="C155" t="str">
            <v>CLERENS Gauthier</v>
          </cell>
          <cell r="D155" t="str">
            <v>Notaris</v>
          </cell>
          <cell r="E155" t="str">
            <v>Korenmarkt</v>
          </cell>
          <cell r="F155" t="str">
            <v>47</v>
          </cell>
          <cell r="G155" t="str">
            <v/>
          </cell>
          <cell r="H155" t="str">
            <v>2800</v>
          </cell>
          <cell r="I155" t="str">
            <v>Antwerpen</v>
          </cell>
          <cell r="K155" t="str">
            <v>Mechelen</v>
          </cell>
          <cell r="M155" t="str">
            <v>M</v>
          </cell>
          <cell r="O155" t="str">
            <v>015.41.53.25</v>
          </cell>
          <cell r="P155" t="str">
            <v>015.42.40.75</v>
          </cell>
          <cell r="Q155" t="str">
            <v>GAUTHIER.CLERENS@NOTARIS.BE</v>
          </cell>
          <cell r="R155">
            <v>3272</v>
          </cell>
        </row>
        <row r="156">
          <cell r="A156">
            <v>155</v>
          </cell>
          <cell r="B156" t="str">
            <v>CLOET Albert</v>
          </cell>
          <cell r="C156" t="str">
            <v>CLOET Albert</v>
          </cell>
          <cell r="D156" t="str">
            <v>Notaris</v>
          </cell>
          <cell r="E156" t="str">
            <v>Stationsstraat</v>
          </cell>
          <cell r="F156" t="str">
            <v>112</v>
          </cell>
          <cell r="G156" t="str">
            <v/>
          </cell>
          <cell r="H156" t="str">
            <v>8780</v>
          </cell>
          <cell r="I156" t="str">
            <v>West-Vlaanderen</v>
          </cell>
          <cell r="K156" t="str">
            <v>Oostrozebeke</v>
          </cell>
          <cell r="L156">
            <v>15746</v>
          </cell>
          <cell r="M156" t="str">
            <v>M</v>
          </cell>
          <cell r="O156" t="str">
            <v>056.66.60.25</v>
          </cell>
          <cell r="P156" t="str">
            <v>056.66.52.91</v>
          </cell>
          <cell r="Q156" t="str">
            <v>ALBERT.CLOET@NOTARIS.BE</v>
          </cell>
          <cell r="R156">
            <v>205</v>
          </cell>
        </row>
        <row r="157">
          <cell r="A157">
            <v>156</v>
          </cell>
          <cell r="B157" t="str">
            <v>CLOET Benoît</v>
          </cell>
          <cell r="C157" t="str">
            <v>CLOET Benoît</v>
          </cell>
          <cell r="D157" t="str">
            <v>Notaris</v>
          </cell>
          <cell r="E157" t="str">
            <v>Rue des Croisiers</v>
          </cell>
          <cell r="F157" t="str">
            <v>19</v>
          </cell>
          <cell r="G157" t="str">
            <v/>
          </cell>
          <cell r="H157" t="str">
            <v>7712</v>
          </cell>
          <cell r="I157" t="str">
            <v>Hainaut</v>
          </cell>
          <cell r="K157" t="str">
            <v>Herseaux</v>
          </cell>
          <cell r="M157" t="str">
            <v>M</v>
          </cell>
          <cell r="O157" t="str">
            <v>056.33.06.28</v>
          </cell>
          <cell r="P157" t="str">
            <v>056.33.24.56</v>
          </cell>
          <cell r="Q157" t="str">
            <v>BENOIT.CLOET@NOTAIRE.BE</v>
          </cell>
          <cell r="R157">
            <v>3144</v>
          </cell>
        </row>
        <row r="158">
          <cell r="A158">
            <v>157</v>
          </cell>
          <cell r="B158" t="str">
            <v>HOMANS Jan &amp; CLOET Jan</v>
          </cell>
          <cell r="C158" t="str">
            <v>Cloet Jan</v>
          </cell>
          <cell r="D158" t="str">
            <v>Geassocieerd Notaris</v>
          </cell>
          <cell r="E158" t="str">
            <v>Steenweg op Wijchmaal</v>
          </cell>
          <cell r="F158" t="str">
            <v>49</v>
          </cell>
          <cell r="G158" t="str">
            <v/>
          </cell>
          <cell r="H158" t="str">
            <v>3990</v>
          </cell>
          <cell r="I158" t="str">
            <v>Limburg</v>
          </cell>
          <cell r="K158" t="str">
            <v>Peer</v>
          </cell>
          <cell r="M158" t="str">
            <v>M</v>
          </cell>
          <cell r="O158" t="str">
            <v>011.61.03.33</v>
          </cell>
          <cell r="P158" t="str">
            <v>011.63.35.81</v>
          </cell>
          <cell r="Q158" t="str">
            <v>JAN.HOMANS@NOTARIS.BE</v>
          </cell>
          <cell r="R158">
            <v>327</v>
          </cell>
          <cell r="T158">
            <v>38378</v>
          </cell>
        </row>
        <row r="159">
          <cell r="A159">
            <v>158</v>
          </cell>
          <cell r="B159" t="str">
            <v>COEME Michel</v>
          </cell>
          <cell r="C159" t="str">
            <v>COEME Michel</v>
          </cell>
          <cell r="D159" t="str">
            <v>Notaris</v>
          </cell>
          <cell r="E159" t="str">
            <v>rue Ferdinand Nicolay</v>
          </cell>
          <cell r="F159" t="str">
            <v>698</v>
          </cell>
          <cell r="G159" t="str">
            <v/>
          </cell>
          <cell r="H159" t="str">
            <v>4420</v>
          </cell>
          <cell r="I159" t="str">
            <v>Liège</v>
          </cell>
          <cell r="K159" t="str">
            <v>Tilleur</v>
          </cell>
          <cell r="M159" t="str">
            <v>M</v>
          </cell>
          <cell r="O159" t="str">
            <v>04.234.73.11</v>
          </cell>
          <cell r="P159" t="str">
            <v>04.234.00.30</v>
          </cell>
          <cell r="Q159" t="str">
            <v>MICHEL.COEME@NOTAIRE.BE</v>
          </cell>
          <cell r="R159">
            <v>3324</v>
          </cell>
        </row>
        <row r="160">
          <cell r="A160">
            <v>159</v>
          </cell>
          <cell r="B160" t="str">
            <v>COEME Paul-Arthur &amp; Wéra Ch.</v>
          </cell>
          <cell r="C160" t="str">
            <v>Coeme Paul-Arthur</v>
          </cell>
          <cell r="D160" t="str">
            <v>Geassocieerd Notaris</v>
          </cell>
          <cell r="E160" t="str">
            <v>Rue Haute Wez</v>
          </cell>
          <cell r="F160" t="str">
            <v>170</v>
          </cell>
          <cell r="G160" t="str">
            <v/>
          </cell>
          <cell r="H160" t="str">
            <v>4030</v>
          </cell>
          <cell r="I160" t="str">
            <v>Liège</v>
          </cell>
          <cell r="K160" t="str">
            <v>Grivegnée</v>
          </cell>
          <cell r="M160" t="str">
            <v>M</v>
          </cell>
          <cell r="O160" t="str">
            <v>04.343.16.74</v>
          </cell>
          <cell r="P160" t="str">
            <v>04.343.11.07</v>
          </cell>
          <cell r="Q160" t="str">
            <v>PAULARTHUR.COEME@NOTAIRE.BE</v>
          </cell>
          <cell r="R160">
            <v>2759</v>
          </cell>
        </row>
        <row r="161">
          <cell r="A161">
            <v>160</v>
          </cell>
          <cell r="B161" t="str">
            <v>HENRY - COLIN - VAN ROY</v>
          </cell>
          <cell r="C161" t="str">
            <v>Colin Vincent</v>
          </cell>
          <cell r="D161" t="str">
            <v>Geassocieerd Notaris</v>
          </cell>
          <cell r="E161" t="str">
            <v>Rue des Tanneurs</v>
          </cell>
          <cell r="F161" t="str">
            <v>29</v>
          </cell>
          <cell r="G161" t="str">
            <v/>
          </cell>
          <cell r="H161" t="str">
            <v>7730</v>
          </cell>
          <cell r="I161" t="str">
            <v>Hainaut</v>
          </cell>
          <cell r="K161" t="str">
            <v>Estaimbourg</v>
          </cell>
          <cell r="M161" t="str">
            <v>M</v>
          </cell>
          <cell r="O161" t="str">
            <v>069.55.60.00</v>
          </cell>
          <cell r="P161" t="str">
            <v>069.55.60.01</v>
          </cell>
          <cell r="Q161" t="str">
            <v>VINCENT.COLIN@NOTAIRE.BE</v>
          </cell>
          <cell r="R161">
            <v>3608</v>
          </cell>
        </row>
        <row r="162">
          <cell r="A162">
            <v>161</v>
          </cell>
          <cell r="B162" t="str">
            <v>Colla Christian Notaris Burg.Ven.BVBA</v>
          </cell>
          <cell r="C162" t="str">
            <v>Colla Christian</v>
          </cell>
          <cell r="D162" t="str">
            <v>Notaris</v>
          </cell>
          <cell r="E162" t="str">
            <v>Koningin Astridlaan</v>
          </cell>
          <cell r="F162" t="str">
            <v>9</v>
          </cell>
          <cell r="G162" t="str">
            <v/>
          </cell>
          <cell r="H162" t="str">
            <v>3840</v>
          </cell>
          <cell r="I162" t="str">
            <v>Limburg</v>
          </cell>
          <cell r="K162" t="str">
            <v>Borgloon</v>
          </cell>
          <cell r="M162" t="str">
            <v>M</v>
          </cell>
          <cell r="O162" t="str">
            <v>012.74.23.92</v>
          </cell>
          <cell r="P162" t="str">
            <v>012.74.23.81</v>
          </cell>
          <cell r="Q162" t="str">
            <v>CHRISTIAN.COLLA@NOTARIS.BE</v>
          </cell>
          <cell r="R162">
            <v>189</v>
          </cell>
        </row>
        <row r="163">
          <cell r="A163">
            <v>162</v>
          </cell>
          <cell r="B163" t="str">
            <v>COLLON Damien</v>
          </cell>
          <cell r="C163" t="str">
            <v>COLLON Damien</v>
          </cell>
          <cell r="D163" t="str">
            <v>Notaris</v>
          </cell>
          <cell r="E163" t="str">
            <v>rue Baron de Castrostraat</v>
          </cell>
          <cell r="F163" t="str">
            <v>6</v>
          </cell>
          <cell r="G163" t="str">
            <v/>
          </cell>
          <cell r="H163" t="str">
            <v>1040</v>
          </cell>
          <cell r="I163" t="str">
            <v>Bruxelles</v>
          </cell>
          <cell r="K163" t="str">
            <v>Bruxelles</v>
          </cell>
          <cell r="M163" t="str">
            <v>M</v>
          </cell>
          <cell r="O163" t="str">
            <v>02.733.35.81</v>
          </cell>
          <cell r="P163" t="str">
            <v>02.736.25.73</v>
          </cell>
          <cell r="Q163" t="str">
            <v>DAMIEN.COLLON@NOTAIRE.BE</v>
          </cell>
          <cell r="R163">
            <v>3354</v>
          </cell>
        </row>
        <row r="164">
          <cell r="A164">
            <v>163</v>
          </cell>
          <cell r="B164" t="str">
            <v>SPRL PIERRE NICAISE et BENOIT COLMANT</v>
          </cell>
          <cell r="C164" t="str">
            <v>Colmant Benoit</v>
          </cell>
          <cell r="D164" t="str">
            <v>Geassocieerd Notaris</v>
          </cell>
          <cell r="E164" t="str">
            <v>Allée du bois de bercuit</v>
          </cell>
          <cell r="F164" t="str">
            <v>14</v>
          </cell>
          <cell r="G164" t="str">
            <v/>
          </cell>
          <cell r="H164" t="str">
            <v>1390</v>
          </cell>
          <cell r="I164" t="str">
            <v>Brabant Wallon</v>
          </cell>
          <cell r="K164" t="str">
            <v>Grez-Doiceau</v>
          </cell>
          <cell r="M164" t="str">
            <v>M</v>
          </cell>
          <cell r="O164" t="str">
            <v>010.84.81.50</v>
          </cell>
          <cell r="P164" t="str">
            <v>010.84.19.18</v>
          </cell>
          <cell r="Q164" t="str">
            <v>benoit.colmant@notaire.be</v>
          </cell>
          <cell r="R164">
            <v>3637</v>
          </cell>
        </row>
        <row r="165">
          <cell r="A165">
            <v>164</v>
          </cell>
          <cell r="B165" t="str">
            <v>COLSON Tom</v>
          </cell>
          <cell r="C165" t="str">
            <v>COLSON Tom</v>
          </cell>
          <cell r="D165" t="str">
            <v>Notaris</v>
          </cell>
          <cell r="E165" t="str">
            <v>Rijksweg</v>
          </cell>
          <cell r="F165" t="str">
            <v>363</v>
          </cell>
          <cell r="G165" t="str">
            <v/>
          </cell>
          <cell r="H165" t="str">
            <v>3630</v>
          </cell>
          <cell r="I165" t="str">
            <v>Limburg</v>
          </cell>
          <cell r="K165" t="str">
            <v>Maasmechelen</v>
          </cell>
          <cell r="M165" t="str">
            <v>M</v>
          </cell>
          <cell r="O165" t="str">
            <v>089/778320</v>
          </cell>
          <cell r="P165" t="str">
            <v>089/778329</v>
          </cell>
          <cell r="Q165" t="str">
            <v>tom.colson@notaris.be</v>
          </cell>
          <cell r="R165">
            <v>3669</v>
          </cell>
          <cell r="T165">
            <v>38191</v>
          </cell>
        </row>
        <row r="166">
          <cell r="A166">
            <v>165</v>
          </cell>
          <cell r="B166" t="str">
            <v>COMPERE Nathalie</v>
          </cell>
          <cell r="C166" t="str">
            <v>COMPERE Nathalie</v>
          </cell>
          <cell r="D166" t="str">
            <v>Notaris</v>
          </cell>
          <cell r="E166" t="str">
            <v>Square Crepin</v>
          </cell>
          <cell r="F166" t="str">
            <v>2</v>
          </cell>
          <cell r="G166" t="str">
            <v/>
          </cell>
          <cell r="H166" t="str">
            <v>5580</v>
          </cell>
          <cell r="I166" t="str">
            <v>Namur</v>
          </cell>
          <cell r="K166" t="str">
            <v>Rochefort</v>
          </cell>
          <cell r="M166" t="str">
            <v>Vr</v>
          </cell>
          <cell r="O166" t="str">
            <v>084.21.10.10</v>
          </cell>
          <cell r="P166" t="str">
            <v>084.21.38.26</v>
          </cell>
          <cell r="Q166" t="str">
            <v>nathalie.compere@notaire.be</v>
          </cell>
          <cell r="R166">
            <v>785</v>
          </cell>
        </row>
        <row r="167">
          <cell r="A167">
            <v>166</v>
          </cell>
          <cell r="B167" t="str">
            <v>COPPEE Jean-Jacques</v>
          </cell>
          <cell r="C167" t="str">
            <v>COPPEE Jean-Jacques</v>
          </cell>
          <cell r="D167" t="str">
            <v>Notaris</v>
          </cell>
          <cell r="E167" t="str">
            <v>Route de Mons</v>
          </cell>
          <cell r="F167" t="str">
            <v>35</v>
          </cell>
          <cell r="G167" t="str">
            <v/>
          </cell>
          <cell r="H167" t="str">
            <v>6030</v>
          </cell>
          <cell r="I167" t="str">
            <v>Hainaut</v>
          </cell>
          <cell r="K167" t="str">
            <v>Marchienne-au-Pont Charleroi)</v>
          </cell>
          <cell r="M167" t="str">
            <v>M</v>
          </cell>
          <cell r="O167" t="str">
            <v>071.32.17.80</v>
          </cell>
          <cell r="P167" t="str">
            <v>071.32.45.05</v>
          </cell>
          <cell r="Q167" t="str">
            <v>jeanjacques.coppee@belnot.be</v>
          </cell>
          <cell r="R167">
            <v>2648</v>
          </cell>
        </row>
        <row r="168">
          <cell r="A168">
            <v>167</v>
          </cell>
          <cell r="B168" t="str">
            <v>COPPEJANS Leen</v>
          </cell>
          <cell r="C168" t="str">
            <v>COPPEJANS Leen</v>
          </cell>
          <cell r="D168" t="str">
            <v>Notaris</v>
          </cell>
          <cell r="E168" t="str">
            <v>Baarstraat</v>
          </cell>
          <cell r="F168" t="str">
            <v>16</v>
          </cell>
          <cell r="G168" t="str">
            <v>bus 1</v>
          </cell>
          <cell r="H168" t="str">
            <v>9700</v>
          </cell>
          <cell r="I168" t="str">
            <v>Oost-Vlaanderen</v>
          </cell>
          <cell r="K168" t="str">
            <v>Oudenaarde</v>
          </cell>
          <cell r="M168" t="str">
            <v>Vr</v>
          </cell>
          <cell r="O168" t="str">
            <v>055.31.13.36</v>
          </cell>
          <cell r="P168" t="str">
            <v>055.30.16.55</v>
          </cell>
          <cell r="Q168" t="str">
            <v>LEEN.COPPEJANS@NOTARIS.BE</v>
          </cell>
          <cell r="R168">
            <v>3553</v>
          </cell>
        </row>
        <row r="169">
          <cell r="A169">
            <v>168</v>
          </cell>
          <cell r="B169" t="str">
            <v>Coppens Jozef &amp; Coppens Tom</v>
          </cell>
          <cell r="C169" t="str">
            <v>Coppens Jozef</v>
          </cell>
          <cell r="D169" t="str">
            <v>Geassocieerd Notaris</v>
          </cell>
          <cell r="E169" t="str">
            <v>Cingel</v>
          </cell>
          <cell r="F169" t="str">
            <v>12</v>
          </cell>
          <cell r="G169" t="str">
            <v/>
          </cell>
          <cell r="H169" t="str">
            <v>2350</v>
          </cell>
          <cell r="I169" t="str">
            <v>Antwerpen</v>
          </cell>
          <cell r="K169" t="str">
            <v>Vosselaar</v>
          </cell>
          <cell r="M169" t="str">
            <v>M</v>
          </cell>
          <cell r="O169" t="str">
            <v>014.61.34.58</v>
          </cell>
          <cell r="P169" t="str">
            <v>014.61.56.57</v>
          </cell>
          <cell r="Q169" t="str">
            <v>JOZEF.COPPENS@NOTARIS.BE</v>
          </cell>
          <cell r="R169">
            <v>24</v>
          </cell>
        </row>
        <row r="170">
          <cell r="A170">
            <v>169</v>
          </cell>
          <cell r="B170" t="str">
            <v>COPPENS Philip</v>
          </cell>
          <cell r="C170" t="str">
            <v>COPPENS Philip</v>
          </cell>
          <cell r="D170" t="str">
            <v>Notaris</v>
          </cell>
          <cell r="E170" t="str">
            <v>Heuvelstraat</v>
          </cell>
          <cell r="F170" t="str">
            <v>80</v>
          </cell>
          <cell r="G170" t="str">
            <v/>
          </cell>
          <cell r="H170" t="str">
            <v>2530</v>
          </cell>
          <cell r="I170" t="str">
            <v>Antwerpen</v>
          </cell>
          <cell r="K170" t="str">
            <v>Boechout</v>
          </cell>
          <cell r="M170" t="str">
            <v>M</v>
          </cell>
          <cell r="O170" t="str">
            <v>03.454.14.54</v>
          </cell>
          <cell r="P170" t="str">
            <v>03.454.08.89</v>
          </cell>
          <cell r="Q170" t="str">
            <v>PHILIP.COPPENS@NOTARIS.BE</v>
          </cell>
          <cell r="R170">
            <v>2867</v>
          </cell>
        </row>
        <row r="171">
          <cell r="A171">
            <v>170</v>
          </cell>
          <cell r="B171" t="str">
            <v>COPPENS Jozef &amp; COPPENS Tom</v>
          </cell>
          <cell r="C171" t="str">
            <v>Coppens Tom</v>
          </cell>
          <cell r="D171" t="str">
            <v>Geassocieerd Notaris</v>
          </cell>
          <cell r="E171" t="str">
            <v>Cingel</v>
          </cell>
          <cell r="F171" t="str">
            <v>12</v>
          </cell>
          <cell r="G171" t="str">
            <v/>
          </cell>
          <cell r="H171" t="str">
            <v>2350</v>
          </cell>
          <cell r="I171" t="str">
            <v>Antwerpen</v>
          </cell>
          <cell r="K171" t="str">
            <v>Vosselaar</v>
          </cell>
          <cell r="M171" t="str">
            <v>M</v>
          </cell>
          <cell r="O171" t="str">
            <v>014.61.34.58</v>
          </cell>
          <cell r="P171" t="str">
            <v>014.61.56.57</v>
          </cell>
          <cell r="Q171" t="str">
            <v>JOZEF.COPPENS@NOTARIS.BE</v>
          </cell>
          <cell r="R171">
            <v>24</v>
          </cell>
          <cell r="T171">
            <v>38391</v>
          </cell>
        </row>
        <row r="172">
          <cell r="A172">
            <v>171</v>
          </cell>
          <cell r="B172" t="str">
            <v>SIMONART &amp; COPPIETERS</v>
          </cell>
          <cell r="C172" t="str">
            <v>Coppieterstwallant Patrick</v>
          </cell>
          <cell r="D172" t="str">
            <v>Geassocieerd Notaris</v>
          </cell>
          <cell r="E172" t="str">
            <v>Sint-Jacobsplein</v>
          </cell>
          <cell r="F172" t="str">
            <v>7</v>
          </cell>
          <cell r="G172" t="str">
            <v/>
          </cell>
          <cell r="H172" t="str">
            <v>3000</v>
          </cell>
          <cell r="I172" t="str">
            <v>Vlaams Brabant</v>
          </cell>
          <cell r="K172" t="str">
            <v>Leuven</v>
          </cell>
          <cell r="M172" t="str">
            <v>M</v>
          </cell>
          <cell r="O172" t="str">
            <v>016.89.80.20</v>
          </cell>
          <cell r="P172" t="str">
            <v>016.89.80.44</v>
          </cell>
          <cell r="Q172" t="str">
            <v>patrick.coppieterstwallant@notaris.be</v>
          </cell>
          <cell r="R172">
            <v>3642</v>
          </cell>
        </row>
        <row r="173">
          <cell r="A173">
            <v>172</v>
          </cell>
          <cell r="B173" t="str">
            <v>COPPIN Jean-François</v>
          </cell>
          <cell r="C173" t="str">
            <v>COPPIN Jean-François</v>
          </cell>
          <cell r="D173" t="str">
            <v>Notaris</v>
          </cell>
          <cell r="E173" t="str">
            <v>Frederik Wouterslaan</v>
          </cell>
          <cell r="F173" t="str">
            <v>21</v>
          </cell>
          <cell r="G173" t="str">
            <v/>
          </cell>
          <cell r="H173" t="str">
            <v>1910</v>
          </cell>
          <cell r="I173" t="str">
            <v>Vlaams Brabant</v>
          </cell>
          <cell r="K173" t="str">
            <v>Kampenhout</v>
          </cell>
          <cell r="M173" t="str">
            <v>M</v>
          </cell>
          <cell r="O173" t="str">
            <v>016.65.50.21</v>
          </cell>
          <cell r="P173" t="str">
            <v>016.65.77.91</v>
          </cell>
          <cell r="Q173" t="str">
            <v>JEANFRANCOIS.COPPIN@NOTARIS.BE</v>
          </cell>
          <cell r="R173">
            <v>887</v>
          </cell>
        </row>
        <row r="174">
          <cell r="A174">
            <v>173</v>
          </cell>
          <cell r="B174" t="str">
            <v>COPPIN Romain</v>
          </cell>
          <cell r="C174" t="str">
            <v>COPPIN Romain</v>
          </cell>
          <cell r="D174" t="str">
            <v>Notaris</v>
          </cell>
          <cell r="E174" t="str">
            <v>Mechelsesteenweg</v>
          </cell>
          <cell r="F174" t="str">
            <v>207</v>
          </cell>
          <cell r="G174" t="str">
            <v/>
          </cell>
          <cell r="H174" t="str">
            <v>2018</v>
          </cell>
          <cell r="I174" t="str">
            <v>Antwerpen</v>
          </cell>
          <cell r="K174" t="str">
            <v>Antwerpen</v>
          </cell>
          <cell r="M174" t="str">
            <v>M</v>
          </cell>
          <cell r="O174" t="str">
            <v>03.230.40.29</v>
          </cell>
          <cell r="P174" t="str">
            <v>03.230.87.80</v>
          </cell>
          <cell r="Q174" t="str">
            <v>romain.coppin@belnot.be</v>
          </cell>
          <cell r="R174">
            <v>209</v>
          </cell>
        </row>
        <row r="175">
          <cell r="A175">
            <v>174</v>
          </cell>
          <cell r="B175" t="str">
            <v>COPS Geraldine</v>
          </cell>
          <cell r="C175" t="str">
            <v>COPS Geraldine</v>
          </cell>
          <cell r="D175" t="str">
            <v>Notaris</v>
          </cell>
          <cell r="E175" t="str">
            <v>Maastrichtersteenweg</v>
          </cell>
          <cell r="F175" t="str">
            <v>85</v>
          </cell>
          <cell r="G175" t="str">
            <v/>
          </cell>
          <cell r="H175" t="str">
            <v>3680</v>
          </cell>
          <cell r="I175" t="str">
            <v>Limburg</v>
          </cell>
          <cell r="K175" t="str">
            <v>Maaseik</v>
          </cell>
          <cell r="M175" t="str">
            <v>Vr</v>
          </cell>
          <cell r="O175" t="str">
            <v>089.56.40.73</v>
          </cell>
          <cell r="P175" t="str">
            <v>089.56.35.45</v>
          </cell>
          <cell r="Q175" t="str">
            <v>geraldine.cops@notaris.be</v>
          </cell>
          <cell r="R175">
            <v>3627</v>
          </cell>
        </row>
        <row r="176">
          <cell r="A176">
            <v>175</v>
          </cell>
          <cell r="B176" t="str">
            <v>CORDIER Alain</v>
          </cell>
          <cell r="C176" t="str">
            <v>CORDIER Alain</v>
          </cell>
          <cell r="D176" t="str">
            <v>Notaris</v>
          </cell>
          <cell r="E176" t="str">
            <v>Boulevard de la Sauvenière</v>
          </cell>
          <cell r="F176" t="str">
            <v>140</v>
          </cell>
          <cell r="G176" t="str">
            <v>bte 2</v>
          </cell>
          <cell r="H176" t="str">
            <v>4000</v>
          </cell>
          <cell r="I176" t="str">
            <v>Liège</v>
          </cell>
          <cell r="K176" t="str">
            <v>Liège</v>
          </cell>
          <cell r="M176" t="str">
            <v>M</v>
          </cell>
          <cell r="O176" t="str">
            <v>04.223.25.52</v>
          </cell>
          <cell r="P176" t="str">
            <v>04.222.41.33</v>
          </cell>
          <cell r="Q176" t="str">
            <v>ALAIN.CORDIER@NOTAIRE.BE</v>
          </cell>
          <cell r="R176">
            <v>2601</v>
          </cell>
        </row>
        <row r="177">
          <cell r="A177">
            <v>176</v>
          </cell>
          <cell r="B177" t="str">
            <v>CORNE Alain</v>
          </cell>
          <cell r="C177" t="str">
            <v>CORNE Alain</v>
          </cell>
          <cell r="D177" t="str">
            <v>Notaris</v>
          </cell>
          <cell r="E177" t="str">
            <v>rue du Palais</v>
          </cell>
          <cell r="F177" t="str">
            <v>122</v>
          </cell>
          <cell r="G177" t="str">
            <v/>
          </cell>
          <cell r="H177" t="str">
            <v>4800</v>
          </cell>
          <cell r="I177" t="str">
            <v>Liège</v>
          </cell>
          <cell r="K177" t="str">
            <v>Verviers</v>
          </cell>
          <cell r="M177" t="str">
            <v>M</v>
          </cell>
          <cell r="O177" t="str">
            <v>087.22.51.61</v>
          </cell>
          <cell r="P177" t="str">
            <v>087.22.85.31</v>
          </cell>
          <cell r="Q177" t="str">
            <v>ALAIN.CORNE@NOTAIRE.BE</v>
          </cell>
          <cell r="R177">
            <v>3462</v>
          </cell>
        </row>
        <row r="178">
          <cell r="A178">
            <v>177</v>
          </cell>
          <cell r="B178" t="str">
            <v>CORNELIS Michel</v>
          </cell>
          <cell r="C178" t="str">
            <v>CORNELIS Michel</v>
          </cell>
          <cell r="D178" t="str">
            <v>Notaris</v>
          </cell>
          <cell r="E178" t="str">
            <v>Avenue Clemenceaulaan</v>
          </cell>
          <cell r="F178" t="str">
            <v>86-88</v>
          </cell>
          <cell r="G178" t="str">
            <v/>
          </cell>
          <cell r="H178" t="str">
            <v>1070</v>
          </cell>
          <cell r="I178" t="str">
            <v>Bruxelles</v>
          </cell>
          <cell r="K178" t="str">
            <v>Bruxelles</v>
          </cell>
          <cell r="M178" t="str">
            <v>M</v>
          </cell>
          <cell r="O178" t="str">
            <v>02.521.50.32</v>
          </cell>
          <cell r="P178" t="str">
            <v>02.520.39.35</v>
          </cell>
          <cell r="Q178" t="str">
            <v>MICHEL.CORNELIS@NOTAIRE.BE</v>
          </cell>
          <cell r="R178">
            <v>2564</v>
          </cell>
        </row>
        <row r="179">
          <cell r="A179">
            <v>178</v>
          </cell>
          <cell r="B179" t="str">
            <v>CORNIL Baudouin</v>
          </cell>
          <cell r="C179" t="str">
            <v>CORNIL Baudouin</v>
          </cell>
          <cell r="D179" t="str">
            <v>Notaris</v>
          </cell>
          <cell r="E179" t="str">
            <v>Grand´Place</v>
          </cell>
          <cell r="F179" t="str">
            <v>20</v>
          </cell>
          <cell r="G179" t="str">
            <v/>
          </cell>
          <cell r="H179" t="str">
            <v>7870</v>
          </cell>
          <cell r="I179" t="str">
            <v>Hainaut</v>
          </cell>
          <cell r="K179" t="str">
            <v>Lens</v>
          </cell>
          <cell r="M179" t="str">
            <v>M</v>
          </cell>
          <cell r="O179" t="str">
            <v>065.22.93.44</v>
          </cell>
          <cell r="P179" t="str">
            <v>065.22.58.95</v>
          </cell>
          <cell r="Q179" t="str">
            <v>BAUDOUIN.CORNIL@NOTAIRE.BE</v>
          </cell>
          <cell r="R179">
            <v>2775</v>
          </cell>
        </row>
        <row r="180">
          <cell r="A180">
            <v>179</v>
          </cell>
          <cell r="B180" t="str">
            <v>CORPER Pierre</v>
          </cell>
          <cell r="C180" t="str">
            <v>CORPER Pierre</v>
          </cell>
          <cell r="D180" t="str">
            <v>Notaris</v>
          </cell>
          <cell r="E180" t="str">
            <v>Grand´Route de Liège</v>
          </cell>
          <cell r="F180" t="str">
            <v>20</v>
          </cell>
          <cell r="G180" t="str">
            <v/>
          </cell>
          <cell r="H180" t="str">
            <v>4162</v>
          </cell>
          <cell r="I180" t="str">
            <v>Liège</v>
          </cell>
          <cell r="K180" t="str">
            <v>Hody</v>
          </cell>
          <cell r="M180" t="str">
            <v>M</v>
          </cell>
          <cell r="O180" t="str">
            <v>04.383.60.27</v>
          </cell>
          <cell r="P180" t="str">
            <v>04.383.68.46</v>
          </cell>
          <cell r="Q180" t="str">
            <v>PIERRE.CORPER@NOTAIRE.BE</v>
          </cell>
          <cell r="R180">
            <v>2422</v>
          </cell>
        </row>
        <row r="181">
          <cell r="A181">
            <v>180</v>
          </cell>
          <cell r="B181" t="str">
            <v>COSCIA Oreste</v>
          </cell>
          <cell r="C181" t="str">
            <v>COSCIA Oreste</v>
          </cell>
          <cell r="D181" t="str">
            <v>Notaris</v>
          </cell>
          <cell r="E181" t="str">
            <v>Route de Beaumont</v>
          </cell>
          <cell r="F181" t="str">
            <v>53</v>
          </cell>
          <cell r="G181" t="str">
            <v/>
          </cell>
          <cell r="H181" t="str">
            <v>6030</v>
          </cell>
          <cell r="I181" t="str">
            <v>Hainaut</v>
          </cell>
          <cell r="K181" t="str">
            <v>Marchienne-au-Pont Charleroi)</v>
          </cell>
          <cell r="M181" t="str">
            <v>M</v>
          </cell>
          <cell r="O181" t="str">
            <v>071.51.57.52</v>
          </cell>
          <cell r="P181" t="str">
            <v>071.51.08.82</v>
          </cell>
          <cell r="Q181" t="str">
            <v>Oreste.Coscia@notaire.be</v>
          </cell>
          <cell r="R181">
            <v>827</v>
          </cell>
          <cell r="T181">
            <v>38513</v>
          </cell>
        </row>
        <row r="182">
          <cell r="A182">
            <v>181</v>
          </cell>
          <cell r="B182" t="str">
            <v>COSTA Agnès</v>
          </cell>
          <cell r="C182" t="str">
            <v>COSTA Agnès</v>
          </cell>
          <cell r="D182" t="str">
            <v>Notaris</v>
          </cell>
          <cell r="E182" t="str">
            <v>Avenue H. Limbourglaan</v>
          </cell>
          <cell r="F182" t="str">
            <v>54</v>
          </cell>
          <cell r="G182" t="str">
            <v/>
          </cell>
          <cell r="H182" t="str">
            <v>1070</v>
          </cell>
          <cell r="I182" t="str">
            <v>Bruxelles</v>
          </cell>
          <cell r="K182" t="str">
            <v>Bruxelles</v>
          </cell>
          <cell r="M182" t="str">
            <v>Vr</v>
          </cell>
          <cell r="O182" t="str">
            <v>02.522.09.37</v>
          </cell>
          <cell r="P182" t="str">
            <v>02.522.75.37</v>
          </cell>
          <cell r="Q182" t="str">
            <v>AGNES.COSTA@NOTARIS.BE</v>
          </cell>
          <cell r="R182">
            <v>3415</v>
          </cell>
        </row>
        <row r="183">
          <cell r="A183">
            <v>182</v>
          </cell>
          <cell r="B183" t="str">
            <v>COSTA Andre</v>
          </cell>
          <cell r="C183" t="str">
            <v>COSTA Andre</v>
          </cell>
          <cell r="D183" t="str">
            <v>Notaris</v>
          </cell>
          <cell r="E183" t="str">
            <v>Dijk</v>
          </cell>
          <cell r="F183" t="str">
            <v>34</v>
          </cell>
          <cell r="G183" t="str">
            <v/>
          </cell>
          <cell r="H183" t="str">
            <v>2861</v>
          </cell>
          <cell r="I183" t="str">
            <v>Antwerpen</v>
          </cell>
          <cell r="K183" t="str">
            <v>Onze-Lieve-Vrouw-Waver</v>
          </cell>
          <cell r="M183" t="str">
            <v>M</v>
          </cell>
          <cell r="O183" t="str">
            <v>015.75.51.35</v>
          </cell>
          <cell r="P183" t="str">
            <v>015.75.21.31</v>
          </cell>
          <cell r="Q183" t="str">
            <v>ANDRE.COSTA@NOTARIS.BE</v>
          </cell>
          <cell r="R183">
            <v>2411</v>
          </cell>
        </row>
        <row r="184">
          <cell r="A184">
            <v>183</v>
          </cell>
          <cell r="B184" t="str">
            <v>Etude du Notaire Pierre Cottin SCPSPRL</v>
          </cell>
          <cell r="C184" t="str">
            <v>Cottin Pierre</v>
          </cell>
          <cell r="D184" t="str">
            <v>Notaris</v>
          </cell>
          <cell r="E184" t="str">
            <v>Avenue de la Salm</v>
          </cell>
          <cell r="F184" t="str">
            <v>27</v>
          </cell>
          <cell r="G184" t="str">
            <v/>
          </cell>
          <cell r="H184" t="str">
            <v>6690</v>
          </cell>
          <cell r="I184" t="str">
            <v>Luxembourg</v>
          </cell>
          <cell r="K184" t="str">
            <v>Vielsalm</v>
          </cell>
          <cell r="M184" t="str">
            <v>M</v>
          </cell>
          <cell r="O184" t="str">
            <v>080.21.64.12</v>
          </cell>
          <cell r="P184" t="str">
            <v>080.21.70.78</v>
          </cell>
          <cell r="Q184" t="str">
            <v>pierre.cottin@belnot.be</v>
          </cell>
          <cell r="R184">
            <v>3018</v>
          </cell>
        </row>
        <row r="185">
          <cell r="A185">
            <v>184</v>
          </cell>
          <cell r="B185" t="str">
            <v>COUDEVILLE Marc</v>
          </cell>
          <cell r="C185" t="str">
            <v>COUDEVILLE Marc</v>
          </cell>
          <cell r="D185" t="str">
            <v>Notaris</v>
          </cell>
          <cell r="E185" t="str">
            <v>Vredestraat</v>
          </cell>
          <cell r="F185" t="str">
            <v>20</v>
          </cell>
          <cell r="G185" t="str">
            <v/>
          </cell>
          <cell r="H185" t="str">
            <v>8400</v>
          </cell>
          <cell r="I185" t="str">
            <v>West-Vlaanderen</v>
          </cell>
          <cell r="K185" t="str">
            <v>Oostende</v>
          </cell>
          <cell r="L185">
            <v>19911</v>
          </cell>
          <cell r="M185" t="str">
            <v>M</v>
          </cell>
          <cell r="O185" t="str">
            <v>059.70.99.14</v>
          </cell>
          <cell r="P185" t="str">
            <v>059.70.31.56</v>
          </cell>
          <cell r="Q185" t="str">
            <v>MARC.COUDEVILLE@NOTARIS.BE</v>
          </cell>
          <cell r="R185">
            <v>3075</v>
          </cell>
        </row>
        <row r="186">
          <cell r="A186">
            <v>185</v>
          </cell>
          <cell r="B186" t="str">
            <v>COUDYZER Werner</v>
          </cell>
          <cell r="C186" t="str">
            <v>COUDYZER Werner</v>
          </cell>
          <cell r="D186" t="str">
            <v>Notaris</v>
          </cell>
          <cell r="E186" t="str">
            <v>Kasteelstraat</v>
          </cell>
          <cell r="F186" t="str">
            <v>2</v>
          </cell>
          <cell r="G186" t="str">
            <v/>
          </cell>
          <cell r="H186" t="str">
            <v>8920</v>
          </cell>
          <cell r="I186" t="str">
            <v>West-Vlaanderen</v>
          </cell>
          <cell r="K186" t="str">
            <v>Langemark-Poelkapelle</v>
          </cell>
          <cell r="L186">
            <v>17818</v>
          </cell>
          <cell r="M186" t="str">
            <v>M</v>
          </cell>
          <cell r="O186" t="str">
            <v>057.48.91.41</v>
          </cell>
          <cell r="P186" t="str">
            <v>057.48.71.41</v>
          </cell>
          <cell r="Q186" t="str">
            <v>WERNER.COUDYZER@NOTARIS.BE</v>
          </cell>
          <cell r="R186">
            <v>1268</v>
          </cell>
        </row>
        <row r="187">
          <cell r="A187">
            <v>186</v>
          </cell>
          <cell r="B187" t="str">
            <v>COUPE Maxime</v>
          </cell>
          <cell r="C187" t="str">
            <v>COUPE Maxime</v>
          </cell>
          <cell r="D187" t="str">
            <v>Notaris</v>
          </cell>
          <cell r="E187" t="str">
            <v>Sint-Guibertusplein</v>
          </cell>
          <cell r="F187" t="str">
            <v>14</v>
          </cell>
          <cell r="G187" t="str">
            <v/>
          </cell>
          <cell r="H187" t="str">
            <v>2222</v>
          </cell>
          <cell r="I187" t="str">
            <v>Antwerpen</v>
          </cell>
          <cell r="K187" t="str">
            <v>Itegem</v>
          </cell>
          <cell r="M187" t="str">
            <v>M</v>
          </cell>
          <cell r="O187" t="str">
            <v>015.25.14.10</v>
          </cell>
          <cell r="P187" t="str">
            <v>015.25.15.10</v>
          </cell>
          <cell r="Q187" t="str">
            <v>MAXIME.COUPE@NOTARIS.BE</v>
          </cell>
          <cell r="R187">
            <v>1235</v>
          </cell>
        </row>
        <row r="188">
          <cell r="A188">
            <v>187</v>
          </cell>
          <cell r="B188" t="str">
            <v>COUREAUX Jean-Francois &amp; FRIPPIAT Antoine</v>
          </cell>
          <cell r="C188" t="str">
            <v>COUREAUX Jean-Francois &amp; FRIPPIAT Antoine</v>
          </cell>
          <cell r="D188" t="str">
            <v>Geassocieerd Notaris</v>
          </cell>
          <cell r="E188" t="str">
            <v>Rue du Tribois</v>
          </cell>
          <cell r="F188" t="str">
            <v>92</v>
          </cell>
          <cell r="G188" t="str">
            <v/>
          </cell>
          <cell r="H188" t="str">
            <v>6920</v>
          </cell>
          <cell r="I188" t="str">
            <v>Luxembourg</v>
          </cell>
          <cell r="K188" t="str">
            <v>Wellin</v>
          </cell>
          <cell r="M188" t="str">
            <v>M</v>
          </cell>
          <cell r="O188" t="str">
            <v>084.38.81.21</v>
          </cell>
          <cell r="P188" t="str">
            <v>084.38.92.12</v>
          </cell>
          <cell r="Q188" t="str">
            <v>JEANFRANCOIS.COUREAUX@NOTAIRE.BE</v>
          </cell>
          <cell r="R188">
            <v>583</v>
          </cell>
        </row>
        <row r="189">
          <cell r="A189">
            <v>188</v>
          </cell>
          <cell r="B189" t="str">
            <v>COUSSEMENT Annemie</v>
          </cell>
          <cell r="C189" t="str">
            <v>COUSSEMENT Annemie</v>
          </cell>
          <cell r="D189" t="str">
            <v>Notaris</v>
          </cell>
          <cell r="E189" t="str">
            <v>Liersesteenweg</v>
          </cell>
          <cell r="F189" t="str">
            <v>55</v>
          </cell>
          <cell r="G189" t="str">
            <v/>
          </cell>
          <cell r="H189" t="str">
            <v>2570</v>
          </cell>
          <cell r="I189" t="str">
            <v>Antwerpen</v>
          </cell>
          <cell r="K189" t="str">
            <v>Duffel</v>
          </cell>
          <cell r="M189" t="str">
            <v>Vr</v>
          </cell>
          <cell r="O189" t="str">
            <v>015.31.12.11</v>
          </cell>
          <cell r="P189" t="str">
            <v>015.30.76.76</v>
          </cell>
          <cell r="Q189" t="str">
            <v>ANNEMIE.COUSSEMENT@NOTARIS.BE</v>
          </cell>
          <cell r="R189">
            <v>3411</v>
          </cell>
        </row>
        <row r="190">
          <cell r="A190">
            <v>189</v>
          </cell>
          <cell r="B190" t="str">
            <v>COUTURIER Dirk</v>
          </cell>
          <cell r="C190" t="str">
            <v>COUTURIER Dirk</v>
          </cell>
          <cell r="D190" t="str">
            <v>Notaris</v>
          </cell>
          <cell r="E190" t="str">
            <v>Hindenstraat</v>
          </cell>
          <cell r="F190" t="str">
            <v>10</v>
          </cell>
          <cell r="G190" t="str">
            <v/>
          </cell>
          <cell r="H190" t="str">
            <v>2610</v>
          </cell>
          <cell r="I190" t="str">
            <v>Antwerpen</v>
          </cell>
          <cell r="K190" t="str">
            <v>Wilrijk Antwerpen)</v>
          </cell>
          <cell r="M190" t="str">
            <v>M</v>
          </cell>
          <cell r="O190" t="str">
            <v>03.281.03.61</v>
          </cell>
          <cell r="P190" t="str">
            <v>03.281.03.63</v>
          </cell>
          <cell r="Q190" t="str">
            <v>DIRK.COUTURIER@NOTARIS.BE</v>
          </cell>
          <cell r="R190">
            <v>2887</v>
          </cell>
        </row>
        <row r="191">
          <cell r="A191">
            <v>190</v>
          </cell>
          <cell r="B191" t="str">
            <v>CRESPIN Charles</v>
          </cell>
          <cell r="C191" t="str">
            <v>CRESPIN Charles</v>
          </cell>
          <cell r="D191" t="str">
            <v>Notaris</v>
          </cell>
          <cell r="E191" t="str">
            <v>Rue Neuve</v>
          </cell>
          <cell r="F191" t="str">
            <v>113</v>
          </cell>
          <cell r="G191" t="str">
            <v/>
          </cell>
          <cell r="H191" t="str">
            <v>4970</v>
          </cell>
          <cell r="I191" t="str">
            <v>Liège</v>
          </cell>
          <cell r="K191" t="str">
            <v>Stavelot</v>
          </cell>
          <cell r="M191" t="str">
            <v>M</v>
          </cell>
          <cell r="O191" t="str">
            <v>080.86.20.23</v>
          </cell>
          <cell r="P191" t="str">
            <v>080.86.21.22</v>
          </cell>
          <cell r="Q191" t="str">
            <v>charles.crespin@belnot.be</v>
          </cell>
          <cell r="R191">
            <v>2585</v>
          </cell>
        </row>
        <row r="192">
          <cell r="A192">
            <v>191</v>
          </cell>
          <cell r="B192" t="str">
            <v>CRISMER Philippe</v>
          </cell>
          <cell r="C192" t="str">
            <v>CRISMER Philippe</v>
          </cell>
          <cell r="D192" t="str">
            <v>Notaris</v>
          </cell>
          <cell r="E192" t="str">
            <v>Rue de Roloux</v>
          </cell>
          <cell r="F192" t="str">
            <v>39/D</v>
          </cell>
          <cell r="G192" t="str">
            <v/>
          </cell>
          <cell r="H192" t="str">
            <v>4347</v>
          </cell>
          <cell r="I192" t="str">
            <v>Liège</v>
          </cell>
          <cell r="K192" t="str">
            <v>Fexhe-le-Haut-Clocher</v>
          </cell>
          <cell r="M192" t="str">
            <v>M</v>
          </cell>
          <cell r="O192" t="str">
            <v>04.250.10.56</v>
          </cell>
          <cell r="P192" t="str">
            <v>04.250.49.03</v>
          </cell>
          <cell r="Q192" t="str">
            <v>PHILIPPE.CRISMER@NOTAIRE.BE</v>
          </cell>
          <cell r="R192">
            <v>3150</v>
          </cell>
        </row>
        <row r="193">
          <cell r="A193">
            <v>192</v>
          </cell>
          <cell r="B193" t="str">
            <v>CROLLA &amp; GEEBELEN BVBA</v>
          </cell>
          <cell r="C193" t="str">
            <v>Crolla Philippe</v>
          </cell>
          <cell r="D193" t="str">
            <v>Geassocieerd Notaris</v>
          </cell>
          <cell r="E193" t="str">
            <v>Kerkplein</v>
          </cell>
          <cell r="F193" t="str">
            <v>20-21-22</v>
          </cell>
          <cell r="G193" t="str">
            <v/>
          </cell>
          <cell r="H193" t="str">
            <v>3920</v>
          </cell>
          <cell r="I193" t="str">
            <v>Limburg</v>
          </cell>
          <cell r="K193" t="str">
            <v>Lommel</v>
          </cell>
          <cell r="M193" t="str">
            <v>M</v>
          </cell>
          <cell r="O193" t="str">
            <v>011.54.21.91</v>
          </cell>
          <cell r="P193" t="str">
            <v>011.54.16.72</v>
          </cell>
          <cell r="Q193" t="str">
            <v>PHILIPPE.CROLLA@NOTARIS.BE</v>
          </cell>
          <cell r="R193">
            <v>3479</v>
          </cell>
        </row>
        <row r="194">
          <cell r="A194">
            <v>193</v>
          </cell>
          <cell r="B194" t="str">
            <v>CRUNELLE Thierry</v>
          </cell>
          <cell r="C194" t="str">
            <v>CRUNELLE Thierry</v>
          </cell>
          <cell r="D194" t="str">
            <v>Notaris</v>
          </cell>
          <cell r="E194" t="str">
            <v>rue Laurent Delvaux</v>
          </cell>
          <cell r="F194" t="str">
            <v>25</v>
          </cell>
          <cell r="G194" t="str">
            <v/>
          </cell>
          <cell r="H194" t="str">
            <v>1400</v>
          </cell>
          <cell r="I194" t="str">
            <v>Brabant Wallon</v>
          </cell>
          <cell r="K194" t="str">
            <v>Nivelles</v>
          </cell>
          <cell r="M194" t="str">
            <v>M</v>
          </cell>
          <cell r="O194" t="str">
            <v>067.21.22.24</v>
          </cell>
          <cell r="P194" t="str">
            <v>067.84.31.16</v>
          </cell>
          <cell r="Q194" t="str">
            <v>THIERRY.CRUNELLE@NOTAIRE.BE</v>
          </cell>
          <cell r="R194">
            <v>3240</v>
          </cell>
        </row>
        <row r="195">
          <cell r="A195">
            <v>194</v>
          </cell>
          <cell r="B195" t="str">
            <v>CUELENAERE Guido</v>
          </cell>
          <cell r="C195" t="str">
            <v>CUELENAERE Guido</v>
          </cell>
          <cell r="D195" t="str">
            <v>Notaris</v>
          </cell>
          <cell r="E195" t="str">
            <v>Assenedestraat</v>
          </cell>
          <cell r="F195" t="str">
            <v>9</v>
          </cell>
          <cell r="G195" t="str">
            <v/>
          </cell>
          <cell r="H195" t="str">
            <v>9968</v>
          </cell>
          <cell r="I195" t="str">
            <v>Oost-Vlaanderen</v>
          </cell>
          <cell r="K195" t="str">
            <v>Bassevelde</v>
          </cell>
          <cell r="M195" t="str">
            <v>M</v>
          </cell>
          <cell r="O195" t="str">
            <v>09.373.63.20</v>
          </cell>
          <cell r="P195" t="str">
            <v>09.373.46.92</v>
          </cell>
          <cell r="Q195" t="str">
            <v>GUIDO.CUELENAERE@NOTARIS.BE</v>
          </cell>
          <cell r="R195">
            <v>3241</v>
          </cell>
        </row>
        <row r="196">
          <cell r="A196">
            <v>195</v>
          </cell>
          <cell r="B196" t="str">
            <v>CUIGNET Germain</v>
          </cell>
          <cell r="C196" t="str">
            <v>CUIGNET Germain</v>
          </cell>
          <cell r="D196" t="str">
            <v>Notaris</v>
          </cell>
          <cell r="E196" t="str">
            <v>Rue Warocqué</v>
          </cell>
          <cell r="F196" t="str">
            <v>78</v>
          </cell>
          <cell r="G196" t="str">
            <v/>
          </cell>
          <cell r="H196" t="str">
            <v>7100</v>
          </cell>
          <cell r="I196" t="str">
            <v>Hainaut</v>
          </cell>
          <cell r="K196" t="str">
            <v>La Louvière</v>
          </cell>
          <cell r="M196" t="str">
            <v>M</v>
          </cell>
          <cell r="O196" t="str">
            <v>064.22.16.32</v>
          </cell>
          <cell r="P196" t="str">
            <v>064.26.18.32</v>
          </cell>
          <cell r="Q196" t="str">
            <v>GERMAIN.CUIGNET@NOTAIRE.BE</v>
          </cell>
          <cell r="R196">
            <v>3580</v>
          </cell>
        </row>
        <row r="197">
          <cell r="A197">
            <v>196</v>
          </cell>
          <cell r="B197" t="str">
            <v>CULOT François</v>
          </cell>
          <cell r="C197" t="str">
            <v>CULOT François</v>
          </cell>
          <cell r="D197" t="str">
            <v>Notaris</v>
          </cell>
          <cell r="E197" t="str">
            <v>Avenue Bouvier</v>
          </cell>
          <cell r="F197" t="str">
            <v>68</v>
          </cell>
          <cell r="G197" t="str">
            <v/>
          </cell>
          <cell r="H197" t="str">
            <v>6760</v>
          </cell>
          <cell r="I197" t="str">
            <v>Luxembourg</v>
          </cell>
          <cell r="K197" t="str">
            <v>Virton</v>
          </cell>
          <cell r="M197" t="str">
            <v>M</v>
          </cell>
          <cell r="O197" t="str">
            <v>063.57.71.04</v>
          </cell>
          <cell r="P197" t="str">
            <v>063.57.19.69</v>
          </cell>
          <cell r="Q197" t="str">
            <v>FRANCOIS.CULOT@NOTAIRE.BE</v>
          </cell>
          <cell r="R197">
            <v>3027</v>
          </cell>
        </row>
        <row r="198">
          <cell r="A198">
            <v>197</v>
          </cell>
          <cell r="B198" t="str">
            <v>CULOT Paul-Etienne</v>
          </cell>
          <cell r="C198" t="str">
            <v>CULOT Paul-Etienne</v>
          </cell>
          <cell r="D198" t="str">
            <v>Notaris</v>
          </cell>
          <cell r="E198" t="str">
            <v>Ruelle Ronflette</v>
          </cell>
          <cell r="F198" t="str">
            <v>1</v>
          </cell>
          <cell r="G198" t="str">
            <v/>
          </cell>
          <cell r="H198" t="str">
            <v>7970</v>
          </cell>
          <cell r="I198" t="str">
            <v>Hainaut</v>
          </cell>
          <cell r="K198" t="str">
            <v>Beloeil</v>
          </cell>
          <cell r="M198" t="str">
            <v>M</v>
          </cell>
          <cell r="O198" t="str">
            <v>069.68.91.11</v>
          </cell>
          <cell r="P198" t="str">
            <v>069.68.71.11</v>
          </cell>
          <cell r="Q198" t="str">
            <v>PAULETIENNE.CULOT@NOTAIRE.BE</v>
          </cell>
          <cell r="R198">
            <v>2947</v>
          </cell>
        </row>
        <row r="199">
          <cell r="A199">
            <v>198</v>
          </cell>
          <cell r="B199" t="str">
            <v>CULOT Pierre</v>
          </cell>
          <cell r="C199" t="str">
            <v>CULOT Pierre</v>
          </cell>
          <cell r="D199" t="str">
            <v>Notaris</v>
          </cell>
          <cell r="E199" t="str">
            <v>Avenue du Saint Homme</v>
          </cell>
          <cell r="F199" t="str">
            <v>11 B</v>
          </cell>
          <cell r="G199" t="str">
            <v/>
          </cell>
          <cell r="H199" t="str">
            <v>7350</v>
          </cell>
          <cell r="I199" t="str">
            <v>Hainaut</v>
          </cell>
          <cell r="K199" t="str">
            <v>Thulin</v>
          </cell>
          <cell r="M199" t="str">
            <v>M</v>
          </cell>
          <cell r="O199" t="str">
            <v>065.71.81.10</v>
          </cell>
          <cell r="P199" t="str">
            <v>065.65.05.69</v>
          </cell>
          <cell r="Q199" t="str">
            <v>PIERRE.CULOT@NOTAIRE.BE</v>
          </cell>
          <cell r="R199">
            <v>2884</v>
          </cell>
        </row>
        <row r="200">
          <cell r="A200">
            <v>199</v>
          </cell>
          <cell r="B200" t="str">
            <v>BVBA Willy CUPPENS Notaris</v>
          </cell>
          <cell r="C200" t="str">
            <v>Cuppens Willy</v>
          </cell>
          <cell r="D200" t="str">
            <v>Notaris</v>
          </cell>
          <cell r="E200" t="str">
            <v>Brouwersstraat</v>
          </cell>
          <cell r="F200" t="str">
            <v>16</v>
          </cell>
          <cell r="G200" t="str">
            <v/>
          </cell>
          <cell r="H200" t="str">
            <v>3930</v>
          </cell>
          <cell r="I200" t="str">
            <v>Limburg</v>
          </cell>
          <cell r="K200" t="str">
            <v>Hamont-Achel</v>
          </cell>
          <cell r="M200" t="str">
            <v>M</v>
          </cell>
          <cell r="O200" t="str">
            <v>011.62.19.39</v>
          </cell>
          <cell r="P200" t="str">
            <v>011.44.86.71</v>
          </cell>
          <cell r="Q200" t="str">
            <v>WILLY.CUPPENS@NOTARIS.BE</v>
          </cell>
          <cell r="R200">
            <v>2900</v>
          </cell>
        </row>
        <row r="201">
          <cell r="A201">
            <v>200</v>
          </cell>
          <cell r="B201" t="str">
            <v>CUVELIER Brigitte</v>
          </cell>
          <cell r="C201" t="str">
            <v>CUVELIER Brigitte</v>
          </cell>
          <cell r="D201" t="str">
            <v>Notaris</v>
          </cell>
          <cell r="E201" t="str">
            <v>Markt</v>
          </cell>
          <cell r="F201" t="str">
            <v>85</v>
          </cell>
          <cell r="G201" t="str">
            <v/>
          </cell>
          <cell r="H201" t="str">
            <v>2590</v>
          </cell>
          <cell r="I201" t="str">
            <v>Antwerpen</v>
          </cell>
          <cell r="K201" t="str">
            <v>Berlaar</v>
          </cell>
          <cell r="M201" t="str">
            <v>Vr</v>
          </cell>
          <cell r="O201" t="str">
            <v>03.482.10.40</v>
          </cell>
          <cell r="P201" t="str">
            <v>03.482.45.75</v>
          </cell>
          <cell r="Q201" t="str">
            <v>BRIGITTE.CUVELIER@NOTARIS.BE</v>
          </cell>
          <cell r="R201">
            <v>2772</v>
          </cell>
        </row>
        <row r="202">
          <cell r="A202">
            <v>201</v>
          </cell>
          <cell r="B202" t="str">
            <v>CUYPERS Marc</v>
          </cell>
          <cell r="C202" t="str">
            <v>CUYPERS Marc</v>
          </cell>
          <cell r="D202" t="str">
            <v>Notaris</v>
          </cell>
          <cell r="E202" t="str">
            <v>Frans Coeckelbergstraat</v>
          </cell>
          <cell r="F202" t="str">
            <v>14</v>
          </cell>
          <cell r="G202" t="str">
            <v/>
          </cell>
          <cell r="H202" t="str">
            <v>2220</v>
          </cell>
          <cell r="I202" t="str">
            <v>Antwerpen</v>
          </cell>
          <cell r="K202" t="str">
            <v>Heist-op-den-Berg</v>
          </cell>
          <cell r="M202" t="str">
            <v>M</v>
          </cell>
          <cell r="O202" t="str">
            <v>015.24.11.63</v>
          </cell>
          <cell r="P202" t="str">
            <v>015.24.99.90</v>
          </cell>
          <cell r="Q202" t="str">
            <v>MARC.CUYPERS@NOTARIS.BE</v>
          </cell>
          <cell r="R202">
            <v>2408</v>
          </cell>
        </row>
        <row r="203">
          <cell r="A203">
            <v>202</v>
          </cell>
          <cell r="B203" t="str">
            <v>DAEL - BOEYKENS</v>
          </cell>
          <cell r="C203" t="str">
            <v>Dael Jean</v>
          </cell>
          <cell r="D203" t="str">
            <v>Notaris</v>
          </cell>
          <cell r="E203" t="str">
            <v>Ledebergplein</v>
          </cell>
          <cell r="F203" t="str">
            <v>16</v>
          </cell>
          <cell r="G203" t="str">
            <v/>
          </cell>
          <cell r="H203" t="str">
            <v>9050</v>
          </cell>
          <cell r="I203" t="str">
            <v>Oost-Vlaanderen</v>
          </cell>
          <cell r="K203" t="str">
            <v>Ledeberg Gent)</v>
          </cell>
          <cell r="M203" t="str">
            <v>M</v>
          </cell>
          <cell r="O203" t="str">
            <v>09.231.28.95</v>
          </cell>
          <cell r="P203" t="str">
            <v>09.231.03.26</v>
          </cell>
          <cell r="Q203" t="str">
            <v>JEAN.DAEL@NOTARIS.BE</v>
          </cell>
          <cell r="R203">
            <v>3604</v>
          </cell>
        </row>
        <row r="204">
          <cell r="A204">
            <v>203</v>
          </cell>
          <cell r="B204" t="str">
            <v>DAELMAN Ignace</v>
          </cell>
          <cell r="C204" t="str">
            <v>DAELMAN Ignace</v>
          </cell>
          <cell r="D204" t="str">
            <v>Notaris</v>
          </cell>
          <cell r="E204" t="str">
            <v>Molenstraat</v>
          </cell>
          <cell r="F204" t="str">
            <v>8</v>
          </cell>
          <cell r="G204" t="str">
            <v/>
          </cell>
          <cell r="H204" t="str">
            <v>9270</v>
          </cell>
          <cell r="I204" t="str">
            <v>Oost-Vlaanderen</v>
          </cell>
          <cell r="K204" t="str">
            <v>Laarne</v>
          </cell>
          <cell r="M204" t="str">
            <v>M</v>
          </cell>
          <cell r="O204" t="str">
            <v>09.369.02.74</v>
          </cell>
          <cell r="P204" t="str">
            <v>09.368.13.98</v>
          </cell>
          <cell r="Q204" t="str">
            <v>IGNACE.DAELMAN@NOTARIS.BE</v>
          </cell>
          <cell r="R204">
            <v>864</v>
          </cell>
        </row>
        <row r="205">
          <cell r="A205">
            <v>204</v>
          </cell>
          <cell r="B205" t="str">
            <v>DAELS Ann</v>
          </cell>
          <cell r="C205" t="str">
            <v>DAELS Ann</v>
          </cell>
          <cell r="D205" t="str">
            <v>Notaris</v>
          </cell>
          <cell r="E205" t="str">
            <v>Rollegemsestraat</v>
          </cell>
          <cell r="F205" t="str">
            <v>1</v>
          </cell>
          <cell r="G205" t="str">
            <v/>
          </cell>
          <cell r="H205" t="str">
            <v>8510</v>
          </cell>
          <cell r="I205" t="str">
            <v>West-Vlaanderen</v>
          </cell>
          <cell r="K205" t="str">
            <v>Bellegem</v>
          </cell>
          <cell r="L205">
            <v>22534</v>
          </cell>
          <cell r="M205" t="str">
            <v>Vr</v>
          </cell>
          <cell r="O205" t="str">
            <v>056.22.44.27</v>
          </cell>
          <cell r="P205" t="str">
            <v>056.22.91.83</v>
          </cell>
          <cell r="Q205" t="str">
            <v>ANN.DAELS@NOTARIS.BE</v>
          </cell>
          <cell r="R205">
            <v>3044</v>
          </cell>
        </row>
        <row r="206">
          <cell r="A206">
            <v>205</v>
          </cell>
          <cell r="B206" t="str">
            <v>DAEMS Philippe</v>
          </cell>
          <cell r="C206" t="str">
            <v>DAEMS Philippe</v>
          </cell>
          <cell r="D206" t="str">
            <v>Notaris</v>
          </cell>
          <cell r="E206" t="str">
            <v>avenue du Martin Pêcheur</v>
          </cell>
          <cell r="F206" t="str">
            <v>19-21</v>
          </cell>
          <cell r="G206" t="str">
            <v/>
          </cell>
          <cell r="H206" t="str">
            <v>1170</v>
          </cell>
          <cell r="I206" t="str">
            <v>Bruxelles</v>
          </cell>
          <cell r="K206" t="str">
            <v>Bruxelles</v>
          </cell>
          <cell r="M206" t="str">
            <v>M</v>
          </cell>
          <cell r="O206" t="str">
            <v>02.672.22.75</v>
          </cell>
          <cell r="P206" t="str">
            <v>02.675.38.93</v>
          </cell>
          <cell r="Q206" t="str">
            <v>PHILIPPE.DAEMS@NOTAIRE.BE</v>
          </cell>
          <cell r="R206">
            <v>3458</v>
          </cell>
        </row>
        <row r="207">
          <cell r="A207">
            <v>206</v>
          </cell>
          <cell r="B207" t="str">
            <v>BVBA Notariskantoor Dalle</v>
          </cell>
          <cell r="C207" t="str">
            <v>Dalle Paul</v>
          </cell>
          <cell r="D207" t="str">
            <v>Notaris</v>
          </cell>
          <cell r="E207" t="str">
            <v>Leopold II laan</v>
          </cell>
          <cell r="F207" t="str">
            <v>147</v>
          </cell>
          <cell r="G207" t="str">
            <v/>
          </cell>
          <cell r="H207" t="str">
            <v>8670</v>
          </cell>
          <cell r="I207" t="str">
            <v>West-Vlaanderen</v>
          </cell>
          <cell r="K207" t="str">
            <v>Oostduinkerke</v>
          </cell>
          <cell r="L207">
            <v>17469</v>
          </cell>
          <cell r="M207" t="str">
            <v>M</v>
          </cell>
          <cell r="O207" t="str">
            <v>058.51.15.47</v>
          </cell>
          <cell r="P207" t="str">
            <v>058.51.90.97</v>
          </cell>
          <cell r="Q207" t="str">
            <v>PAUL.DALLE@NOTARIS.BE</v>
          </cell>
          <cell r="R207">
            <v>3032</v>
          </cell>
        </row>
        <row r="208">
          <cell r="A208">
            <v>207</v>
          </cell>
          <cell r="B208" t="str">
            <v>DANCKAERT Guy</v>
          </cell>
          <cell r="C208" t="str">
            <v>DANCKAERT Guy</v>
          </cell>
          <cell r="D208" t="str">
            <v>Notaris</v>
          </cell>
          <cell r="E208" t="str">
            <v>Kordewagenstraat</v>
          </cell>
          <cell r="F208" t="str">
            <v>4</v>
          </cell>
          <cell r="G208" t="str">
            <v/>
          </cell>
          <cell r="H208" t="str">
            <v>9270</v>
          </cell>
          <cell r="I208" t="str">
            <v>Oost-Vlaanderen</v>
          </cell>
          <cell r="K208" t="str">
            <v>Laarne</v>
          </cell>
          <cell r="M208" t="str">
            <v>M</v>
          </cell>
          <cell r="O208" t="str">
            <v>09.367.62.43</v>
          </cell>
          <cell r="P208" t="str">
            <v>09.367.80.42</v>
          </cell>
          <cell r="Q208" t="str">
            <v>GUY.DANCKAERT@NOTARIS.BE</v>
          </cell>
          <cell r="R208">
            <v>3274</v>
          </cell>
        </row>
        <row r="209">
          <cell r="A209">
            <v>208</v>
          </cell>
          <cell r="B209" t="str">
            <v>DANDOY Jean</v>
          </cell>
          <cell r="C209" t="str">
            <v>DANDOY Jean</v>
          </cell>
          <cell r="D209" t="str">
            <v>Notaris</v>
          </cell>
          <cell r="E209" t="str">
            <v>Avenue des Commandants Borlée</v>
          </cell>
          <cell r="F209" t="str">
            <v>9</v>
          </cell>
          <cell r="G209" t="str">
            <v/>
          </cell>
          <cell r="H209" t="str">
            <v>1370</v>
          </cell>
          <cell r="I209" t="str">
            <v>Brabant Wallon</v>
          </cell>
          <cell r="K209" t="str">
            <v>Jodoigne</v>
          </cell>
          <cell r="M209" t="str">
            <v>M</v>
          </cell>
          <cell r="O209" t="str">
            <v>010.81.35.08</v>
          </cell>
          <cell r="P209" t="str">
            <v>010.81.04.26</v>
          </cell>
          <cell r="Q209" t="str">
            <v>JEAN.DANDOY@NOTAIRE.BE</v>
          </cell>
          <cell r="R209">
            <v>2438</v>
          </cell>
          <cell r="S209" t="str">
            <v>063-0775655-78</v>
          </cell>
          <cell r="T209">
            <v>28755</v>
          </cell>
        </row>
        <row r="210">
          <cell r="A210">
            <v>209</v>
          </cell>
          <cell r="B210" t="str">
            <v>PIERRE DANDOY ET KATHLEEN DANDOY SPRL</v>
          </cell>
          <cell r="C210" t="str">
            <v>Dandoy Kathleen</v>
          </cell>
          <cell r="D210" t="str">
            <v>Geassocieerd Notaris</v>
          </cell>
          <cell r="E210" t="str">
            <v>Avenue Jacobs</v>
          </cell>
          <cell r="F210" t="str">
            <v>18</v>
          </cell>
          <cell r="G210" t="str">
            <v/>
          </cell>
          <cell r="H210" t="str">
            <v>1360</v>
          </cell>
          <cell r="I210" t="str">
            <v>Brabant Wallon</v>
          </cell>
          <cell r="K210" t="str">
            <v>Perwez</v>
          </cell>
          <cell r="M210" t="str">
            <v>Vr</v>
          </cell>
          <cell r="O210" t="str">
            <v>081.65.59.14</v>
          </cell>
          <cell r="P210" t="str">
            <v>081.65.59.44</v>
          </cell>
          <cell r="Q210" t="str">
            <v>kathleen.dandoy@notaire.be</v>
          </cell>
          <cell r="R210">
            <v>3500</v>
          </cell>
        </row>
        <row r="211">
          <cell r="A211">
            <v>210</v>
          </cell>
          <cell r="B211" t="str">
            <v>PIERRE DANDOY ET KATHLEEN DANDOY SPRL</v>
          </cell>
          <cell r="C211" t="str">
            <v>Dandoy Pierre</v>
          </cell>
          <cell r="D211" t="str">
            <v>Geassocieerd Notaris</v>
          </cell>
          <cell r="E211" t="str">
            <v>Avenue Jacobs</v>
          </cell>
          <cell r="F211" t="str">
            <v>18</v>
          </cell>
          <cell r="G211" t="str">
            <v/>
          </cell>
          <cell r="H211" t="str">
            <v>1360</v>
          </cell>
          <cell r="I211" t="str">
            <v>Brabant Wallon</v>
          </cell>
          <cell r="K211" t="str">
            <v>Perwez</v>
          </cell>
          <cell r="M211" t="str">
            <v>M</v>
          </cell>
          <cell r="O211" t="str">
            <v>081.65.59.14</v>
          </cell>
          <cell r="P211" t="str">
            <v>081.65.59.44</v>
          </cell>
          <cell r="Q211" t="str">
            <v>PIERRE.DANDOY@NOTAIRE.BE</v>
          </cell>
          <cell r="R211">
            <v>3500</v>
          </cell>
        </row>
        <row r="212">
          <cell r="A212">
            <v>211</v>
          </cell>
          <cell r="B212" t="str">
            <v>DANDOY Vincent</v>
          </cell>
          <cell r="C212" t="str">
            <v>DANDOY Vincent</v>
          </cell>
          <cell r="D212" t="str">
            <v>Notaris</v>
          </cell>
          <cell r="E212" t="str">
            <v>Chaussée de Roly</v>
          </cell>
          <cell r="F212" t="str">
            <v>4</v>
          </cell>
          <cell r="G212" t="str">
            <v/>
          </cell>
          <cell r="H212" t="str">
            <v>5660</v>
          </cell>
          <cell r="I212" t="str">
            <v>Namur</v>
          </cell>
          <cell r="K212" t="str">
            <v>Mariembourg</v>
          </cell>
          <cell r="M212" t="str">
            <v>M</v>
          </cell>
          <cell r="O212" t="str">
            <v>060.31.10.97</v>
          </cell>
          <cell r="P212" t="str">
            <v>060.31.28.84</v>
          </cell>
          <cell r="Q212" t="str">
            <v>VINCENT.DANDOY@NOTAIRE.BE</v>
          </cell>
          <cell r="R212">
            <v>2767</v>
          </cell>
        </row>
        <row r="213">
          <cell r="A213">
            <v>212</v>
          </cell>
          <cell r="B213" t="str">
            <v>DANIELS Gwen</v>
          </cell>
          <cell r="C213" t="str">
            <v>DANIELS Gwen</v>
          </cell>
          <cell r="D213" t="str">
            <v>Notaris</v>
          </cell>
          <cell r="E213" t="str">
            <v>Waversebaan</v>
          </cell>
          <cell r="F213" t="str">
            <v>240</v>
          </cell>
          <cell r="G213" t="str">
            <v/>
          </cell>
          <cell r="H213" t="str">
            <v>3050</v>
          </cell>
          <cell r="I213" t="str">
            <v>Vlaams Brabant</v>
          </cell>
          <cell r="K213" t="str">
            <v>Oud-Heverlee</v>
          </cell>
          <cell r="M213" t="str">
            <v>Vr</v>
          </cell>
          <cell r="O213" t="str">
            <v>016.47.41.58</v>
          </cell>
          <cell r="P213" t="str">
            <v>016.47.41.60</v>
          </cell>
          <cell r="Q213" t="str">
            <v>GWEN.DANIELS@NOTARIS.BE</v>
          </cell>
          <cell r="R213">
            <v>3306</v>
          </cell>
        </row>
        <row r="214">
          <cell r="A214">
            <v>213</v>
          </cell>
          <cell r="B214" t="str">
            <v>DAPSENS Vincent</v>
          </cell>
          <cell r="C214" t="str">
            <v>DAPSENS Vincent</v>
          </cell>
          <cell r="D214" t="str">
            <v>Notaris</v>
          </cell>
          <cell r="E214" t="str">
            <v>Chemin de Sandron</v>
          </cell>
          <cell r="F214" t="str">
            <v>2</v>
          </cell>
          <cell r="G214" t="str">
            <v/>
          </cell>
          <cell r="H214" t="str">
            <v>4570</v>
          </cell>
          <cell r="I214" t="str">
            <v>Liège</v>
          </cell>
          <cell r="K214" t="str">
            <v>Marchin</v>
          </cell>
          <cell r="M214" t="str">
            <v>M</v>
          </cell>
          <cell r="O214" t="str">
            <v>085.21.10.60</v>
          </cell>
          <cell r="P214" t="str">
            <v>085.21.18.43</v>
          </cell>
          <cell r="Q214" t="str">
            <v>VINCENT.DAPSENS@NOTAIRE.BE</v>
          </cell>
          <cell r="R214">
            <v>3128</v>
          </cell>
        </row>
        <row r="215">
          <cell r="A215">
            <v>214</v>
          </cell>
          <cell r="B215" t="str">
            <v>DAUBIT Bernard</v>
          </cell>
          <cell r="C215" t="str">
            <v>DAUBIT Bernard</v>
          </cell>
          <cell r="D215" t="str">
            <v>Notaris</v>
          </cell>
          <cell r="E215" t="str">
            <v>Mont Saint-Martin</v>
          </cell>
          <cell r="F215" t="str">
            <v>67</v>
          </cell>
          <cell r="G215" t="str">
            <v/>
          </cell>
          <cell r="H215" t="str">
            <v>4000</v>
          </cell>
          <cell r="I215" t="str">
            <v>Liège</v>
          </cell>
          <cell r="K215" t="str">
            <v>Liège</v>
          </cell>
          <cell r="M215" t="str">
            <v>M</v>
          </cell>
          <cell r="O215" t="str">
            <v>04.232.70.32</v>
          </cell>
          <cell r="P215" t="str">
            <v>04.232.70.33</v>
          </cell>
          <cell r="Q215" t="str">
            <v>BERNARD.DAUBIT@NOTAIRE.BE</v>
          </cell>
          <cell r="R215">
            <v>2710</v>
          </cell>
        </row>
        <row r="216">
          <cell r="A216">
            <v>215</v>
          </cell>
          <cell r="B216" t="str">
            <v>DAUWE Jozef</v>
          </cell>
          <cell r="C216" t="str">
            <v>DAUWE Jozef</v>
          </cell>
          <cell r="D216" t="str">
            <v>Notaris</v>
          </cell>
          <cell r="E216" t="str">
            <v>Koning Albertstraat</v>
          </cell>
          <cell r="F216" t="str">
            <v>59</v>
          </cell>
          <cell r="G216" t="str">
            <v/>
          </cell>
          <cell r="H216" t="str">
            <v>9900</v>
          </cell>
          <cell r="I216" t="str">
            <v>Oost-Vlaanderen</v>
          </cell>
          <cell r="K216" t="str">
            <v>Eeklo</v>
          </cell>
          <cell r="M216" t="str">
            <v>M</v>
          </cell>
          <cell r="O216" t="str">
            <v>09.377.81.83</v>
          </cell>
          <cell r="P216" t="str">
            <v>09.377.81.33</v>
          </cell>
          <cell r="Q216" t="str">
            <v>JOZEF.DAUWE@NOTARIS.BE</v>
          </cell>
          <cell r="R216">
            <v>2561</v>
          </cell>
        </row>
        <row r="217">
          <cell r="A217">
            <v>216</v>
          </cell>
          <cell r="B217" t="str">
            <v>DAUWE Paul</v>
          </cell>
          <cell r="C217" t="str">
            <v>DAUWE Paul</v>
          </cell>
          <cell r="D217" t="str">
            <v>Notaris</v>
          </cell>
          <cell r="E217" t="str">
            <v>Av.des Paradisiers</v>
          </cell>
          <cell r="F217" t="str">
            <v>24</v>
          </cell>
          <cell r="G217" t="str">
            <v/>
          </cell>
          <cell r="H217" t="str">
            <v>1160</v>
          </cell>
          <cell r="I217" t="str">
            <v>Bruxelles</v>
          </cell>
          <cell r="K217" t="str">
            <v>Bruxelles</v>
          </cell>
          <cell r="M217" t="str">
            <v>M</v>
          </cell>
          <cell r="O217" t="str">
            <v>02.735.05.74</v>
          </cell>
          <cell r="P217" t="str">
            <v>02.735.13.81</v>
          </cell>
          <cell r="Q217" t="str">
            <v>PAUL.DAUWE@NOTARIS.BE</v>
          </cell>
          <cell r="R217">
            <v>3042</v>
          </cell>
        </row>
        <row r="218">
          <cell r="A218">
            <v>217</v>
          </cell>
          <cell r="B218" t="str">
            <v>DE BACKER Louis</v>
          </cell>
          <cell r="C218" t="str">
            <v>DeBacker Louis</v>
          </cell>
          <cell r="D218" t="str">
            <v>Notaris</v>
          </cell>
          <cell r="E218" t="str">
            <v>Bouwelsesteenweg</v>
          </cell>
          <cell r="F218" t="str">
            <v>96</v>
          </cell>
          <cell r="G218" t="str">
            <v/>
          </cell>
          <cell r="H218" t="str">
            <v>2270</v>
          </cell>
          <cell r="I218" t="str">
            <v>Antwerpen</v>
          </cell>
          <cell r="K218" t="str">
            <v>Herenthout</v>
          </cell>
          <cell r="M218" t="str">
            <v>M</v>
          </cell>
          <cell r="O218" t="str">
            <v>014.51.24.61</v>
          </cell>
          <cell r="P218" t="str">
            <v>014.50.02.60</v>
          </cell>
          <cell r="Q218" t="str">
            <v>LOUIS.DEBACKER@NOTARIS.BE</v>
          </cell>
          <cell r="R218">
            <v>85</v>
          </cell>
        </row>
        <row r="219">
          <cell r="A219">
            <v>218</v>
          </cell>
          <cell r="B219" t="str">
            <v>DE BACKER Marc</v>
          </cell>
          <cell r="C219" t="str">
            <v>DeBacker Marc</v>
          </cell>
          <cell r="D219" t="str">
            <v>Notaris</v>
          </cell>
          <cell r="E219" t="str">
            <v>Van Benedenlaan</v>
          </cell>
          <cell r="F219" t="str">
            <v>67</v>
          </cell>
          <cell r="G219" t="str">
            <v/>
          </cell>
          <cell r="H219" t="str">
            <v>2800</v>
          </cell>
          <cell r="I219" t="str">
            <v>Antwerpen</v>
          </cell>
          <cell r="K219" t="str">
            <v>Mechelen</v>
          </cell>
          <cell r="M219" t="str">
            <v>M</v>
          </cell>
          <cell r="O219" t="str">
            <v>015.41.22.53</v>
          </cell>
          <cell r="P219" t="str">
            <v>015.43.04.98</v>
          </cell>
          <cell r="Q219" t="str">
            <v>MARC.DEBACKER@NOTARIS.BE</v>
          </cell>
          <cell r="R219">
            <v>3295</v>
          </cell>
        </row>
        <row r="220">
          <cell r="A220">
            <v>219</v>
          </cell>
          <cell r="B220" t="str">
            <v>Carlos DE BAECKER</v>
          </cell>
          <cell r="C220" t="str">
            <v>DeBaecker Carlos</v>
          </cell>
          <cell r="D220" t="str">
            <v>Notaris</v>
          </cell>
          <cell r="E220" t="str">
            <v>Frankrijklei</v>
          </cell>
          <cell r="F220" t="str">
            <v>16</v>
          </cell>
          <cell r="G220" t="str">
            <v>bus 4</v>
          </cell>
          <cell r="H220" t="str">
            <v>2000</v>
          </cell>
          <cell r="I220" t="str">
            <v>Antwerpen</v>
          </cell>
          <cell r="K220" t="str">
            <v>Antwerpen</v>
          </cell>
          <cell r="M220" t="str">
            <v>M</v>
          </cell>
          <cell r="O220" t="str">
            <v>03.206.98.98</v>
          </cell>
          <cell r="P220" t="str">
            <v>03.233.44.21</v>
          </cell>
          <cell r="Q220" t="str">
            <v>carlos.debaecker@notaris.be</v>
          </cell>
          <cell r="R220">
            <v>3517</v>
          </cell>
          <cell r="T220">
            <v>38418</v>
          </cell>
        </row>
        <row r="221">
          <cell r="A221">
            <v>220</v>
          </cell>
          <cell r="B221" t="str">
            <v>Vanden Bussche - Debaets</v>
          </cell>
          <cell r="C221" t="str">
            <v>DeBaets Peter</v>
          </cell>
          <cell r="D221" t="str">
            <v>Geassocieerd Notaris</v>
          </cell>
          <cell r="E221" t="str">
            <v>Guldenvlieslaan</v>
          </cell>
          <cell r="F221" t="str">
            <v>34A</v>
          </cell>
          <cell r="G221" t="str">
            <v/>
          </cell>
          <cell r="H221" t="str">
            <v>8670</v>
          </cell>
          <cell r="I221" t="str">
            <v>West-Vlaanderen</v>
          </cell>
          <cell r="K221" t="str">
            <v>Koksijde</v>
          </cell>
          <cell r="M221" t="str">
            <v>M</v>
          </cell>
          <cell r="O221" t="str">
            <v>058.53.20.10</v>
          </cell>
          <cell r="P221" t="str">
            <v>058.52.29.57</v>
          </cell>
          <cell r="Q221" t="str">
            <v>MARC.VANDENBUSSCHE@NOTARIS.BE</v>
          </cell>
          <cell r="R221">
            <v>2562</v>
          </cell>
          <cell r="T221">
            <v>38420</v>
          </cell>
        </row>
        <row r="222">
          <cell r="A222">
            <v>221</v>
          </cell>
          <cell r="B222" t="str">
            <v>DEBAUCHE Pierre-Philippe</v>
          </cell>
          <cell r="C222" t="str">
            <v>DEBAUCHE Pierre-Philippe</v>
          </cell>
          <cell r="D222" t="str">
            <v>Notaris</v>
          </cell>
          <cell r="E222" t="str">
            <v>Rue de la Loi</v>
          </cell>
          <cell r="F222" t="str">
            <v>7</v>
          </cell>
          <cell r="G222" t="str">
            <v>bte 1</v>
          </cell>
          <cell r="H222" t="str">
            <v>7100</v>
          </cell>
          <cell r="I222" t="str">
            <v>Hainaut</v>
          </cell>
          <cell r="K222" t="str">
            <v>La Louvière</v>
          </cell>
          <cell r="M222" t="str">
            <v>M</v>
          </cell>
          <cell r="O222" t="str">
            <v>064.21.51.11</v>
          </cell>
          <cell r="P222" t="str">
            <v>064.21.51.13</v>
          </cell>
          <cell r="Q222" t="str">
            <v>PIERREPHILIPPE.DEBAUCHE@NOTAIRE.BE</v>
          </cell>
          <cell r="R222">
            <v>2627</v>
          </cell>
        </row>
        <row r="223">
          <cell r="A223">
            <v>222</v>
          </cell>
          <cell r="B223" t="str">
            <v>DEBERDT Benedikt</v>
          </cell>
          <cell r="C223" t="str">
            <v>DEBERDT Benedikt</v>
          </cell>
          <cell r="D223" t="str">
            <v>Notaris</v>
          </cell>
          <cell r="E223" t="str">
            <v>Europalaan</v>
          </cell>
          <cell r="F223" t="str">
            <v>33</v>
          </cell>
          <cell r="G223" t="str">
            <v/>
          </cell>
          <cell r="H223" t="str">
            <v>8700</v>
          </cell>
          <cell r="I223" t="str">
            <v>West-Vlaanderen</v>
          </cell>
          <cell r="K223" t="str">
            <v>Tielt</v>
          </cell>
          <cell r="L223">
            <v>22924</v>
          </cell>
          <cell r="M223" t="str">
            <v>M</v>
          </cell>
          <cell r="O223" t="str">
            <v>051.40.00.09</v>
          </cell>
          <cell r="P223" t="str">
            <v>051.40.14.02</v>
          </cell>
          <cell r="Q223" t="str">
            <v>BENEDIKT.DEBERDT@NOTARIS.BE</v>
          </cell>
          <cell r="R223">
            <v>3322</v>
          </cell>
        </row>
        <row r="224">
          <cell r="A224">
            <v>223</v>
          </cell>
          <cell r="B224" t="str">
            <v>DEBEUCKELAERE Heidi</v>
          </cell>
          <cell r="C224" t="str">
            <v>DEBEUCKELAERE Heidi</v>
          </cell>
          <cell r="D224" t="str">
            <v>Notaris</v>
          </cell>
          <cell r="E224" t="str">
            <v>Kerkstraat</v>
          </cell>
          <cell r="F224" t="str">
            <v>74</v>
          </cell>
          <cell r="G224" t="str">
            <v/>
          </cell>
          <cell r="H224" t="str">
            <v>2060</v>
          </cell>
          <cell r="I224" t="str">
            <v>Antwerpen</v>
          </cell>
          <cell r="K224" t="str">
            <v>Antwerpen</v>
          </cell>
          <cell r="M224" t="str">
            <v>Vr</v>
          </cell>
          <cell r="O224" t="str">
            <v>03.235.53.50</v>
          </cell>
          <cell r="P224" t="str">
            <v>03.235.59.13</v>
          </cell>
          <cell r="Q224" t="str">
            <v>HEIDI.DEBEUCKELAERE@NOTARIS.BE</v>
          </cell>
          <cell r="R224">
            <v>3194</v>
          </cell>
        </row>
        <row r="225">
          <cell r="A225">
            <v>224</v>
          </cell>
          <cell r="B225" t="str">
            <v>DE BIE Eric</v>
          </cell>
          <cell r="C225" t="str">
            <v>DeBie Eric</v>
          </cell>
          <cell r="D225" t="str">
            <v>Notaris</v>
          </cell>
          <cell r="E225" t="str">
            <v>Villapark</v>
          </cell>
          <cell r="F225" t="str">
            <v>2</v>
          </cell>
          <cell r="G225" t="str">
            <v>bus 3</v>
          </cell>
          <cell r="H225" t="str">
            <v>2180</v>
          </cell>
          <cell r="I225" t="str">
            <v>Antwerpen</v>
          </cell>
          <cell r="K225" t="str">
            <v>Ekeren Antwerpen)</v>
          </cell>
          <cell r="M225" t="str">
            <v>M</v>
          </cell>
          <cell r="O225" t="str">
            <v>03.541.13.52</v>
          </cell>
          <cell r="P225" t="str">
            <v>03.541.69.30</v>
          </cell>
          <cell r="Q225" t="str">
            <v>ERIC.DEBIE@NOTARIS.BE</v>
          </cell>
          <cell r="R225">
            <v>3352</v>
          </cell>
        </row>
        <row r="226">
          <cell r="A226">
            <v>225</v>
          </cell>
          <cell r="B226" t="str">
            <v>DE BLAUWE Paul</v>
          </cell>
          <cell r="C226" t="str">
            <v>DeBlauwe Paul</v>
          </cell>
          <cell r="D226" t="str">
            <v>Notaris</v>
          </cell>
          <cell r="E226" t="str">
            <v>Woumenweg</v>
          </cell>
          <cell r="F226" t="str">
            <v>260</v>
          </cell>
          <cell r="G226" t="str">
            <v/>
          </cell>
          <cell r="H226" t="str">
            <v>8600</v>
          </cell>
          <cell r="I226" t="str">
            <v>West-Vlaanderen</v>
          </cell>
          <cell r="K226" t="str">
            <v>Woumen</v>
          </cell>
          <cell r="L226">
            <v>15279</v>
          </cell>
          <cell r="M226" t="str">
            <v>M</v>
          </cell>
          <cell r="O226" t="str">
            <v>051.50.02.00</v>
          </cell>
          <cell r="P226" t="str">
            <v>051.50.33.01</v>
          </cell>
          <cell r="Q226" t="str">
            <v/>
          </cell>
          <cell r="R226">
            <v>210</v>
          </cell>
        </row>
        <row r="227">
          <cell r="A227">
            <v>226</v>
          </cell>
          <cell r="B227" t="str">
            <v>DE BLOCK Ann</v>
          </cell>
          <cell r="C227" t="str">
            <v>DeBlock Ann</v>
          </cell>
          <cell r="D227" t="str">
            <v>Notaris</v>
          </cell>
          <cell r="E227" t="str">
            <v>Kaai</v>
          </cell>
          <cell r="F227" t="str">
            <v>28</v>
          </cell>
          <cell r="G227" t="str">
            <v/>
          </cell>
          <cell r="H227" t="str">
            <v>2890</v>
          </cell>
          <cell r="I227" t="str">
            <v>Antwerpen</v>
          </cell>
          <cell r="K227" t="str">
            <v>Sint-Amands</v>
          </cell>
          <cell r="M227" t="str">
            <v>Vr</v>
          </cell>
          <cell r="O227" t="str">
            <v>052.33.30.46</v>
          </cell>
          <cell r="P227" t="str">
            <v>052.33.14.71</v>
          </cell>
          <cell r="Q227" t="str">
            <v>ANN.DEBLOCK@NOTARIS.BE</v>
          </cell>
          <cell r="R227">
            <v>3296</v>
          </cell>
        </row>
        <row r="228">
          <cell r="A228">
            <v>227</v>
          </cell>
          <cell r="B228" t="str">
            <v>DE BONDT Marleen</v>
          </cell>
          <cell r="C228" t="str">
            <v>DeBondt Marleen</v>
          </cell>
          <cell r="D228" t="str">
            <v>Notaris</v>
          </cell>
          <cell r="E228" t="str">
            <v>G. Gezellelaan</v>
          </cell>
          <cell r="F228" t="str">
            <v>22-24</v>
          </cell>
          <cell r="G228" t="str">
            <v/>
          </cell>
          <cell r="H228" t="str">
            <v>2870</v>
          </cell>
          <cell r="I228" t="str">
            <v>Antwerpen</v>
          </cell>
          <cell r="K228" t="str">
            <v>Puurs</v>
          </cell>
          <cell r="M228" t="str">
            <v>Vr</v>
          </cell>
          <cell r="O228" t="str">
            <v>03.889.00.22</v>
          </cell>
          <cell r="P228" t="str">
            <v>03.889.07.24</v>
          </cell>
          <cell r="Q228" t="str">
            <v>MARLEEN.DEBONDT@NOTARIS.BE</v>
          </cell>
          <cell r="R228">
            <v>3174</v>
          </cell>
        </row>
        <row r="229">
          <cell r="A229">
            <v>228</v>
          </cell>
          <cell r="B229" t="str">
            <v>DEBOUCHE Frédéric</v>
          </cell>
          <cell r="C229" t="str">
            <v>DEBOUCHE Frédéric</v>
          </cell>
          <cell r="D229" t="str">
            <v>Notaris</v>
          </cell>
          <cell r="E229" t="str">
            <v>Grand-Place</v>
          </cell>
          <cell r="F229" t="str">
            <v>28</v>
          </cell>
          <cell r="G229" t="str">
            <v/>
          </cell>
          <cell r="H229" t="str">
            <v>7070</v>
          </cell>
          <cell r="I229" t="str">
            <v>Hainaut</v>
          </cell>
          <cell r="K229" t="str">
            <v>Le Roeulx</v>
          </cell>
          <cell r="M229" t="str">
            <v>M</v>
          </cell>
          <cell r="O229" t="str">
            <v>064.66.20.39</v>
          </cell>
          <cell r="P229" t="str">
            <v>064.67.66.82</v>
          </cell>
          <cell r="Q229" t="str">
            <v>frederic.debouche@belnot.be</v>
          </cell>
          <cell r="R229">
            <v>3069</v>
          </cell>
        </row>
        <row r="230">
          <cell r="A230">
            <v>229</v>
          </cell>
          <cell r="B230" t="str">
            <v>DEBOUCHE Gérard</v>
          </cell>
          <cell r="C230" t="str">
            <v>DEBOUCHE Gérard</v>
          </cell>
          <cell r="D230" t="str">
            <v>Notaris</v>
          </cell>
          <cell r="E230" t="str">
            <v>Place du Trichon</v>
          </cell>
          <cell r="F230" t="str">
            <v>3</v>
          </cell>
          <cell r="G230" t="str">
            <v/>
          </cell>
          <cell r="H230" t="str">
            <v>7181</v>
          </cell>
          <cell r="I230" t="str">
            <v>Hainaut</v>
          </cell>
          <cell r="K230" t="str">
            <v>Feluy</v>
          </cell>
          <cell r="M230" t="str">
            <v>M</v>
          </cell>
          <cell r="O230" t="str">
            <v>067.21.11.11</v>
          </cell>
          <cell r="P230" t="str">
            <v>067.87.84.63</v>
          </cell>
          <cell r="Q230" t="str">
            <v>GERARD.DEBOUCHE@NOTAIRE.BE</v>
          </cell>
          <cell r="R230">
            <v>3151</v>
          </cell>
        </row>
        <row r="231">
          <cell r="A231">
            <v>230</v>
          </cell>
          <cell r="B231" t="str">
            <v>DEBOUCHE Henri</v>
          </cell>
          <cell r="C231" t="str">
            <v>DEBOUCHE Henri</v>
          </cell>
          <cell r="D231" t="str">
            <v>Notaris</v>
          </cell>
          <cell r="E231" t="str">
            <v>rue de la Ridale</v>
          </cell>
          <cell r="F231" t="str">
            <v>5</v>
          </cell>
          <cell r="G231" t="str">
            <v/>
          </cell>
          <cell r="H231" t="str">
            <v>5081</v>
          </cell>
          <cell r="I231" t="str">
            <v>Namur</v>
          </cell>
          <cell r="K231" t="str">
            <v>Meux</v>
          </cell>
          <cell r="M231" t="str">
            <v>M</v>
          </cell>
          <cell r="O231" t="str">
            <v>081.56.62.56</v>
          </cell>
          <cell r="P231" t="str">
            <v>081.56.86.06</v>
          </cell>
          <cell r="Q231" t="str">
            <v>henri.debouche@belnot.be</v>
          </cell>
          <cell r="R231">
            <v>3446</v>
          </cell>
        </row>
        <row r="232">
          <cell r="A232">
            <v>231</v>
          </cell>
          <cell r="B232" t="str">
            <v>DEBOUCHE Pierre-Alexandre</v>
          </cell>
          <cell r="C232" t="str">
            <v>DEBOUCHE Pierre-Alexandre</v>
          </cell>
          <cell r="D232" t="str">
            <v>Notaris</v>
          </cell>
          <cell r="E232" t="str">
            <v>Rue des Volontaires</v>
          </cell>
          <cell r="F232" t="str">
            <v>18</v>
          </cell>
          <cell r="G232" t="str">
            <v/>
          </cell>
          <cell r="H232" t="str">
            <v>5030</v>
          </cell>
          <cell r="I232" t="str">
            <v>Namur</v>
          </cell>
          <cell r="K232" t="str">
            <v>Gembloux</v>
          </cell>
          <cell r="M232" t="str">
            <v>M</v>
          </cell>
          <cell r="O232" t="str">
            <v>081.62.50.80</v>
          </cell>
          <cell r="P232" t="str">
            <v>081.61.00.69</v>
          </cell>
          <cell r="Q232" t="str">
            <v>PIERREALEXANDRE.DEBOUCHE@NOTAIRE.BE</v>
          </cell>
          <cell r="R232">
            <v>3087</v>
          </cell>
        </row>
        <row r="233">
          <cell r="A233">
            <v>232</v>
          </cell>
          <cell r="B233" t="str">
            <v>DE BOUNGNE Francis</v>
          </cell>
          <cell r="C233" t="str">
            <v>DeBougne Francis</v>
          </cell>
          <cell r="D233" t="str">
            <v>Notaris</v>
          </cell>
          <cell r="E233" t="str">
            <v>Vogelenzangstraat</v>
          </cell>
          <cell r="F233" t="str">
            <v>4</v>
          </cell>
          <cell r="G233" t="str">
            <v/>
          </cell>
          <cell r="H233" t="str">
            <v>2920</v>
          </cell>
          <cell r="I233" t="str">
            <v>Antwerpen</v>
          </cell>
          <cell r="K233" t="str">
            <v>Kalmthout</v>
          </cell>
          <cell r="M233" t="str">
            <v>M</v>
          </cell>
          <cell r="O233" t="str">
            <v>03.666.80.35</v>
          </cell>
          <cell r="P233" t="str">
            <v>03.666.75.16</v>
          </cell>
          <cell r="Q233" t="str">
            <v>FRANCIS.DEBOUNGNE@NOTARIS.BE</v>
          </cell>
          <cell r="R233">
            <v>2403</v>
          </cell>
        </row>
        <row r="234">
          <cell r="A234">
            <v>233</v>
          </cell>
          <cell r="B234" t="str">
            <v>DE BRABANDER Pierre</v>
          </cell>
          <cell r="C234" t="str">
            <v>DeBrabander Pierre</v>
          </cell>
          <cell r="D234" t="str">
            <v>Notaris</v>
          </cell>
          <cell r="E234" t="str">
            <v>Eksaardedorp</v>
          </cell>
          <cell r="F234" t="str">
            <v>84</v>
          </cell>
          <cell r="G234" t="str">
            <v/>
          </cell>
          <cell r="H234" t="str">
            <v>9160</v>
          </cell>
          <cell r="I234" t="str">
            <v>Oost-Vlaanderen</v>
          </cell>
          <cell r="K234" t="str">
            <v>Eksaarde</v>
          </cell>
          <cell r="M234" t="str">
            <v>M</v>
          </cell>
          <cell r="O234" t="str">
            <v>09.346.82.93</v>
          </cell>
          <cell r="P234" t="str">
            <v>09.346.77.74</v>
          </cell>
          <cell r="Q234" t="str">
            <v>PIERRE.DEBRABANDER@NOTARIS.BE</v>
          </cell>
          <cell r="R234">
            <v>3114</v>
          </cell>
        </row>
        <row r="235">
          <cell r="A235">
            <v>234</v>
          </cell>
          <cell r="B235" t="str">
            <v>Charles DEBRAY</v>
          </cell>
          <cell r="C235" t="str">
            <v>Debray Charles</v>
          </cell>
          <cell r="D235" t="str">
            <v>Notaris</v>
          </cell>
          <cell r="E235" t="str">
            <v>Rue de la Vallée</v>
          </cell>
          <cell r="F235" t="str">
            <v>51</v>
          </cell>
          <cell r="G235" t="str">
            <v/>
          </cell>
          <cell r="H235" t="str">
            <v>6200</v>
          </cell>
          <cell r="I235" t="str">
            <v>Hainaut</v>
          </cell>
          <cell r="K235" t="str">
            <v>Châtelineau</v>
          </cell>
          <cell r="M235" t="str">
            <v>M</v>
          </cell>
          <cell r="O235" t="str">
            <v>071.38.00.14</v>
          </cell>
          <cell r="P235" t="str">
            <v>071.39.73.71</v>
          </cell>
          <cell r="Q235" t="str">
            <v>charles.debray@notaire.be</v>
          </cell>
          <cell r="R235">
            <v>3634</v>
          </cell>
          <cell r="S235" t="str">
            <v>001-0600951-15</v>
          </cell>
          <cell r="T235">
            <v>38418</v>
          </cell>
        </row>
        <row r="236">
          <cell r="A236">
            <v>235</v>
          </cell>
          <cell r="B236" t="str">
            <v>DE BRUYN Johan</v>
          </cell>
          <cell r="C236" t="str">
            <v>DeBruyn Johan</v>
          </cell>
          <cell r="D236" t="str">
            <v>Notaris</v>
          </cell>
          <cell r="E236" t="str">
            <v>Brusselsesteenweg</v>
          </cell>
          <cell r="F236" t="str">
            <v>63</v>
          </cell>
          <cell r="G236" t="str">
            <v/>
          </cell>
          <cell r="H236" t="str">
            <v>1980</v>
          </cell>
          <cell r="I236" t="str">
            <v>Vlaams Brabant</v>
          </cell>
          <cell r="K236" t="str">
            <v>Zemst</v>
          </cell>
          <cell r="M236" t="str">
            <v>M</v>
          </cell>
          <cell r="O236" t="str">
            <v>015.61.15.26</v>
          </cell>
          <cell r="P236" t="str">
            <v>015.61.77.12</v>
          </cell>
          <cell r="Q236" t="str">
            <v>JOHAN.DEBRUYN@NOTARIS.BE</v>
          </cell>
          <cell r="R236">
            <v>3417</v>
          </cell>
        </row>
        <row r="237">
          <cell r="A237">
            <v>236</v>
          </cell>
          <cell r="B237" t="str">
            <v>Debucquoy Filip</v>
          </cell>
          <cell r="C237" t="str">
            <v>Debucquoy Filip</v>
          </cell>
          <cell r="D237" t="str">
            <v>Notaris</v>
          </cell>
          <cell r="K237" t="str">
            <v>Kinrooi</v>
          </cell>
          <cell r="M237" t="str">
            <v>M</v>
          </cell>
          <cell r="T237">
            <v>38441</v>
          </cell>
        </row>
        <row r="238">
          <cell r="A238">
            <v>237</v>
          </cell>
          <cell r="B238" t="str">
            <v>DEBUCQUOY Frans</v>
          </cell>
          <cell r="C238" t="str">
            <v>DEBUCQUOY Frans</v>
          </cell>
          <cell r="D238" t="str">
            <v>Notaris</v>
          </cell>
          <cell r="E238" t="str">
            <v>Neerhofstraat</v>
          </cell>
          <cell r="F238" t="str">
            <v>32</v>
          </cell>
          <cell r="G238" t="str">
            <v/>
          </cell>
          <cell r="H238" t="str">
            <v>8560</v>
          </cell>
          <cell r="I238" t="str">
            <v>West-Vlaanderen</v>
          </cell>
          <cell r="K238" t="str">
            <v>Wevelgem</v>
          </cell>
          <cell r="L238">
            <v>16345</v>
          </cell>
          <cell r="M238" t="str">
            <v>M</v>
          </cell>
          <cell r="O238" t="str">
            <v>056.41.21.19</v>
          </cell>
          <cell r="P238" t="str">
            <v>056.42.25.16</v>
          </cell>
          <cell r="Q238" t="str">
            <v>FRANS.DEBUCQUOY@NOTARIS.BE</v>
          </cell>
          <cell r="R238">
            <v>1333</v>
          </cell>
        </row>
        <row r="239">
          <cell r="A239">
            <v>238</v>
          </cell>
          <cell r="B239" t="str">
            <v>Hendrik DEBUCQUOY</v>
          </cell>
          <cell r="C239" t="str">
            <v>Debucquoy Hendrik</v>
          </cell>
          <cell r="D239" t="str">
            <v>Notaris</v>
          </cell>
          <cell r="E239" t="str">
            <v>Parklaan</v>
          </cell>
          <cell r="F239" t="str">
            <v>6</v>
          </cell>
          <cell r="G239" t="str">
            <v/>
          </cell>
          <cell r="H239" t="str">
            <v>8600</v>
          </cell>
          <cell r="I239" t="str">
            <v>West-Vlaanderen</v>
          </cell>
          <cell r="K239" t="str">
            <v>Diksmuide</v>
          </cell>
          <cell r="M239" t="str">
            <v>M</v>
          </cell>
          <cell r="O239" t="str">
            <v>051/50.02.29</v>
          </cell>
          <cell r="P239" t="str">
            <v>051/50.48.42</v>
          </cell>
          <cell r="Q239" t="str">
            <v>hendrik.debucquoy@notaris.be</v>
          </cell>
          <cell r="R239">
            <v>3660</v>
          </cell>
          <cell r="T239">
            <v>38694</v>
          </cell>
        </row>
        <row r="240">
          <cell r="A240">
            <v>239</v>
          </cell>
          <cell r="B240" t="str">
            <v>DEBUCQUOY Ludo</v>
          </cell>
          <cell r="C240" t="str">
            <v>DEBUCQUOY Ludo</v>
          </cell>
          <cell r="D240" t="str">
            <v>Notaris</v>
          </cell>
          <cell r="E240" t="str">
            <v>4e Regiment Karabiniersstraat</v>
          </cell>
          <cell r="F240" t="str">
            <v>5</v>
          </cell>
          <cell r="G240" t="str">
            <v/>
          </cell>
          <cell r="H240" t="str">
            <v>8980</v>
          </cell>
          <cell r="I240" t="str">
            <v>West-Vlaanderen</v>
          </cell>
          <cell r="K240" t="str">
            <v>Passendale</v>
          </cell>
          <cell r="L240">
            <v>18407</v>
          </cell>
          <cell r="M240" t="str">
            <v>M</v>
          </cell>
          <cell r="O240" t="str">
            <v>051.77.70.08</v>
          </cell>
          <cell r="P240" t="str">
            <v>051.77.13.35</v>
          </cell>
          <cell r="Q240" t="str">
            <v>LUDO.DEBUCQUOY@NOTARIS.BE</v>
          </cell>
          <cell r="R240">
            <v>2592</v>
          </cell>
        </row>
        <row r="241">
          <cell r="A241">
            <v>240</v>
          </cell>
          <cell r="B241" t="str">
            <v>de BURLET Luc</v>
          </cell>
          <cell r="C241" t="str">
            <v>deBurlet Luc</v>
          </cell>
          <cell r="D241" t="str">
            <v>Notaris</v>
          </cell>
          <cell r="E241" t="str">
            <v>Place Saint Vincent</v>
          </cell>
          <cell r="F241" t="str">
            <v>18</v>
          </cell>
          <cell r="G241" t="str">
            <v/>
          </cell>
          <cell r="H241" t="str">
            <v>1457</v>
          </cell>
          <cell r="I241" t="str">
            <v>Brabant Wallon</v>
          </cell>
          <cell r="K241" t="str">
            <v>Walhain</v>
          </cell>
          <cell r="M241" t="str">
            <v>M</v>
          </cell>
          <cell r="O241" t="str">
            <v>010.65.51.35</v>
          </cell>
          <cell r="P241" t="str">
            <v>010.65.52.52</v>
          </cell>
          <cell r="Q241" t="str">
            <v>LUC.DEBURLET@NOTAIRE.BE</v>
          </cell>
          <cell r="R241">
            <v>2625</v>
          </cell>
        </row>
        <row r="242">
          <cell r="A242">
            <v>241</v>
          </cell>
          <cell r="B242" t="str">
            <v>DE BUS SERGEYSSENS Patrick</v>
          </cell>
          <cell r="C242" t="str">
            <v>DeBusSergeyssens Patrick</v>
          </cell>
          <cell r="D242" t="str">
            <v>Notaris</v>
          </cell>
          <cell r="E242" t="str">
            <v>Helmstraat</v>
          </cell>
          <cell r="F242" t="str">
            <v>68</v>
          </cell>
          <cell r="G242" t="str">
            <v/>
          </cell>
          <cell r="H242" t="str">
            <v>2140</v>
          </cell>
          <cell r="I242" t="str">
            <v>Antwerpen</v>
          </cell>
          <cell r="K242" t="str">
            <v>Borgerhout Antwerpen)</v>
          </cell>
          <cell r="M242" t="str">
            <v>M</v>
          </cell>
          <cell r="O242" t="str">
            <v>03.236.19.23</v>
          </cell>
          <cell r="P242" t="str">
            <v>03.235.39.53</v>
          </cell>
          <cell r="Q242" t="str">
            <v>PATRICK.DEBUSSERGEYSSENS@NOTARIS.BE</v>
          </cell>
          <cell r="R242">
            <v>3371</v>
          </cell>
        </row>
        <row r="243">
          <cell r="A243">
            <v>242</v>
          </cell>
          <cell r="B243" t="str">
            <v>BVBA Jo DEBYSER Notaris</v>
          </cell>
          <cell r="C243" t="str">
            <v>Debyser Jo</v>
          </cell>
          <cell r="D243" t="str">
            <v>Notaris</v>
          </cell>
          <cell r="E243" t="str">
            <v>Stationsstraat</v>
          </cell>
          <cell r="F243" t="str">
            <v>69</v>
          </cell>
          <cell r="G243" t="str">
            <v/>
          </cell>
          <cell r="H243" t="str">
            <v>8850</v>
          </cell>
          <cell r="I243" t="str">
            <v>West-Vlaanderen</v>
          </cell>
          <cell r="K243" t="str">
            <v>Ardooie</v>
          </cell>
          <cell r="L243">
            <v>22666</v>
          </cell>
          <cell r="M243" t="str">
            <v>M</v>
          </cell>
          <cell r="O243" t="str">
            <v>051.74.42.32</v>
          </cell>
          <cell r="P243" t="str">
            <v>051.74.81.71</v>
          </cell>
          <cell r="Q243" t="str">
            <v>JO.DEBYSER@NOTARIS.BE</v>
          </cell>
          <cell r="R243">
            <v>2918</v>
          </cell>
        </row>
        <row r="244">
          <cell r="A244">
            <v>243</v>
          </cell>
          <cell r="B244" t="str">
            <v>DECHAMPS Yves</v>
          </cell>
          <cell r="C244" t="str">
            <v>DECHAMPS Yves</v>
          </cell>
          <cell r="D244" t="str">
            <v>Notaris</v>
          </cell>
          <cell r="E244" t="str">
            <v>Boulevard Lambermontlaan</v>
          </cell>
          <cell r="F244" t="str">
            <v>374</v>
          </cell>
          <cell r="G244" t="str">
            <v/>
          </cell>
          <cell r="H244" t="str">
            <v>1030</v>
          </cell>
          <cell r="I244" t="str">
            <v>Bruxelles</v>
          </cell>
          <cell r="K244" t="str">
            <v>Bruxelles</v>
          </cell>
          <cell r="M244" t="str">
            <v>M</v>
          </cell>
          <cell r="O244" t="str">
            <v>02.216.88.33</v>
          </cell>
          <cell r="P244" t="str">
            <v>02.215.37.54</v>
          </cell>
          <cell r="Q244" t="str">
            <v>YVES.DECHAMPS@NOTAIRE.BE</v>
          </cell>
          <cell r="R244">
            <v>108</v>
          </cell>
          <cell r="T244">
            <v>38565</v>
          </cell>
        </row>
        <row r="245">
          <cell r="A245">
            <v>244</v>
          </cell>
          <cell r="B245" t="str">
            <v>BERQUIN NOTARISSEN - BERQUIN NOTAIRES</v>
          </cell>
          <cell r="C245" t="str">
            <v>Deckers Denis</v>
          </cell>
          <cell r="D245" t="str">
            <v>Geassocieerd Notaris</v>
          </cell>
          <cell r="E245" t="str">
            <v>Avenue Lloyd Georgelaan</v>
          </cell>
          <cell r="F245" t="str">
            <v>11</v>
          </cell>
          <cell r="G245" t="str">
            <v/>
          </cell>
          <cell r="H245" t="str">
            <v>1000</v>
          </cell>
          <cell r="I245" t="str">
            <v>Bruxelles</v>
          </cell>
          <cell r="K245" t="str">
            <v>Bruxelles</v>
          </cell>
          <cell r="M245" t="str">
            <v>M</v>
          </cell>
          <cell r="O245" t="str">
            <v>02.645.19.45</v>
          </cell>
          <cell r="P245" t="str">
            <v>02.645.19.86</v>
          </cell>
          <cell r="Q245" t="str">
            <v>DENIS.DECKERS@NOTAIRE.BE</v>
          </cell>
          <cell r="R245">
            <v>3224</v>
          </cell>
        </row>
        <row r="246">
          <cell r="A246">
            <v>245</v>
          </cell>
          <cell r="B246" t="str">
            <v>DECKERS DE GRAEVE SLEDSENS &amp; VAN DEN BERGH</v>
          </cell>
          <cell r="C246" t="str">
            <v>Deckers Eric</v>
          </cell>
          <cell r="D246" t="str">
            <v>Geassocieerd Notaris</v>
          </cell>
          <cell r="E246" t="str">
            <v>Broederminstraat</v>
          </cell>
          <cell r="F246" t="str">
            <v>9</v>
          </cell>
          <cell r="G246" t="str">
            <v/>
          </cell>
          <cell r="H246" t="str">
            <v>2018</v>
          </cell>
          <cell r="I246" t="str">
            <v>Antwerpen</v>
          </cell>
          <cell r="K246" t="str">
            <v>Antwerpen</v>
          </cell>
          <cell r="M246" t="str">
            <v>M</v>
          </cell>
          <cell r="O246" t="str">
            <v>03.233.90.66</v>
          </cell>
          <cell r="P246" t="str">
            <v>03.234.23.86</v>
          </cell>
          <cell r="Q246" t="str">
            <v>ERIC.DECKERS@NOTARIS.BE</v>
          </cell>
          <cell r="R246">
            <v>3523</v>
          </cell>
        </row>
        <row r="247">
          <cell r="A247">
            <v>246</v>
          </cell>
          <cell r="B247" t="str">
            <v>DECLAIRFAYT Jean-Paul</v>
          </cell>
          <cell r="C247" t="str">
            <v>DECLAIRFAYT Jean-Paul</v>
          </cell>
          <cell r="D247" t="str">
            <v>Notaris</v>
          </cell>
          <cell r="E247" t="str">
            <v>Rue Jaumain</v>
          </cell>
          <cell r="F247" t="str">
            <v>9</v>
          </cell>
          <cell r="G247" t="str">
            <v/>
          </cell>
          <cell r="H247" t="str">
            <v>5330</v>
          </cell>
          <cell r="I247" t="str">
            <v>Namur</v>
          </cell>
          <cell r="K247" t="str">
            <v>Assesse</v>
          </cell>
          <cell r="M247" t="str">
            <v>M</v>
          </cell>
          <cell r="O247" t="str">
            <v>083.65.50.96</v>
          </cell>
          <cell r="P247" t="str">
            <v>083.65.62.67</v>
          </cell>
          <cell r="Q247" t="str">
            <v>JEANPAUL.DECLAIRFAYT@NOTAIRE.BE</v>
          </cell>
          <cell r="R247">
            <v>2461</v>
          </cell>
        </row>
        <row r="248">
          <cell r="A248">
            <v>247</v>
          </cell>
          <cell r="B248" t="str">
            <v>DE CLEENE BENOIT - DE DEKEN YVES</v>
          </cell>
          <cell r="C248" t="str">
            <v>Decleene Benoit</v>
          </cell>
          <cell r="D248" t="str">
            <v>Geassocieerd Notaris</v>
          </cell>
          <cell r="E248" t="str">
            <v>Jodenstraat</v>
          </cell>
          <cell r="F248" t="str">
            <v>12</v>
          </cell>
          <cell r="G248" t="str">
            <v/>
          </cell>
          <cell r="H248" t="str">
            <v>2000</v>
          </cell>
          <cell r="I248" t="str">
            <v>Antwerpen</v>
          </cell>
          <cell r="K248" t="str">
            <v>Antwerpen</v>
          </cell>
          <cell r="M248" t="str">
            <v>M</v>
          </cell>
          <cell r="O248" t="str">
            <v>03.470.28.00</v>
          </cell>
          <cell r="P248" t="str">
            <v>03.233.85.21</v>
          </cell>
          <cell r="Q248" t="str">
            <v>BENOIT.DECLEENE@NOTARIS.BE</v>
          </cell>
          <cell r="R248">
            <v>3489</v>
          </cell>
        </row>
        <row r="249">
          <cell r="A249">
            <v>248</v>
          </cell>
          <cell r="B249" t="str">
            <v>Declerck Christophe</v>
          </cell>
          <cell r="C249" t="str">
            <v>Declerck Christophe</v>
          </cell>
          <cell r="D249" t="str">
            <v>Notaris</v>
          </cell>
          <cell r="E249" t="str">
            <v>Rue Large Voie</v>
          </cell>
          <cell r="F249" t="str">
            <v>228</v>
          </cell>
          <cell r="G249" t="str">
            <v/>
          </cell>
          <cell r="H249" t="str">
            <v>4040</v>
          </cell>
          <cell r="I249" t="str">
            <v>Liège</v>
          </cell>
          <cell r="K249" t="str">
            <v>Herstal</v>
          </cell>
          <cell r="M249" t="str">
            <v>M</v>
          </cell>
          <cell r="O249" t="str">
            <v>04.264.06.80</v>
          </cell>
          <cell r="P249" t="str">
            <v>04.264.77.75</v>
          </cell>
          <cell r="Q249" t="str">
            <v>christophe.declerck@notaire.be</v>
          </cell>
          <cell r="R249">
            <v>2483</v>
          </cell>
          <cell r="S249" t="str">
            <v>068-2460042-52</v>
          </cell>
          <cell r="T249" t="str">
            <v>*2004</v>
          </cell>
        </row>
        <row r="250">
          <cell r="A250">
            <v>249</v>
          </cell>
          <cell r="B250" t="str">
            <v>DECLERCK Henry</v>
          </cell>
          <cell r="C250" t="str">
            <v>DECLERCK Henry</v>
          </cell>
          <cell r="D250" t="str">
            <v>Notaris</v>
          </cell>
          <cell r="E250" t="str">
            <v>Statiestraat</v>
          </cell>
          <cell r="F250" t="str">
            <v>41</v>
          </cell>
          <cell r="G250" t="str">
            <v/>
          </cell>
          <cell r="H250" t="str">
            <v>8810</v>
          </cell>
          <cell r="I250" t="str">
            <v>West-Vlaanderen</v>
          </cell>
          <cell r="K250" t="str">
            <v>Lichtervelde</v>
          </cell>
          <cell r="L250">
            <v>21662</v>
          </cell>
          <cell r="M250" t="str">
            <v>M</v>
          </cell>
          <cell r="O250" t="str">
            <v>051.72.20.64</v>
          </cell>
          <cell r="P250" t="str">
            <v>051.72.63.08</v>
          </cell>
          <cell r="Q250" t="str">
            <v>henry.declerck@notaris.be</v>
          </cell>
          <cell r="R250">
            <v>3617</v>
          </cell>
        </row>
        <row r="251">
          <cell r="A251">
            <v>250</v>
          </cell>
          <cell r="B251" t="str">
            <v>DECLERCQ - VANDEURZEN</v>
          </cell>
          <cell r="C251" t="str">
            <v>Declercq Caroline</v>
          </cell>
          <cell r="D251" t="str">
            <v>Geassocieerd Notaris</v>
          </cell>
          <cell r="E251" t="str">
            <v>Sint-Maartensplein</v>
          </cell>
          <cell r="F251" t="str">
            <v>13</v>
          </cell>
          <cell r="G251" t="str">
            <v/>
          </cell>
          <cell r="H251" t="str">
            <v>8680</v>
          </cell>
          <cell r="I251" t="str">
            <v>West-Vlaanderen</v>
          </cell>
          <cell r="K251" t="str">
            <v>Koekelare</v>
          </cell>
          <cell r="L251">
            <v>24849</v>
          </cell>
          <cell r="M251" t="str">
            <v>Vr</v>
          </cell>
          <cell r="O251" t="str">
            <v>051.58.80.34</v>
          </cell>
          <cell r="P251" t="str">
            <v>051.58.33.35</v>
          </cell>
          <cell r="Q251" t="str">
            <v>CAROLINE.DECLERCQ@NOTARIS.BE</v>
          </cell>
          <cell r="R251">
            <v>3648</v>
          </cell>
        </row>
        <row r="252">
          <cell r="A252">
            <v>251</v>
          </cell>
          <cell r="B252" t="str">
            <v>DECLERCQ Dirk</v>
          </cell>
          <cell r="C252" t="str">
            <v>DECLERCQ Dirk</v>
          </cell>
          <cell r="D252" t="str">
            <v>Notaris</v>
          </cell>
          <cell r="E252" t="str">
            <v>Kortrijkstraat</v>
          </cell>
          <cell r="F252" t="str">
            <v>80</v>
          </cell>
          <cell r="G252" t="str">
            <v/>
          </cell>
          <cell r="H252" t="str">
            <v>8550</v>
          </cell>
          <cell r="I252" t="str">
            <v>West-Vlaanderen</v>
          </cell>
          <cell r="K252" t="str">
            <v>Zwevegem</v>
          </cell>
          <cell r="L252">
            <v>24789</v>
          </cell>
          <cell r="M252" t="str">
            <v>M</v>
          </cell>
          <cell r="O252" t="str">
            <v>056.76.00.00</v>
          </cell>
          <cell r="P252" t="str">
            <v>056.76.00.01</v>
          </cell>
          <cell r="Q252" t="str">
            <v>DIRK.DECLERCQ@NOTARIS.BE</v>
          </cell>
          <cell r="R252">
            <v>3435</v>
          </cell>
        </row>
        <row r="253">
          <cell r="A253">
            <v>252</v>
          </cell>
          <cell r="B253" t="str">
            <v>DE CLIPPEL François</v>
          </cell>
          <cell r="C253" t="str">
            <v>DeClippel François</v>
          </cell>
          <cell r="D253" t="str">
            <v>Notaris</v>
          </cell>
          <cell r="E253" t="str">
            <v>Dr. Em. Van Winckellaan</v>
          </cell>
          <cell r="F253" t="str">
            <v>7</v>
          </cell>
          <cell r="G253" t="str">
            <v/>
          </cell>
          <cell r="H253" t="str">
            <v>9200</v>
          </cell>
          <cell r="I253" t="str">
            <v>Oost-Vlaanderen</v>
          </cell>
          <cell r="K253" t="str">
            <v>Dendermonde</v>
          </cell>
          <cell r="M253" t="str">
            <v>M</v>
          </cell>
          <cell r="O253" t="str">
            <v>052.20.28.59</v>
          </cell>
          <cell r="P253" t="str">
            <v>052.20.28.60</v>
          </cell>
          <cell r="Q253" t="str">
            <v>FRANCOIS.DECLIPPEL@NOTARIS.BE</v>
          </cell>
          <cell r="R253">
            <v>3339</v>
          </cell>
        </row>
        <row r="254">
          <cell r="A254">
            <v>253</v>
          </cell>
          <cell r="B254" t="str">
            <v>de CLIPPELE &amp; DEGOMME</v>
          </cell>
          <cell r="C254" t="str">
            <v>deClippele Olivier</v>
          </cell>
          <cell r="D254" t="str">
            <v>Geassocieerd Notaris</v>
          </cell>
          <cell r="E254" t="str">
            <v>Avenue Louise</v>
          </cell>
          <cell r="F254" t="str">
            <v>85</v>
          </cell>
          <cell r="G254" t="str">
            <v>bte 1</v>
          </cell>
          <cell r="H254" t="str">
            <v>1050</v>
          </cell>
          <cell r="I254" t="str">
            <v>Bruxelles</v>
          </cell>
          <cell r="K254" t="str">
            <v>Bruxelles</v>
          </cell>
          <cell r="M254" t="str">
            <v>M</v>
          </cell>
          <cell r="O254" t="str">
            <v>02.538.60.76</v>
          </cell>
          <cell r="P254" t="str">
            <v>02.538.52.06</v>
          </cell>
          <cell r="Q254" t="str">
            <v>OLIVIER.DECLIPPELE@NOTAIRE.BE</v>
          </cell>
          <cell r="R254">
            <v>3505</v>
          </cell>
        </row>
        <row r="255">
          <cell r="A255">
            <v>254</v>
          </cell>
          <cell r="B255" t="str">
            <v>Notaris Caroline DE CORT</v>
          </cell>
          <cell r="C255" t="str">
            <v>DeCort Caroline</v>
          </cell>
          <cell r="D255" t="str">
            <v>Notaris</v>
          </cell>
          <cell r="E255" t="str">
            <v>Bist</v>
          </cell>
          <cell r="F255" t="str">
            <v>163</v>
          </cell>
          <cell r="G255" t="str">
            <v/>
          </cell>
          <cell r="H255" t="str">
            <v>2610</v>
          </cell>
          <cell r="I255" t="str">
            <v>Antwerpen</v>
          </cell>
          <cell r="K255" t="str">
            <v>Wilrijk Antwerpen)</v>
          </cell>
          <cell r="M255" t="str">
            <v>Vr</v>
          </cell>
          <cell r="O255" t="str">
            <v>03.827.12.22</v>
          </cell>
          <cell r="P255" t="str">
            <v>03.830.49.87</v>
          </cell>
          <cell r="Q255" t="str">
            <v>CAROLINE.DECORT@NOTARIS.BE</v>
          </cell>
          <cell r="R255">
            <v>3235</v>
          </cell>
        </row>
        <row r="256">
          <cell r="A256">
            <v>255</v>
          </cell>
          <cell r="B256" t="str">
            <v>DE COSTER Joan</v>
          </cell>
          <cell r="C256" t="str">
            <v>DeCoster Johan</v>
          </cell>
          <cell r="D256" t="str">
            <v>Notaris</v>
          </cell>
          <cell r="E256" t="str">
            <v>Kiliaanstraat</v>
          </cell>
          <cell r="F256" t="str">
            <v>14</v>
          </cell>
          <cell r="G256" t="str">
            <v/>
          </cell>
          <cell r="H256" t="str">
            <v>2570</v>
          </cell>
          <cell r="I256" t="str">
            <v>Antwerpen</v>
          </cell>
          <cell r="K256" t="str">
            <v>Duffel</v>
          </cell>
          <cell r="M256" t="str">
            <v>M</v>
          </cell>
          <cell r="O256" t="str">
            <v>015.31.31.75</v>
          </cell>
          <cell r="P256" t="str">
            <v>015.31.50.51</v>
          </cell>
          <cell r="Q256" t="str">
            <v>JOAN.DECOSTER@NOTARIS.BE</v>
          </cell>
          <cell r="R256">
            <v>89</v>
          </cell>
        </row>
        <row r="257">
          <cell r="A257">
            <v>256</v>
          </cell>
          <cell r="B257" t="str">
            <v>DECOSTER Louis</v>
          </cell>
          <cell r="C257" t="str">
            <v>DECOSTER Louis</v>
          </cell>
          <cell r="D257" t="str">
            <v>Notaris</v>
          </cell>
          <cell r="E257" t="str">
            <v>Avenue Louis Bertrandlaan</v>
          </cell>
          <cell r="F257" t="str">
            <v>2</v>
          </cell>
          <cell r="G257" t="str">
            <v>bte 1</v>
          </cell>
          <cell r="H257" t="str">
            <v>1030</v>
          </cell>
          <cell r="I257" t="str">
            <v>Bruxelles</v>
          </cell>
          <cell r="K257" t="str">
            <v>Bruxelles</v>
          </cell>
          <cell r="M257" t="str">
            <v>M</v>
          </cell>
          <cell r="O257" t="str">
            <v>02.215.50.34</v>
          </cell>
          <cell r="P257" t="str">
            <v>02.216.62.26</v>
          </cell>
          <cell r="Q257" t="str">
            <v>LOUIS.DECOSTER@NOTAIRE.BE</v>
          </cell>
          <cell r="R257">
            <v>3062</v>
          </cell>
        </row>
        <row r="258">
          <cell r="A258">
            <v>257</v>
          </cell>
          <cell r="B258" t="str">
            <v>DECROYER Sylvie</v>
          </cell>
          <cell r="C258" t="str">
            <v>DECROYER Sylvie</v>
          </cell>
          <cell r="D258" t="str">
            <v>Notaris</v>
          </cell>
          <cell r="E258" t="str">
            <v>Rue Desmottes</v>
          </cell>
          <cell r="F258" t="str">
            <v>14</v>
          </cell>
          <cell r="G258" t="str">
            <v/>
          </cell>
          <cell r="H258" t="str">
            <v>7910</v>
          </cell>
          <cell r="I258" t="str">
            <v>Hainaut</v>
          </cell>
          <cell r="K258" t="str">
            <v>Frasnes-lez-Anvaing</v>
          </cell>
          <cell r="M258" t="str">
            <v>Vr</v>
          </cell>
          <cell r="O258" t="str">
            <v>069.86.65.77</v>
          </cell>
          <cell r="P258" t="str">
            <v>069.86.75.95</v>
          </cell>
          <cell r="Q258" t="str">
            <v>SYLVIE.DECROYER@NOTAIRE.BE</v>
          </cell>
          <cell r="R258">
            <v>3143</v>
          </cell>
        </row>
        <row r="259">
          <cell r="A259">
            <v>258</v>
          </cell>
          <cell r="B259" t="str">
            <v>DE CUMAN Johan</v>
          </cell>
          <cell r="C259" t="str">
            <v>DeCuman Johan</v>
          </cell>
          <cell r="D259" t="str">
            <v>Notaris</v>
          </cell>
          <cell r="E259" t="str">
            <v>Stationsstraat</v>
          </cell>
          <cell r="F259" t="str">
            <v>41</v>
          </cell>
          <cell r="G259" t="str">
            <v/>
          </cell>
          <cell r="H259" t="str">
            <v>8610</v>
          </cell>
          <cell r="I259" t="str">
            <v>West-Vlaanderen</v>
          </cell>
          <cell r="K259" t="str">
            <v>Kortemark</v>
          </cell>
          <cell r="L259">
            <v>21273</v>
          </cell>
          <cell r="M259" t="str">
            <v>M</v>
          </cell>
          <cell r="O259" t="str">
            <v>051.56.60.68</v>
          </cell>
          <cell r="P259" t="str">
            <v>051.56.97.96</v>
          </cell>
          <cell r="Q259" t="str">
            <v>JOHAN.DECUMAN@NOTARIS.BE</v>
          </cell>
          <cell r="R259">
            <v>2865</v>
          </cell>
        </row>
        <row r="260">
          <cell r="A260">
            <v>259</v>
          </cell>
          <cell r="B260" t="str">
            <v>Notaris Hans De Decker bvba</v>
          </cell>
          <cell r="C260" t="str">
            <v>DeDecker Hans</v>
          </cell>
          <cell r="D260" t="str">
            <v>Notaris</v>
          </cell>
          <cell r="E260" t="str">
            <v>Michielsendreef</v>
          </cell>
          <cell r="F260">
            <v>45</v>
          </cell>
          <cell r="G260" t="str">
            <v/>
          </cell>
          <cell r="H260" t="str">
            <v>2930</v>
          </cell>
          <cell r="I260" t="str">
            <v>Antwerpen</v>
          </cell>
          <cell r="K260" t="str">
            <v>Brasschaat</v>
          </cell>
          <cell r="M260" t="str">
            <v>M</v>
          </cell>
          <cell r="O260" t="str">
            <v>03.651.56.50</v>
          </cell>
          <cell r="P260" t="str">
            <v>03.653.04.09</v>
          </cell>
          <cell r="Q260" t="str">
            <v>HANS.DEDECKER@NOTARIS.BE</v>
          </cell>
          <cell r="R260">
            <v>3054</v>
          </cell>
          <cell r="S260" t="str">
            <v>412-5046001-42</v>
          </cell>
        </row>
        <row r="261">
          <cell r="A261">
            <v>260</v>
          </cell>
          <cell r="B261" t="str">
            <v>Jean Marie De Deken notaire</v>
          </cell>
          <cell r="C261" t="str">
            <v>DeDeken Jean-Marie</v>
          </cell>
          <cell r="D261" t="str">
            <v>Notaris</v>
          </cell>
          <cell r="E261" t="str">
            <v>Avenue de l´Enseignement</v>
          </cell>
          <cell r="F261" t="str">
            <v>12</v>
          </cell>
          <cell r="G261" t="str">
            <v/>
          </cell>
          <cell r="H261" t="str">
            <v>7330</v>
          </cell>
          <cell r="I261" t="str">
            <v>Hainaut</v>
          </cell>
          <cell r="K261" t="str">
            <v>Saint-Ghislain</v>
          </cell>
          <cell r="M261" t="str">
            <v>M</v>
          </cell>
          <cell r="O261" t="str">
            <v>065.76.57.00</v>
          </cell>
          <cell r="P261" t="str">
            <v>065.79.22.87</v>
          </cell>
          <cell r="Q261" t="str">
            <v>JEANMARIE.DEDEKEN@NOTAIRE.BE</v>
          </cell>
          <cell r="R261">
            <v>2578</v>
          </cell>
        </row>
        <row r="262">
          <cell r="A262">
            <v>261</v>
          </cell>
          <cell r="B262" t="str">
            <v>DE CLEENE BENOIT - DE DEKEN YVES</v>
          </cell>
          <cell r="C262" t="str">
            <v>DeDeken Yves</v>
          </cell>
          <cell r="D262" t="str">
            <v>Geassocieerd Notaris</v>
          </cell>
          <cell r="E262" t="str">
            <v>Jodenstraat</v>
          </cell>
          <cell r="F262" t="str">
            <v>12</v>
          </cell>
          <cell r="G262" t="str">
            <v/>
          </cell>
          <cell r="H262" t="str">
            <v>2000</v>
          </cell>
          <cell r="I262" t="str">
            <v>Antwerpen</v>
          </cell>
          <cell r="K262" t="str">
            <v>Antwerpen</v>
          </cell>
          <cell r="M262" t="str">
            <v>M</v>
          </cell>
          <cell r="O262" t="str">
            <v>03.470.28.00</v>
          </cell>
          <cell r="P262" t="str">
            <v>03.233.85.21</v>
          </cell>
          <cell r="Q262" t="str">
            <v>YVES.DEDEKEN@NOTARIS.BE</v>
          </cell>
          <cell r="R262">
            <v>3489</v>
          </cell>
        </row>
        <row r="263">
          <cell r="A263">
            <v>262</v>
          </cell>
          <cell r="B263" t="str">
            <v>Dedoncker Johan</v>
          </cell>
          <cell r="C263" t="str">
            <v>Dedoncker Johan</v>
          </cell>
          <cell r="D263" t="str">
            <v>Notaris</v>
          </cell>
          <cell r="E263" t="str">
            <v>E. Hertecantlaan</v>
          </cell>
          <cell r="F263" t="str">
            <v>44</v>
          </cell>
          <cell r="G263" t="str">
            <v>bus A</v>
          </cell>
          <cell r="H263" t="str">
            <v>9290</v>
          </cell>
          <cell r="I263" t="str">
            <v>Oost-Vlaanderen</v>
          </cell>
          <cell r="K263" t="str">
            <v>Berlare</v>
          </cell>
          <cell r="M263" t="str">
            <v>M</v>
          </cell>
          <cell r="O263" t="str">
            <v>052.43.00.23</v>
          </cell>
          <cell r="P263" t="str">
            <v>052.42.77.09</v>
          </cell>
          <cell r="Q263" t="str">
            <v>johan.dedoncker@NOTARIS.BE</v>
          </cell>
          <cell r="R263">
            <v>3529</v>
          </cell>
          <cell r="T263">
            <v>38468</v>
          </cell>
        </row>
        <row r="264">
          <cell r="A264">
            <v>263</v>
          </cell>
          <cell r="B264" t="str">
            <v>DE DONCKER Pierre</v>
          </cell>
          <cell r="C264" t="str">
            <v>DeDoncker Pierre</v>
          </cell>
          <cell r="D264" t="str">
            <v>Notaris</v>
          </cell>
          <cell r="E264" t="str">
            <v>Rue Van Orleystraat</v>
          </cell>
          <cell r="F264" t="str">
            <v>1</v>
          </cell>
          <cell r="G264" t="str">
            <v/>
          </cell>
          <cell r="H264" t="str">
            <v>1000</v>
          </cell>
          <cell r="I264" t="str">
            <v>Bruxelles</v>
          </cell>
          <cell r="K264" t="str">
            <v>Bruxelles</v>
          </cell>
          <cell r="M264" t="str">
            <v>M</v>
          </cell>
          <cell r="O264" t="str">
            <v>02.219.53.20</v>
          </cell>
          <cell r="P264" t="str">
            <v>02.219.87.67</v>
          </cell>
          <cell r="Q264" t="str">
            <v>PIERRE.DEDONCKER@NOTAIRE.BE</v>
          </cell>
          <cell r="R264">
            <v>2410</v>
          </cell>
        </row>
        <row r="265">
          <cell r="A265">
            <v>264</v>
          </cell>
          <cell r="B265" t="str">
            <v>DEFAUW Philippe</v>
          </cell>
          <cell r="C265" t="str">
            <v>DEFAUW Philippe</v>
          </cell>
          <cell r="D265" t="str">
            <v>Notaris</v>
          </cell>
          <cell r="E265" t="str">
            <v>H. Consciencestraat</v>
          </cell>
          <cell r="F265" t="str">
            <v>4</v>
          </cell>
          <cell r="G265" t="str">
            <v/>
          </cell>
          <cell r="H265" t="str">
            <v>8500</v>
          </cell>
          <cell r="I265" t="str">
            <v>West-Vlaanderen</v>
          </cell>
          <cell r="K265" t="str">
            <v>Kortrijk</v>
          </cell>
          <cell r="L265">
            <v>22271</v>
          </cell>
          <cell r="M265" t="str">
            <v>M</v>
          </cell>
          <cell r="O265" t="str">
            <v>056.26.50.30</v>
          </cell>
          <cell r="P265" t="str">
            <v>056.22.23.05</v>
          </cell>
          <cell r="Q265" t="str">
            <v>PHILIPPE.DEFAUW@NOTARIS.BE</v>
          </cell>
          <cell r="R265">
            <v>3358</v>
          </cell>
        </row>
        <row r="266">
          <cell r="A266">
            <v>265</v>
          </cell>
          <cell r="B266" t="str">
            <v>DE FERM Luc</v>
          </cell>
          <cell r="C266" t="str">
            <v>DeFerm Luc</v>
          </cell>
          <cell r="D266" t="str">
            <v>Notaris</v>
          </cell>
          <cell r="E266" t="str">
            <v>Ringlaan</v>
          </cell>
          <cell r="F266" t="str">
            <v>15</v>
          </cell>
          <cell r="G266" t="str">
            <v/>
          </cell>
          <cell r="H266" t="str">
            <v>2170</v>
          </cell>
          <cell r="I266" t="str">
            <v>Antwerpen</v>
          </cell>
          <cell r="K266" t="str">
            <v>Merksem Antwerpen)</v>
          </cell>
          <cell r="M266" t="str">
            <v>M</v>
          </cell>
          <cell r="O266" t="str">
            <v>03.645.40.44</v>
          </cell>
          <cell r="P266" t="str">
            <v>03.645.48.28</v>
          </cell>
          <cell r="Q266" t="str">
            <v>LUC.DEFERM@NOTARIS.BE</v>
          </cell>
          <cell r="R266">
            <v>3367</v>
          </cell>
        </row>
        <row r="267">
          <cell r="A267">
            <v>266</v>
          </cell>
          <cell r="B267" t="str">
            <v>DEFEVRIMONT Baudouin</v>
          </cell>
          <cell r="C267" t="str">
            <v>DEFEVRIMONT Baudouin</v>
          </cell>
          <cell r="D267" t="str">
            <v>Notaris</v>
          </cell>
          <cell r="E267" t="str">
            <v>Grand-Place</v>
          </cell>
          <cell r="F267" t="str">
            <v>49</v>
          </cell>
          <cell r="G267" t="str">
            <v/>
          </cell>
          <cell r="H267" t="str">
            <v>7600</v>
          </cell>
          <cell r="I267" t="str">
            <v>Hainaut</v>
          </cell>
          <cell r="K267" t="str">
            <v>Péruwelz</v>
          </cell>
          <cell r="M267" t="str">
            <v>M</v>
          </cell>
          <cell r="O267" t="str">
            <v>069.77.10.95</v>
          </cell>
          <cell r="P267" t="str">
            <v>069.77.61.34</v>
          </cell>
          <cell r="Q267" t="str">
            <v>BAUDOUIN.DEFEVRIMONT@NOTAIRE.BE</v>
          </cell>
          <cell r="R267">
            <v>2741</v>
          </cell>
        </row>
        <row r="268">
          <cell r="A268">
            <v>267</v>
          </cell>
          <cell r="B268" t="str">
            <v>DEFORCE Tillo</v>
          </cell>
          <cell r="C268" t="str">
            <v>DEFORCE Tillo</v>
          </cell>
          <cell r="D268" t="str">
            <v>Notaris</v>
          </cell>
          <cell r="E268" t="str">
            <v>Wannegemdorp</v>
          </cell>
          <cell r="F268" t="str">
            <v>31</v>
          </cell>
          <cell r="G268" t="str">
            <v/>
          </cell>
          <cell r="H268" t="str">
            <v>9772</v>
          </cell>
          <cell r="I268" t="str">
            <v>Oost-Vlaanderen</v>
          </cell>
          <cell r="K268" t="str">
            <v>Wannegem-Lede</v>
          </cell>
          <cell r="M268" t="str">
            <v>M</v>
          </cell>
          <cell r="O268" t="str">
            <v>09.383.52.55</v>
          </cell>
          <cell r="P268" t="str">
            <v>09.383.73.21</v>
          </cell>
          <cell r="Q268" t="str">
            <v>tillo.deforce@notaris.be</v>
          </cell>
          <cell r="R268">
            <v>2733</v>
          </cell>
        </row>
        <row r="269">
          <cell r="A269">
            <v>268</v>
          </cell>
          <cell r="B269" t="str">
            <v>Siegfried Defrancq BVBA</v>
          </cell>
          <cell r="C269" t="str">
            <v>Defrancq Siegfried</v>
          </cell>
          <cell r="D269" t="str">
            <v>Notaris</v>
          </cell>
          <cell r="E269" t="str">
            <v>Brusselsesteenweg</v>
          </cell>
          <cell r="F269" t="str">
            <v>521</v>
          </cell>
          <cell r="G269" t="str">
            <v/>
          </cell>
          <cell r="H269" t="str">
            <v>1731</v>
          </cell>
          <cell r="I269" t="str">
            <v>Vlaams Brabant</v>
          </cell>
          <cell r="K269" t="str">
            <v>Zellik</v>
          </cell>
          <cell r="M269" t="str">
            <v>M</v>
          </cell>
          <cell r="O269" t="str">
            <v>02.466.66.55</v>
          </cell>
          <cell r="P269" t="str">
            <v>02.466.80.85</v>
          </cell>
          <cell r="Q269" t="str">
            <v>SIEGFRIED.DEFRANCQ@NOTARIS.BE</v>
          </cell>
          <cell r="R269">
            <v>2917</v>
          </cell>
        </row>
        <row r="270">
          <cell r="A270">
            <v>269</v>
          </cell>
          <cell r="B270" t="str">
            <v>de FRANCQUEN Etienne</v>
          </cell>
          <cell r="C270" t="str">
            <v>deFrancquen Etienne</v>
          </cell>
          <cell r="D270" t="str">
            <v>Notaris</v>
          </cell>
          <cell r="E270" t="str">
            <v>Rue Godefroid</v>
          </cell>
          <cell r="F270" t="str">
            <v>27</v>
          </cell>
          <cell r="G270" t="str">
            <v/>
          </cell>
          <cell r="H270" t="str">
            <v>5000</v>
          </cell>
          <cell r="I270" t="str">
            <v>Namur</v>
          </cell>
          <cell r="K270" t="str">
            <v>Namur</v>
          </cell>
          <cell r="M270" t="str">
            <v>M</v>
          </cell>
          <cell r="O270" t="str">
            <v>081.22.00.72</v>
          </cell>
          <cell r="P270" t="str">
            <v>081.23.13.74</v>
          </cell>
          <cell r="Q270" t="str">
            <v>ETIENNE.DEFRANCQUEN@NOTAIRE.BE</v>
          </cell>
          <cell r="R270">
            <v>2460</v>
          </cell>
        </row>
        <row r="271">
          <cell r="A271">
            <v>270</v>
          </cell>
          <cell r="B271" t="str">
            <v>de GHELDERE - JOOS Vincent &amp; DEROOSE Eric</v>
          </cell>
          <cell r="C271" t="str">
            <v>deGheldere-Joos Vincent</v>
          </cell>
          <cell r="D271" t="str">
            <v>Geassocieerd Notaris</v>
          </cell>
          <cell r="E271" t="str">
            <v>Graaf D´Ursellaan</v>
          </cell>
          <cell r="F271" t="str">
            <v>36</v>
          </cell>
          <cell r="G271" t="str">
            <v>bus 8</v>
          </cell>
          <cell r="H271" t="str">
            <v>8301</v>
          </cell>
          <cell r="I271" t="str">
            <v>West-Vlaanderen</v>
          </cell>
          <cell r="K271" t="str">
            <v>Heist-aan-Zee</v>
          </cell>
          <cell r="L271">
            <v>18453</v>
          </cell>
          <cell r="M271" t="str">
            <v>M</v>
          </cell>
          <cell r="O271" t="str">
            <v>050.51.13.53</v>
          </cell>
          <cell r="P271" t="str">
            <v>050.51.03.90</v>
          </cell>
          <cell r="Q271" t="str">
            <v>VINCENT.DEGHELDEREJOOS@NOTARIS.BE</v>
          </cell>
          <cell r="R271">
            <v>2651</v>
          </cell>
        </row>
        <row r="272">
          <cell r="A272">
            <v>271</v>
          </cell>
          <cell r="B272" t="str">
            <v>DE GOMME Marc</v>
          </cell>
          <cell r="C272" t="str">
            <v>DeGomme Marc</v>
          </cell>
          <cell r="D272" t="str">
            <v>Notaris</v>
          </cell>
          <cell r="E272" t="str">
            <v>Liebaardstraat</v>
          </cell>
          <cell r="F272" t="str">
            <v>74</v>
          </cell>
          <cell r="G272" t="str">
            <v/>
          </cell>
          <cell r="H272" t="str">
            <v>8792</v>
          </cell>
          <cell r="I272" t="str">
            <v>West-Vlaanderen</v>
          </cell>
          <cell r="K272" t="str">
            <v>Desselgem</v>
          </cell>
          <cell r="L272">
            <v>20674</v>
          </cell>
          <cell r="M272" t="str">
            <v>M</v>
          </cell>
          <cell r="O272" t="str">
            <v>056.71.24.95</v>
          </cell>
          <cell r="P272" t="str">
            <v>056.71.31.02</v>
          </cell>
          <cell r="Q272" t="str">
            <v>MARC.DEGOMME@BELNOT.BE</v>
          </cell>
          <cell r="R272">
            <v>3021</v>
          </cell>
        </row>
        <row r="273">
          <cell r="A273">
            <v>272</v>
          </cell>
          <cell r="B273" t="str">
            <v>de CLIPPELE &amp; DEGOMME</v>
          </cell>
          <cell r="C273" t="str">
            <v>Degomme Philippe</v>
          </cell>
          <cell r="D273" t="str">
            <v>Geassocieerd Notaris</v>
          </cell>
          <cell r="E273" t="str">
            <v>Avenue Louise</v>
          </cell>
          <cell r="F273" t="str">
            <v>85</v>
          </cell>
          <cell r="G273" t="str">
            <v>bte 1</v>
          </cell>
          <cell r="H273" t="str">
            <v>1050</v>
          </cell>
          <cell r="I273" t="str">
            <v>Bruxelles</v>
          </cell>
          <cell r="K273" t="str">
            <v>Bruxelles</v>
          </cell>
          <cell r="M273" t="str">
            <v>M</v>
          </cell>
          <cell r="O273" t="str">
            <v>02.538.60.76</v>
          </cell>
          <cell r="P273" t="str">
            <v>02.538.52.06</v>
          </cell>
          <cell r="Q273" t="str">
            <v>PHILIPPE.DEGOMME@NOTAIRE.BE</v>
          </cell>
          <cell r="R273">
            <v>3505</v>
          </cell>
        </row>
        <row r="274">
          <cell r="A274">
            <v>273</v>
          </cell>
          <cell r="B274" t="str">
            <v>DE GRAEF Hervé</v>
          </cell>
          <cell r="C274" t="str">
            <v>DeGraef Hervé</v>
          </cell>
          <cell r="D274" t="str">
            <v>Notaris</v>
          </cell>
          <cell r="E274" t="str">
            <v>Collegestraat</v>
          </cell>
          <cell r="F274" t="str">
            <v>55</v>
          </cell>
          <cell r="G274" t="str">
            <v/>
          </cell>
          <cell r="H274" t="str">
            <v>2400</v>
          </cell>
          <cell r="I274" t="str">
            <v>Antwerpen</v>
          </cell>
          <cell r="K274" t="str">
            <v>Mol</v>
          </cell>
          <cell r="M274" t="str">
            <v>M</v>
          </cell>
          <cell r="O274" t="str">
            <v>014.34.75.75</v>
          </cell>
          <cell r="P274" t="str">
            <v>014.34.75.76</v>
          </cell>
          <cell r="Q274" t="str">
            <v>HERVE.DEGRAEF@NOTARIS.BE</v>
          </cell>
          <cell r="R274">
            <v>3375</v>
          </cell>
        </row>
        <row r="275">
          <cell r="A275">
            <v>274</v>
          </cell>
          <cell r="B275" t="str">
            <v>DECKERS DE GRAEVE SLEDSENS &amp; VAN DEN BERGH</v>
          </cell>
          <cell r="C275" t="str">
            <v>DeGraeve Marc</v>
          </cell>
          <cell r="D275" t="str">
            <v>Geassocieerd Notaris</v>
          </cell>
          <cell r="E275" t="str">
            <v>Broederminstraat</v>
          </cell>
          <cell r="F275" t="str">
            <v>9</v>
          </cell>
          <cell r="G275" t="str">
            <v/>
          </cell>
          <cell r="H275" t="str">
            <v>2018</v>
          </cell>
          <cell r="I275" t="str">
            <v>Antwerpen</v>
          </cell>
          <cell r="K275" t="str">
            <v>Antwerpen</v>
          </cell>
          <cell r="M275" t="str">
            <v>M</v>
          </cell>
          <cell r="O275" t="str">
            <v>03.233.90.66</v>
          </cell>
          <cell r="P275" t="str">
            <v>03.234.23.86</v>
          </cell>
          <cell r="Q275" t="str">
            <v>MARC.DEGRAEVE@NOTARIS.BE</v>
          </cell>
          <cell r="R275">
            <v>3523</v>
          </cell>
        </row>
        <row r="276">
          <cell r="A276">
            <v>275</v>
          </cell>
          <cell r="B276" t="str">
            <v>de GRAVE Patrick</v>
          </cell>
          <cell r="C276" t="str">
            <v>deGrave Patrick</v>
          </cell>
          <cell r="D276" t="str">
            <v>Notaris</v>
          </cell>
          <cell r="E276" t="str">
            <v>Ooststraat</v>
          </cell>
          <cell r="F276" t="str">
            <v>80</v>
          </cell>
          <cell r="G276" t="str">
            <v/>
          </cell>
          <cell r="H276" t="str">
            <v>8647</v>
          </cell>
          <cell r="I276" t="str">
            <v>West-Vlaanderen</v>
          </cell>
          <cell r="K276" t="str">
            <v>Lo-Reninge</v>
          </cell>
          <cell r="L276">
            <v>20378</v>
          </cell>
          <cell r="M276" t="str">
            <v>M</v>
          </cell>
          <cell r="O276" t="str">
            <v>058.28.80.40</v>
          </cell>
          <cell r="P276" t="str">
            <v>058.28.93.56</v>
          </cell>
          <cell r="Q276" t="str">
            <v>PATRICK.DEGRAVE@NOTARIS.BE</v>
          </cell>
          <cell r="R276">
            <v>3310</v>
          </cell>
        </row>
        <row r="277">
          <cell r="A277">
            <v>276</v>
          </cell>
          <cell r="B277" t="str">
            <v>BERNARD DEGREVE &amp; VINCIANE DEGREVE</v>
          </cell>
          <cell r="C277" t="str">
            <v>Degreve Bernard</v>
          </cell>
          <cell r="D277" t="str">
            <v>Geassocieerd Notaris</v>
          </cell>
          <cell r="E277" t="str">
            <v>rue de Saint-Gislain</v>
          </cell>
          <cell r="F277" t="str">
            <v>20</v>
          </cell>
          <cell r="G277" t="str">
            <v/>
          </cell>
          <cell r="H277" t="str">
            <v>7950</v>
          </cell>
          <cell r="I277" t="str">
            <v>Hainaut</v>
          </cell>
          <cell r="K277" t="str">
            <v>Chièvres</v>
          </cell>
          <cell r="M277" t="str">
            <v>M</v>
          </cell>
          <cell r="O277" t="str">
            <v>068.65.71.27</v>
          </cell>
          <cell r="P277" t="str">
            <v>068.65.80.21</v>
          </cell>
          <cell r="Q277" t="str">
            <v>BERNARD.DEGREVE@NOTAIRE.BE</v>
          </cell>
          <cell r="R277">
            <v>3526</v>
          </cell>
        </row>
        <row r="278">
          <cell r="A278">
            <v>277</v>
          </cell>
          <cell r="B278" t="str">
            <v>BERNARD DEGREVE &amp; VINCIANE DEGREVE</v>
          </cell>
          <cell r="C278" t="str">
            <v>Degreve Vinciane</v>
          </cell>
          <cell r="D278" t="str">
            <v>Geassocieerd Notaris</v>
          </cell>
          <cell r="E278" t="str">
            <v>rue de Saint-Gislain</v>
          </cell>
          <cell r="F278" t="str">
            <v>20</v>
          </cell>
          <cell r="G278" t="str">
            <v/>
          </cell>
          <cell r="H278" t="str">
            <v>7950</v>
          </cell>
          <cell r="I278" t="str">
            <v>Hainaut</v>
          </cell>
          <cell r="K278" t="str">
            <v>Chièvres</v>
          </cell>
          <cell r="M278" t="str">
            <v>Vr</v>
          </cell>
          <cell r="O278" t="str">
            <v>068.65.71.27</v>
          </cell>
          <cell r="P278" t="str">
            <v>068.65.80.21</v>
          </cell>
          <cell r="Q278" t="str">
            <v>vinciane.degreve@notaire.be</v>
          </cell>
          <cell r="R278">
            <v>3526</v>
          </cell>
        </row>
        <row r="279">
          <cell r="A279">
            <v>278</v>
          </cell>
          <cell r="B279" t="str">
            <v>DE GROO Jean</v>
          </cell>
          <cell r="C279" t="str">
            <v>DeGroo Jean</v>
          </cell>
          <cell r="D279" t="str">
            <v>Notaris</v>
          </cell>
          <cell r="E279" t="str">
            <v>Martelaarslaan</v>
          </cell>
          <cell r="F279" t="str">
            <v>92</v>
          </cell>
          <cell r="G279" t="str">
            <v/>
          </cell>
          <cell r="H279" t="str">
            <v>9000</v>
          </cell>
          <cell r="I279" t="str">
            <v>Oost-Vlaanderen</v>
          </cell>
          <cell r="K279" t="str">
            <v>Gent</v>
          </cell>
          <cell r="M279" t="str">
            <v>M</v>
          </cell>
          <cell r="O279" t="str">
            <v>09.225.07.03</v>
          </cell>
          <cell r="P279" t="str">
            <v>09.223.56.76</v>
          </cell>
          <cell r="Q279" t="str">
            <v>JEAN.DEGROO@NOTARIS.BE</v>
          </cell>
          <cell r="R279">
            <v>3307</v>
          </cell>
        </row>
        <row r="280">
          <cell r="A280">
            <v>279</v>
          </cell>
          <cell r="B280" t="str">
            <v>DE GROOF Paul</v>
          </cell>
          <cell r="C280" t="str">
            <v>DeGroof Paul</v>
          </cell>
          <cell r="D280" t="str">
            <v>Notaris</v>
          </cell>
          <cell r="E280" t="str">
            <v>Jan Van Rijswijcklaan</v>
          </cell>
          <cell r="F280" t="str">
            <v>142</v>
          </cell>
          <cell r="G280" t="str">
            <v>bus 1</v>
          </cell>
          <cell r="H280" t="str">
            <v>2018</v>
          </cell>
          <cell r="I280" t="str">
            <v>Antwerpen</v>
          </cell>
          <cell r="K280" t="str">
            <v>Antwerpen</v>
          </cell>
          <cell r="M280" t="str">
            <v>M</v>
          </cell>
          <cell r="O280" t="str">
            <v>03.238.52.93</v>
          </cell>
          <cell r="P280" t="str">
            <v>03.237.22.63</v>
          </cell>
          <cell r="Q280" t="str">
            <v>PAUL.DEGROOF@NOTARIS.BE</v>
          </cell>
          <cell r="R280">
            <v>2641</v>
          </cell>
        </row>
        <row r="281">
          <cell r="A281">
            <v>280</v>
          </cell>
          <cell r="B281" t="str">
            <v>DEGROOFF Philippe</v>
          </cell>
          <cell r="C281" t="str">
            <v>DEGROOFF Philippe</v>
          </cell>
          <cell r="D281" t="str">
            <v>Notaris</v>
          </cell>
          <cell r="E281" t="str">
            <v>Avenue de Tervurenlaan</v>
          </cell>
          <cell r="F281" t="str">
            <v>148</v>
          </cell>
          <cell r="G281" t="str">
            <v>bte 28</v>
          </cell>
          <cell r="H281" t="str">
            <v>1150</v>
          </cell>
          <cell r="I281" t="str">
            <v>Bruxelles</v>
          </cell>
          <cell r="K281" t="str">
            <v>Bruxelles</v>
          </cell>
          <cell r="M281" t="str">
            <v>M</v>
          </cell>
          <cell r="O281" t="str">
            <v>02.771.87.87</v>
          </cell>
          <cell r="P281" t="str">
            <v>02.770.26.96</v>
          </cell>
          <cell r="Q281" t="str">
            <v>PHILIPPE.DEGROOFF@NOTAIRE.BE</v>
          </cell>
          <cell r="R281">
            <v>3577</v>
          </cell>
        </row>
        <row r="282">
          <cell r="A282">
            <v>281</v>
          </cell>
          <cell r="B282" t="str">
            <v>DEHAENE Annick en Luc</v>
          </cell>
          <cell r="C282" t="str">
            <v>Dehaene Annick</v>
          </cell>
          <cell r="D282" t="str">
            <v>Notaris</v>
          </cell>
          <cell r="E282" t="str">
            <v>Schoolstraat</v>
          </cell>
          <cell r="F282" t="str">
            <v>26-28</v>
          </cell>
          <cell r="G282" t="str">
            <v/>
          </cell>
          <cell r="H282" t="str">
            <v>9040</v>
          </cell>
          <cell r="I282" t="str">
            <v>Oost-Vlaanderen</v>
          </cell>
          <cell r="K282" t="str">
            <v>Sint-Amandsberg Gent)</v>
          </cell>
          <cell r="M282" t="str">
            <v>Vr</v>
          </cell>
          <cell r="O282" t="str">
            <v>09.228.14.07</v>
          </cell>
          <cell r="P282" t="str">
            <v>09.228.91.31</v>
          </cell>
          <cell r="Q282" t="str">
            <v>ANNICK.DEHAENE@NOTARIS.BE</v>
          </cell>
          <cell r="R282">
            <v>3652</v>
          </cell>
        </row>
        <row r="283">
          <cell r="A283">
            <v>282</v>
          </cell>
          <cell r="B283" t="str">
            <v>DEHAENE Annick en Luc</v>
          </cell>
          <cell r="C283" t="str">
            <v>Dehaene Luc</v>
          </cell>
          <cell r="D283" t="str">
            <v>Notaris</v>
          </cell>
          <cell r="E283" t="str">
            <v>Schoolstraat</v>
          </cell>
          <cell r="F283" t="str">
            <v>26-28</v>
          </cell>
          <cell r="G283" t="str">
            <v/>
          </cell>
          <cell r="H283" t="str">
            <v>9040</v>
          </cell>
          <cell r="I283" t="str">
            <v>Oost-Vlaanderen</v>
          </cell>
          <cell r="K283" t="str">
            <v>Sint-Amandsberg Gent)</v>
          </cell>
          <cell r="M283" t="str">
            <v>M</v>
          </cell>
          <cell r="O283" t="str">
            <v>09.228.14.07</v>
          </cell>
          <cell r="P283" t="str">
            <v>09.228.91.31</v>
          </cell>
          <cell r="Q283" t="str">
            <v>luc.dehaene@notaris.be</v>
          </cell>
          <cell r="R283">
            <v>3652</v>
          </cell>
        </row>
        <row r="284">
          <cell r="A284">
            <v>283</v>
          </cell>
          <cell r="B284" t="str">
            <v>DEHANDSCHUTTER Peter</v>
          </cell>
          <cell r="C284" t="str">
            <v>DEHANDSCHUTTER Peter</v>
          </cell>
          <cell r="D284" t="str">
            <v>Notaris</v>
          </cell>
          <cell r="E284" t="str">
            <v>Antwerpsesteenweg</v>
          </cell>
          <cell r="F284" t="str">
            <v>36</v>
          </cell>
          <cell r="G284" t="str">
            <v/>
          </cell>
          <cell r="H284" t="str">
            <v>2630</v>
          </cell>
          <cell r="I284" t="str">
            <v>Antwerpen</v>
          </cell>
          <cell r="K284" t="str">
            <v>Aartselaar</v>
          </cell>
          <cell r="M284" t="str">
            <v>M</v>
          </cell>
          <cell r="O284" t="str">
            <v>03.870.85.55</v>
          </cell>
          <cell r="P284" t="str">
            <v>03.887.00.32</v>
          </cell>
          <cell r="Q284" t="str">
            <v>PETER.DEHANDSCHUTTER@NOTARIS.BE</v>
          </cell>
          <cell r="R284">
            <v>3108</v>
          </cell>
        </row>
        <row r="285">
          <cell r="A285">
            <v>284</v>
          </cell>
          <cell r="B285" t="str">
            <v>DE JAEGER Jean-Paul</v>
          </cell>
          <cell r="C285" t="str">
            <v>DeJaeger Jean-Paul</v>
          </cell>
          <cell r="D285" t="str">
            <v>Notaris</v>
          </cell>
          <cell r="E285" t="str">
            <v>Ketterijstraat</v>
          </cell>
          <cell r="F285" t="str">
            <v>35 D</v>
          </cell>
          <cell r="G285" t="str">
            <v/>
          </cell>
          <cell r="H285" t="str">
            <v>9988</v>
          </cell>
          <cell r="I285" t="str">
            <v>Oost-Vlaanderen</v>
          </cell>
          <cell r="K285" t="str">
            <v>Watervliet</v>
          </cell>
          <cell r="M285" t="str">
            <v>M</v>
          </cell>
          <cell r="O285" t="str">
            <v>09.379.82.67</v>
          </cell>
          <cell r="P285" t="str">
            <v>09.379.86.34</v>
          </cell>
          <cell r="Q285" t="str">
            <v>JEANPAUL.DEJAEGER@NOTARIS.BE</v>
          </cell>
          <cell r="R285">
            <v>2864</v>
          </cell>
        </row>
        <row r="286">
          <cell r="A286">
            <v>285</v>
          </cell>
          <cell r="B286" t="str">
            <v>LEURIDAN &amp; DEJONGH</v>
          </cell>
          <cell r="C286" t="str">
            <v>Dejongh Luc</v>
          </cell>
          <cell r="D286" t="str">
            <v>Geassocieerd Notaris</v>
          </cell>
          <cell r="E286" t="str">
            <v>Statiestraat</v>
          </cell>
          <cell r="F286" t="str">
            <v>16</v>
          </cell>
          <cell r="G286" t="str">
            <v/>
          </cell>
          <cell r="H286" t="str">
            <v>2920</v>
          </cell>
          <cell r="I286" t="str">
            <v>Antwerpen</v>
          </cell>
          <cell r="K286" t="str">
            <v>Kalmthout</v>
          </cell>
          <cell r="M286" t="str">
            <v>M</v>
          </cell>
          <cell r="O286" t="str">
            <v>03.666.55.46</v>
          </cell>
          <cell r="P286" t="str">
            <v>03.666.48.33</v>
          </cell>
          <cell r="Q286" t="str">
            <v>luc.dejongh@notaris.be</v>
          </cell>
          <cell r="R286">
            <v>3524</v>
          </cell>
          <cell r="S286" t="str">
            <v>001-3845167-66</v>
          </cell>
        </row>
        <row r="287">
          <cell r="A287">
            <v>286</v>
          </cell>
          <cell r="B287" t="str">
            <v>BERQUIN NOTARISSEN - BERQUIN NOTAIRES</v>
          </cell>
          <cell r="C287" t="str">
            <v>Dekesel Daisy</v>
          </cell>
          <cell r="D287" t="str">
            <v>Geassocieerd Notaris</v>
          </cell>
          <cell r="E287" t="str">
            <v>Avenue Lloyd Georgelaan</v>
          </cell>
          <cell r="F287" t="str">
            <v>11</v>
          </cell>
          <cell r="G287" t="str">
            <v/>
          </cell>
          <cell r="H287" t="str">
            <v>1000</v>
          </cell>
          <cell r="I287" t="str">
            <v>Bruxelles</v>
          </cell>
          <cell r="K287" t="str">
            <v>Bruxelles</v>
          </cell>
          <cell r="M287" t="str">
            <v>Vr</v>
          </cell>
          <cell r="O287" t="str">
            <v>02.645.19.45</v>
          </cell>
          <cell r="P287" t="str">
            <v>02.645.19.86</v>
          </cell>
          <cell r="Q287" t="str">
            <v>daisy.dekegel@notaris.be</v>
          </cell>
          <cell r="R287">
            <v>3224</v>
          </cell>
        </row>
        <row r="288">
          <cell r="A288">
            <v>287</v>
          </cell>
          <cell r="B288" t="str">
            <v>DE KESEL Dominique</v>
          </cell>
          <cell r="C288" t="str">
            <v>DeKesel Dominique</v>
          </cell>
          <cell r="D288" t="str">
            <v>Notaris</v>
          </cell>
          <cell r="E288" t="str">
            <v>Pastorijstraat</v>
          </cell>
          <cell r="F288" t="str">
            <v>29</v>
          </cell>
          <cell r="G288" t="str">
            <v/>
          </cell>
          <cell r="H288" t="str">
            <v>9100</v>
          </cell>
          <cell r="I288" t="str">
            <v>Oost-Vlaanderen</v>
          </cell>
          <cell r="K288" t="str">
            <v>Nieuwkerken-Waas</v>
          </cell>
          <cell r="M288" t="str">
            <v>M</v>
          </cell>
          <cell r="O288" t="str">
            <v>03.776.49.65</v>
          </cell>
          <cell r="P288" t="str">
            <v>03.777.08.77</v>
          </cell>
          <cell r="Q288" t="str">
            <v>DOMINIQUE.DEKESEL@NOTARIS.BE</v>
          </cell>
          <cell r="R288">
            <v>3418</v>
          </cell>
        </row>
        <row r="289">
          <cell r="A289">
            <v>288</v>
          </cell>
          <cell r="B289" t="str">
            <v>DE KEUKELAERE Philippe</v>
          </cell>
          <cell r="C289" t="str">
            <v>DeKeukelaere Philippe</v>
          </cell>
          <cell r="D289" t="str">
            <v>Notaris</v>
          </cell>
          <cell r="E289" t="str">
            <v>Stationsstraat</v>
          </cell>
          <cell r="F289" t="str">
            <v>74</v>
          </cell>
          <cell r="G289" t="str">
            <v/>
          </cell>
          <cell r="H289" t="str">
            <v>9900</v>
          </cell>
          <cell r="I289" t="str">
            <v>Oost-Vlaanderen</v>
          </cell>
          <cell r="K289" t="str">
            <v>Eeklo</v>
          </cell>
          <cell r="M289" t="str">
            <v>M</v>
          </cell>
          <cell r="O289" t="str">
            <v>09.377.23.70</v>
          </cell>
          <cell r="P289" t="str">
            <v>09.377.57.45</v>
          </cell>
          <cell r="Q289" t="str">
            <v>PHILIPPE.DEKEUKELAERE@NOTARIS.BE</v>
          </cell>
          <cell r="R289">
            <v>2534</v>
          </cell>
        </row>
        <row r="290">
          <cell r="A290">
            <v>289</v>
          </cell>
          <cell r="B290" t="str">
            <v>de LAMINNE de BEX Olivier &amp; JADIN Catherine</v>
          </cell>
          <cell r="C290" t="str">
            <v>deLaminnedeBex Olivier</v>
          </cell>
          <cell r="D290" t="str">
            <v>Geassocieerd Notaris</v>
          </cell>
          <cell r="E290" t="str">
            <v>Avenue Edmond Leburton</v>
          </cell>
          <cell r="F290" t="str">
            <v>29</v>
          </cell>
          <cell r="G290" t="str">
            <v/>
          </cell>
          <cell r="H290" t="str">
            <v>4300</v>
          </cell>
          <cell r="I290" t="str">
            <v>Liège</v>
          </cell>
          <cell r="K290" t="str">
            <v>Waremme</v>
          </cell>
          <cell r="M290" t="str">
            <v>M</v>
          </cell>
          <cell r="O290" t="str">
            <v>019.32.29.10</v>
          </cell>
          <cell r="P290" t="str">
            <v>019.33.01.53</v>
          </cell>
          <cell r="Q290" t="str">
            <v>OLIVIER.DELAMINNEDEBEX@NOTAIRE.BE</v>
          </cell>
          <cell r="R290">
            <v>3121</v>
          </cell>
        </row>
        <row r="291">
          <cell r="A291">
            <v>290</v>
          </cell>
          <cell r="B291" t="str">
            <v>Dirk De Landtsheer - Notaire SPRL</v>
          </cell>
          <cell r="C291" t="str">
            <v>DeLandtsheer Dirk</v>
          </cell>
          <cell r="D291" t="str">
            <v>Notaris</v>
          </cell>
          <cell r="E291" t="str">
            <v>Avenue Eugène Demolder</v>
          </cell>
          <cell r="F291">
            <v>49</v>
          </cell>
          <cell r="G291" t="str">
            <v/>
          </cell>
          <cell r="H291" t="str">
            <v>1030</v>
          </cell>
          <cell r="I291" t="str">
            <v>Bruxelles</v>
          </cell>
          <cell r="K291" t="str">
            <v>Bruxelles</v>
          </cell>
          <cell r="M291" t="str">
            <v>M</v>
          </cell>
          <cell r="O291" t="str">
            <v>02.216.89.91</v>
          </cell>
          <cell r="P291" t="str">
            <v>02.216.59.84</v>
          </cell>
          <cell r="Q291" t="str">
            <v>dirk.delandtsheer@notaire.be</v>
          </cell>
          <cell r="R291">
            <v>2451</v>
          </cell>
          <cell r="S291" t="str">
            <v>732-0064482-28</v>
          </cell>
          <cell r="T291" t="str">
            <v>*2003</v>
          </cell>
        </row>
        <row r="292">
          <cell r="A292">
            <v>291</v>
          </cell>
          <cell r="B292" t="str">
            <v>DELANGE Jacques</v>
          </cell>
          <cell r="C292" t="str">
            <v>DELANGE Jacques</v>
          </cell>
          <cell r="D292" t="str">
            <v>Notaris</v>
          </cell>
          <cell r="E292" t="str">
            <v>Place de Bronckart</v>
          </cell>
          <cell r="F292" t="str">
            <v>17</v>
          </cell>
          <cell r="G292" t="str">
            <v/>
          </cell>
          <cell r="H292" t="str">
            <v>4000</v>
          </cell>
          <cell r="I292" t="str">
            <v>Liège</v>
          </cell>
          <cell r="K292" t="str">
            <v>Liège</v>
          </cell>
          <cell r="M292" t="str">
            <v>M</v>
          </cell>
          <cell r="O292" t="str">
            <v>04.254.42.78</v>
          </cell>
          <cell r="P292" t="str">
            <v>04.254.42.53</v>
          </cell>
          <cell r="Q292" t="str">
            <v>JACQUES.DELANGE@NOTAIRE.BE</v>
          </cell>
          <cell r="R292">
            <v>2787</v>
          </cell>
        </row>
        <row r="293">
          <cell r="A293">
            <v>292</v>
          </cell>
          <cell r="B293" t="str">
            <v>DELATTRE Jean-François</v>
          </cell>
          <cell r="C293" t="str">
            <v>DELATTRE Jean-François</v>
          </cell>
          <cell r="D293" t="str">
            <v>Notaris</v>
          </cell>
          <cell r="E293" t="str">
            <v>Rue Doyen Van Belle</v>
          </cell>
          <cell r="F293" t="str">
            <v>2</v>
          </cell>
          <cell r="G293" t="str">
            <v/>
          </cell>
          <cell r="H293" t="str">
            <v>1420</v>
          </cell>
          <cell r="I293" t="str">
            <v>Brabant Wallon</v>
          </cell>
          <cell r="K293" t="str">
            <v>Braine-L´Alleud</v>
          </cell>
          <cell r="M293" t="str">
            <v>M</v>
          </cell>
          <cell r="O293" t="str">
            <v>02.384.22.00</v>
          </cell>
          <cell r="P293" t="str">
            <v>02.384.92.87</v>
          </cell>
          <cell r="Q293" t="str">
            <v>jeanfrancois.delattre@notaire.be</v>
          </cell>
          <cell r="R293">
            <v>1162</v>
          </cell>
          <cell r="S293" t="str">
            <v>732 0066702 17</v>
          </cell>
          <cell r="T293">
            <v>37999</v>
          </cell>
        </row>
        <row r="294">
          <cell r="A294">
            <v>293</v>
          </cell>
          <cell r="B294" t="str">
            <v>DELBAERE Dirk</v>
          </cell>
          <cell r="C294" t="str">
            <v>DELBAERE Dirk</v>
          </cell>
          <cell r="D294" t="str">
            <v>Notaris</v>
          </cell>
          <cell r="E294" t="str">
            <v>Brusselsesteenweg</v>
          </cell>
          <cell r="F294" t="str">
            <v>53-55</v>
          </cell>
          <cell r="G294" t="str">
            <v/>
          </cell>
          <cell r="H294" t="str">
            <v>9050</v>
          </cell>
          <cell r="I294" t="str">
            <v>Oost-Vlaanderen</v>
          </cell>
          <cell r="K294" t="str">
            <v>Ledeberg Gent)</v>
          </cell>
          <cell r="M294" t="str">
            <v>M</v>
          </cell>
          <cell r="O294" t="str">
            <v>09.231.03.93</v>
          </cell>
          <cell r="P294" t="str">
            <v>09.230.70.61</v>
          </cell>
          <cell r="Q294" t="str">
            <v>dirk.delbaere@notaris.be</v>
          </cell>
          <cell r="R294">
            <v>2566</v>
          </cell>
          <cell r="T294">
            <v>38243</v>
          </cell>
        </row>
        <row r="295">
          <cell r="A295">
            <v>294</v>
          </cell>
          <cell r="B295" t="str">
            <v>DELCOMMUNE Baudouin</v>
          </cell>
          <cell r="C295" t="str">
            <v>DELCOMMUNE Baudouin</v>
          </cell>
          <cell r="D295" t="str">
            <v>Notaris</v>
          </cell>
          <cell r="E295" t="str">
            <v>Avenue Franchet d´Esperey</v>
          </cell>
          <cell r="F295" t="str">
            <v>13</v>
          </cell>
          <cell r="G295" t="str">
            <v/>
          </cell>
          <cell r="H295" t="str">
            <v>5500</v>
          </cell>
          <cell r="I295" t="str">
            <v>Namur</v>
          </cell>
          <cell r="K295" t="str">
            <v>Dinant</v>
          </cell>
          <cell r="M295" t="str">
            <v>M</v>
          </cell>
          <cell r="O295" t="str">
            <v>082.22.30.04</v>
          </cell>
          <cell r="P295" t="str">
            <v>082.22.26.04</v>
          </cell>
          <cell r="Q295" t="str">
            <v>BAUDOUIN.DELCOMMUNE@NOTAIRE.BE</v>
          </cell>
          <cell r="R295">
            <v>3501</v>
          </cell>
        </row>
        <row r="296">
          <cell r="A296">
            <v>295</v>
          </cell>
          <cell r="B296" t="str">
            <v>DELCROIX Laurent</v>
          </cell>
          <cell r="C296" t="str">
            <v>DELCROIX Laurent</v>
          </cell>
          <cell r="D296" t="str">
            <v>Notaris</v>
          </cell>
          <cell r="E296" t="str">
            <v>rue Neuve</v>
          </cell>
          <cell r="F296" t="str">
            <v>18</v>
          </cell>
          <cell r="G296" t="str">
            <v/>
          </cell>
          <cell r="H296" t="str">
            <v>7000</v>
          </cell>
          <cell r="I296" t="str">
            <v>Hainaut</v>
          </cell>
          <cell r="K296" t="str">
            <v>Mons</v>
          </cell>
          <cell r="M296" t="str">
            <v>M</v>
          </cell>
          <cell r="O296" t="str">
            <v>065.32.83.10</v>
          </cell>
          <cell r="P296" t="str">
            <v>065.36.47.36</v>
          </cell>
          <cell r="Q296" t="str">
            <v>LAURENT.DELCROIX@NOTAIRE.BE</v>
          </cell>
          <cell r="R296">
            <v>3421</v>
          </cell>
        </row>
        <row r="297">
          <cell r="A297">
            <v>296</v>
          </cell>
          <cell r="B297" t="str">
            <v>DELIEGE DORMAL &amp; GOVERS</v>
          </cell>
          <cell r="C297" t="str">
            <v>Deliege Alain</v>
          </cell>
          <cell r="D297" t="str">
            <v>Geassocieerd Notaris</v>
          </cell>
          <cell r="E297" t="str">
            <v>Rue Neuve</v>
          </cell>
          <cell r="F297" t="str">
            <v>6</v>
          </cell>
          <cell r="G297" t="str">
            <v/>
          </cell>
          <cell r="H297" t="str">
            <v>4032</v>
          </cell>
          <cell r="I297" t="str">
            <v>Liège</v>
          </cell>
          <cell r="K297" t="str">
            <v>Chênée</v>
          </cell>
          <cell r="M297" t="str">
            <v>M</v>
          </cell>
          <cell r="O297" t="str">
            <v>04.367.54.33</v>
          </cell>
          <cell r="P297" t="str">
            <v>04.367.56.90</v>
          </cell>
          <cell r="Q297" t="str">
            <v>ALAIN.DELIEGE@NOTAIRE.BE</v>
          </cell>
          <cell r="R297">
            <v>3606</v>
          </cell>
        </row>
        <row r="298">
          <cell r="A298">
            <v>297</v>
          </cell>
          <cell r="B298" t="str">
            <v>DELMARCHE François</v>
          </cell>
          <cell r="C298" t="str">
            <v>DELMARCHE François</v>
          </cell>
          <cell r="D298" t="str">
            <v>Notaris</v>
          </cell>
          <cell r="E298" t="str">
            <v>Rue Gillard</v>
          </cell>
          <cell r="F298" t="str">
            <v>32</v>
          </cell>
          <cell r="G298" t="str">
            <v/>
          </cell>
          <cell r="H298" t="str">
            <v>6043</v>
          </cell>
          <cell r="I298" t="str">
            <v>Hainaut</v>
          </cell>
          <cell r="K298" t="str">
            <v>Ransart</v>
          </cell>
          <cell r="M298" t="str">
            <v>M</v>
          </cell>
          <cell r="O298" t="str">
            <v>071.35.03.63</v>
          </cell>
          <cell r="P298" t="str">
            <v>071.35.41.42</v>
          </cell>
          <cell r="Q298" t="str">
            <v>FRANCOIS.DELMARCHE@NOTAIRE.BE</v>
          </cell>
          <cell r="R298">
            <v>2982</v>
          </cell>
        </row>
        <row r="299">
          <cell r="A299">
            <v>298</v>
          </cell>
          <cell r="B299" t="str">
            <v>DELMOTTE Pierre</v>
          </cell>
          <cell r="C299" t="str">
            <v>DELMOTTE Pierre</v>
          </cell>
          <cell r="D299" t="str">
            <v>Notaris</v>
          </cell>
          <cell r="E299" t="str">
            <v>Chaussée de Tongres</v>
          </cell>
          <cell r="F299" t="str">
            <v>411</v>
          </cell>
          <cell r="G299" t="str">
            <v/>
          </cell>
          <cell r="H299" t="str">
            <v>4000</v>
          </cell>
          <cell r="I299" t="str">
            <v>Liège</v>
          </cell>
          <cell r="K299" t="str">
            <v>Rocourt</v>
          </cell>
          <cell r="M299" t="str">
            <v>M</v>
          </cell>
          <cell r="O299" t="str">
            <v>04.263.57.55</v>
          </cell>
          <cell r="P299" t="str">
            <v>04.246.09.25</v>
          </cell>
          <cell r="Q299" t="str">
            <v>PIERRE.DELMOTTE@NOTAIRE.BE</v>
          </cell>
          <cell r="R299">
            <v>3363</v>
          </cell>
        </row>
        <row r="300">
          <cell r="A300">
            <v>299</v>
          </cell>
          <cell r="B300" t="str">
            <v>DELOUVROY Jacques</v>
          </cell>
          <cell r="C300" t="str">
            <v>DELOUVROY Jacques</v>
          </cell>
          <cell r="D300" t="str">
            <v>Notaris</v>
          </cell>
          <cell r="E300" t="str">
            <v>Avenue de la Clairière</v>
          </cell>
          <cell r="F300" t="str">
            <v>11</v>
          </cell>
          <cell r="G300" t="str">
            <v>bte 2</v>
          </cell>
          <cell r="H300" t="str">
            <v>1000</v>
          </cell>
          <cell r="I300" t="str">
            <v>Bruxelles</v>
          </cell>
          <cell r="K300" t="str">
            <v>Bruxelles</v>
          </cell>
          <cell r="M300" t="str">
            <v>M</v>
          </cell>
          <cell r="O300" t="str">
            <v>02.375.27.28</v>
          </cell>
          <cell r="P300" t="str">
            <v>02.375.76.58</v>
          </cell>
          <cell r="Q300" t="str">
            <v>JACQUES.DELOUVROY@NOTAIRE.BE</v>
          </cell>
          <cell r="R300">
            <v>3090</v>
          </cell>
        </row>
        <row r="301">
          <cell r="A301">
            <v>300</v>
          </cell>
          <cell r="B301" t="str">
            <v>DELREE Michel</v>
          </cell>
          <cell r="C301" t="str">
            <v>DELREE Michel</v>
          </cell>
          <cell r="D301" t="str">
            <v>Notaris</v>
          </cell>
          <cell r="E301" t="str">
            <v>Bd. de la Sauvenière</v>
          </cell>
          <cell r="F301" t="str">
            <v>60</v>
          </cell>
          <cell r="G301" t="str">
            <v/>
          </cell>
          <cell r="H301" t="str">
            <v>4000</v>
          </cell>
          <cell r="I301" t="str">
            <v>Liège</v>
          </cell>
          <cell r="K301" t="str">
            <v>Liège</v>
          </cell>
          <cell r="M301" t="str">
            <v>M</v>
          </cell>
          <cell r="O301" t="str">
            <v>04.223.24.37</v>
          </cell>
          <cell r="P301" t="str">
            <v>04.223.25.08</v>
          </cell>
          <cell r="Q301" t="str">
            <v>MICHEL.DELREE@NOTAIRE.BE</v>
          </cell>
          <cell r="R301">
            <v>3047</v>
          </cell>
        </row>
        <row r="302">
          <cell r="A302">
            <v>301</v>
          </cell>
          <cell r="B302" t="str">
            <v>DELVAULX Eric</v>
          </cell>
          <cell r="C302" t="str">
            <v>DELVAULX Eric</v>
          </cell>
          <cell r="D302" t="str">
            <v>Notaris</v>
          </cell>
          <cell r="E302" t="str">
            <v>Rue Godefroid de Bouillon</v>
          </cell>
          <cell r="F302" t="str">
            <v>5</v>
          </cell>
          <cell r="G302" t="str">
            <v/>
          </cell>
          <cell r="H302" t="str">
            <v>1470</v>
          </cell>
          <cell r="I302" t="str">
            <v>Brabant Wallon</v>
          </cell>
          <cell r="K302" t="str">
            <v>Baisy-Thy</v>
          </cell>
          <cell r="M302" t="str">
            <v>M</v>
          </cell>
          <cell r="O302" t="str">
            <v>067.77.20.05</v>
          </cell>
          <cell r="P302" t="str">
            <v>067.77.13.99</v>
          </cell>
          <cell r="Q302" t="str">
            <v>ERIC.DELVAULX@NOTAIRE.BE</v>
          </cell>
          <cell r="R302">
            <v>3228</v>
          </cell>
        </row>
        <row r="303">
          <cell r="A303">
            <v>302</v>
          </cell>
          <cell r="B303" t="str">
            <v>DELVAUX Georges</v>
          </cell>
          <cell r="C303" t="str">
            <v>DELVAUX Georges</v>
          </cell>
          <cell r="D303" t="str">
            <v>Notaris</v>
          </cell>
          <cell r="E303" t="str">
            <v>Rue du Pont de Wandre</v>
          </cell>
          <cell r="F303" t="str">
            <v>105</v>
          </cell>
          <cell r="G303" t="str">
            <v/>
          </cell>
          <cell r="H303" t="str">
            <v>4020</v>
          </cell>
          <cell r="I303" t="str">
            <v>Liège</v>
          </cell>
          <cell r="K303" t="str">
            <v>Wandre</v>
          </cell>
          <cell r="M303" t="str">
            <v>M</v>
          </cell>
          <cell r="O303" t="str">
            <v>04.362.65.46</v>
          </cell>
          <cell r="P303" t="str">
            <v>04.362.65.16</v>
          </cell>
          <cell r="Q303" t="str">
            <v>GEORGES.DELVAUX@NOTAIRE.BE</v>
          </cell>
          <cell r="R303">
            <v>793</v>
          </cell>
        </row>
        <row r="304">
          <cell r="A304">
            <v>303</v>
          </cell>
          <cell r="B304" t="str">
            <v>DELWAIDE Catherine</v>
          </cell>
          <cell r="C304" t="str">
            <v>Delwaide Catherine</v>
          </cell>
          <cell r="D304" t="str">
            <v>Notaris</v>
          </cell>
          <cell r="E304" t="str">
            <v>Graethempoort</v>
          </cell>
          <cell r="F304" t="str">
            <v>46</v>
          </cell>
          <cell r="G304" t="str">
            <v/>
          </cell>
          <cell r="H304" t="str">
            <v>3840</v>
          </cell>
          <cell r="I304" t="str">
            <v>Limburg</v>
          </cell>
          <cell r="K304" t="str">
            <v>Borgloon</v>
          </cell>
          <cell r="M304" t="str">
            <v>Vr</v>
          </cell>
          <cell r="O304" t="str">
            <v>012.74.10.03</v>
          </cell>
          <cell r="P304" t="str">
            <v>012.74.56.92</v>
          </cell>
          <cell r="Q304" t="str">
            <v>catherine.delwaide@notaris.be</v>
          </cell>
          <cell r="R304">
            <v>377</v>
          </cell>
          <cell r="T304">
            <v>38418</v>
          </cell>
        </row>
        <row r="305">
          <cell r="A305">
            <v>304</v>
          </cell>
          <cell r="B305" t="str">
            <v>DEMAEGHT Marc</v>
          </cell>
          <cell r="C305" t="str">
            <v>DEMAEGHT Marc</v>
          </cell>
          <cell r="D305" t="str">
            <v>Notaris</v>
          </cell>
          <cell r="E305" t="str">
            <v>Veerledorp</v>
          </cell>
          <cell r="F305" t="str">
            <v>30</v>
          </cell>
          <cell r="G305" t="str">
            <v/>
          </cell>
          <cell r="H305" t="str">
            <v>2431</v>
          </cell>
          <cell r="I305" t="str">
            <v>Antwerpen</v>
          </cell>
          <cell r="K305" t="str">
            <v>Veerle</v>
          </cell>
          <cell r="M305" t="str">
            <v>M</v>
          </cell>
          <cell r="O305" t="str">
            <v>014.84.14.44</v>
          </cell>
          <cell r="P305" t="str">
            <v>014.84.01.44</v>
          </cell>
          <cell r="Q305" t="str">
            <v>MARC.DEMAEGHT@NOTARIS.BE</v>
          </cell>
          <cell r="R305">
            <v>2945</v>
          </cell>
        </row>
        <row r="306">
          <cell r="A306">
            <v>305</v>
          </cell>
          <cell r="B306" t="str">
            <v>DE MAESSCHALCK Pierre</v>
          </cell>
          <cell r="C306" t="str">
            <v>DeMaesschalck Pierre</v>
          </cell>
          <cell r="D306" t="str">
            <v>Notaris</v>
          </cell>
          <cell r="E306" t="str">
            <v>Prinses Stefanieplein</v>
          </cell>
          <cell r="F306" t="str">
            <v>35-37</v>
          </cell>
          <cell r="G306" t="str">
            <v/>
          </cell>
          <cell r="H306" t="str">
            <v>8400</v>
          </cell>
          <cell r="I306" t="str">
            <v>West-Vlaanderen</v>
          </cell>
          <cell r="K306" t="str">
            <v>Oostende</v>
          </cell>
          <cell r="L306">
            <v>18173</v>
          </cell>
          <cell r="M306" t="str">
            <v>M</v>
          </cell>
          <cell r="O306" t="str">
            <v>059.70.23.29</v>
          </cell>
          <cell r="P306" t="str">
            <v>059.50.42.80</v>
          </cell>
          <cell r="Q306" t="str">
            <v>PIERRE.DEMAESSCHALCK@NOTARIS.BE</v>
          </cell>
          <cell r="R306">
            <v>2506</v>
          </cell>
        </row>
        <row r="307">
          <cell r="A307">
            <v>306</v>
          </cell>
          <cell r="B307" t="str">
            <v>DE MAN Paul</v>
          </cell>
          <cell r="C307" t="str">
            <v>DeMan Paul</v>
          </cell>
          <cell r="D307" t="str">
            <v>Notaris</v>
          </cell>
          <cell r="E307" t="str">
            <v>Lessensestraat</v>
          </cell>
          <cell r="F307" t="str">
            <v>31</v>
          </cell>
          <cell r="G307" t="str">
            <v/>
          </cell>
          <cell r="H307" t="str">
            <v>9500</v>
          </cell>
          <cell r="I307" t="str">
            <v>Oost-Vlaanderen</v>
          </cell>
          <cell r="K307" t="str">
            <v>Geraardsbergen</v>
          </cell>
          <cell r="M307" t="str">
            <v>M</v>
          </cell>
          <cell r="O307" t="str">
            <v>054.41.22.22</v>
          </cell>
          <cell r="P307" t="str">
            <v>054.41.66.05</v>
          </cell>
          <cell r="Q307" t="str">
            <v>PAUL.DEMAN@NOTARIS.BE</v>
          </cell>
          <cell r="R307">
            <v>3078</v>
          </cell>
        </row>
        <row r="308">
          <cell r="A308">
            <v>307</v>
          </cell>
          <cell r="B308" t="str">
            <v>DE MARE Michel</v>
          </cell>
          <cell r="C308" t="str">
            <v>DeMare Michel</v>
          </cell>
          <cell r="D308" t="str">
            <v>Notaris</v>
          </cell>
          <cell r="E308" t="str">
            <v>Avenue Paul Poncelet</v>
          </cell>
          <cell r="F308" t="str">
            <v>1</v>
          </cell>
          <cell r="G308" t="str">
            <v/>
          </cell>
          <cell r="H308" t="str">
            <v>6870</v>
          </cell>
          <cell r="I308" t="str">
            <v>Luxembourg</v>
          </cell>
          <cell r="K308" t="str">
            <v>Saint-Hubert</v>
          </cell>
          <cell r="M308" t="str">
            <v>M</v>
          </cell>
          <cell r="O308" t="str">
            <v>061.61.10.03</v>
          </cell>
          <cell r="P308" t="str">
            <v>061.61.20.89</v>
          </cell>
          <cell r="Q308" t="str">
            <v>MICHEL.DEMARE@NOTAIRE.BE</v>
          </cell>
          <cell r="R308">
            <v>2647</v>
          </cell>
        </row>
        <row r="309">
          <cell r="A309">
            <v>308</v>
          </cell>
          <cell r="B309" t="str">
            <v>Demblon Pierre &amp; Valentine</v>
          </cell>
          <cell r="C309" t="str">
            <v>Demblon Pierre</v>
          </cell>
          <cell r="D309" t="str">
            <v>Geassocieerd Notaris</v>
          </cell>
          <cell r="E309" t="str">
            <v>Rue de Gembloux</v>
          </cell>
          <cell r="F309" t="str">
            <v>84</v>
          </cell>
          <cell r="G309" t="str">
            <v/>
          </cell>
          <cell r="H309" t="str">
            <v>5002</v>
          </cell>
          <cell r="I309" t="str">
            <v>Namur</v>
          </cell>
          <cell r="K309" t="str">
            <v>Saint-Servais</v>
          </cell>
          <cell r="M309" t="str">
            <v>M</v>
          </cell>
          <cell r="O309" t="str">
            <v>081.73.02.97</v>
          </cell>
          <cell r="P309" t="str">
            <v>081.73.07.97</v>
          </cell>
          <cell r="Q309" t="str">
            <v>PIERRE.DEMBLON@NOTAIRE.BE</v>
          </cell>
          <cell r="R309">
            <v>862</v>
          </cell>
        </row>
        <row r="310">
          <cell r="A310">
            <v>309</v>
          </cell>
          <cell r="B310" t="str">
            <v>Demblon Pierre &amp; Valentine</v>
          </cell>
          <cell r="C310" t="str">
            <v>Demblon Valentine</v>
          </cell>
          <cell r="D310" t="str">
            <v>Geassocieerd Notaris</v>
          </cell>
          <cell r="E310" t="str">
            <v>Rue de Gembloux</v>
          </cell>
          <cell r="F310" t="str">
            <v>84</v>
          </cell>
          <cell r="G310" t="str">
            <v/>
          </cell>
          <cell r="H310" t="str">
            <v>5002</v>
          </cell>
          <cell r="I310" t="str">
            <v>Namur</v>
          </cell>
          <cell r="K310" t="str">
            <v>Saint-Servais</v>
          </cell>
          <cell r="M310" t="str">
            <v>Vr</v>
          </cell>
          <cell r="O310" t="str">
            <v>081.73.02.97</v>
          </cell>
          <cell r="P310" t="str">
            <v>081.73.07.97</v>
          </cell>
          <cell r="Q310" t="str">
            <v>PIERRE.DEMBLON@NOTAIRE.BE</v>
          </cell>
          <cell r="R310">
            <v>862</v>
          </cell>
          <cell r="T310">
            <v>38331</v>
          </cell>
        </row>
        <row r="311">
          <cell r="A311">
            <v>310</v>
          </cell>
          <cell r="B311" t="str">
            <v>DE MEIRSMAN Paul</v>
          </cell>
          <cell r="C311" t="str">
            <v>DeMeirsman Paul</v>
          </cell>
          <cell r="D311" t="str">
            <v>Notaris</v>
          </cell>
          <cell r="E311" t="str">
            <v>Roomstraat</v>
          </cell>
          <cell r="F311" t="str">
            <v>39</v>
          </cell>
          <cell r="G311" t="str">
            <v/>
          </cell>
          <cell r="H311" t="str">
            <v>9160</v>
          </cell>
          <cell r="I311" t="str">
            <v>Oost-Vlaanderen</v>
          </cell>
          <cell r="K311" t="str">
            <v>Lokeren</v>
          </cell>
          <cell r="M311" t="str">
            <v>M</v>
          </cell>
          <cell r="O311" t="str">
            <v>09.348.47.53</v>
          </cell>
          <cell r="P311" t="str">
            <v>09.348.92.33</v>
          </cell>
          <cell r="Q311" t="str">
            <v>PAUL.DEMEIRSMAN@NOTARIS.BE</v>
          </cell>
          <cell r="R311">
            <v>1273</v>
          </cell>
        </row>
        <row r="312">
          <cell r="A312">
            <v>311</v>
          </cell>
          <cell r="B312" t="str">
            <v>DE MEULDER Jean-Marie</v>
          </cell>
          <cell r="C312" t="str">
            <v>DeMeulder Jean-Marie</v>
          </cell>
          <cell r="D312" t="str">
            <v>Notaris</v>
          </cell>
          <cell r="E312" t="str">
            <v>Lange Lozanastraat</v>
          </cell>
          <cell r="F312" t="str">
            <v>92</v>
          </cell>
          <cell r="G312" t="str">
            <v/>
          </cell>
          <cell r="H312" t="str">
            <v>2018</v>
          </cell>
          <cell r="I312" t="str">
            <v>Antwerpen</v>
          </cell>
          <cell r="K312" t="str">
            <v>Antwerpen</v>
          </cell>
          <cell r="M312" t="str">
            <v>M</v>
          </cell>
          <cell r="O312" t="str">
            <v>03.237.78.15</v>
          </cell>
          <cell r="P312" t="str">
            <v>03.237.22.30</v>
          </cell>
          <cell r="Q312" t="str">
            <v>JEANMARIE.DEMEULDER@NOTARIS.BE</v>
          </cell>
          <cell r="R312">
            <v>2500</v>
          </cell>
        </row>
        <row r="313">
          <cell r="A313">
            <v>312</v>
          </cell>
          <cell r="B313" t="str">
            <v>DEMEULEMEESTER Ignace</v>
          </cell>
          <cell r="C313" t="str">
            <v>DEMEULEMEESTER Ignace</v>
          </cell>
          <cell r="D313" t="str">
            <v>Notaris</v>
          </cell>
          <cell r="E313" t="str">
            <v>Statiestraat</v>
          </cell>
          <cell r="F313" t="str">
            <v>10</v>
          </cell>
          <cell r="G313" t="str">
            <v/>
          </cell>
          <cell r="H313" t="str">
            <v>8570</v>
          </cell>
          <cell r="I313" t="str">
            <v>West-Vlaanderen</v>
          </cell>
          <cell r="K313" t="str">
            <v>Anzegem</v>
          </cell>
          <cell r="L313">
            <v>20137</v>
          </cell>
          <cell r="M313" t="str">
            <v>M</v>
          </cell>
          <cell r="O313" t="str">
            <v>056.68.80.62</v>
          </cell>
          <cell r="P313" t="str">
            <v>056.68.73.42</v>
          </cell>
          <cell r="Q313" t="str">
            <v>IGNACE.DEMEULEMEESTER@NOTARIS.BE</v>
          </cell>
          <cell r="R313">
            <v>2790</v>
          </cell>
        </row>
        <row r="314">
          <cell r="A314">
            <v>313</v>
          </cell>
          <cell r="B314" t="str">
            <v>de MUELENAERE B.V.B.A. Luc</v>
          </cell>
          <cell r="C314" t="str">
            <v>deMeulenaere Luc</v>
          </cell>
          <cell r="D314" t="str">
            <v>Notaris</v>
          </cell>
          <cell r="E314" t="str">
            <v>Europalaan</v>
          </cell>
          <cell r="F314" t="str">
            <v>14</v>
          </cell>
          <cell r="G314" t="str">
            <v/>
          </cell>
          <cell r="H314" t="str">
            <v>8560</v>
          </cell>
          <cell r="I314" t="str">
            <v>West-Vlaanderen</v>
          </cell>
          <cell r="K314" t="str">
            <v>Gullegem</v>
          </cell>
          <cell r="L314">
            <v>18900</v>
          </cell>
          <cell r="M314" t="str">
            <v>M</v>
          </cell>
          <cell r="O314" t="str">
            <v>056.42.44.44</v>
          </cell>
          <cell r="P314" t="str">
            <v>056.43.87.57</v>
          </cell>
          <cell r="Q314" t="str">
            <v>LUC.DEMUELENAERE@NOTARIS.BE</v>
          </cell>
          <cell r="R314">
            <v>2616</v>
          </cell>
        </row>
        <row r="315">
          <cell r="A315">
            <v>314</v>
          </cell>
          <cell r="B315" t="str">
            <v>DEMEURE de LESPAUL Fabrice</v>
          </cell>
          <cell r="C315" t="str">
            <v>DemeuredeLespaul Fabrice</v>
          </cell>
          <cell r="D315" t="str">
            <v>Notaris</v>
          </cell>
          <cell r="E315" t="str">
            <v>Rue de la Grande Triperie</v>
          </cell>
          <cell r="F315" t="str">
            <v>3</v>
          </cell>
          <cell r="G315" t="str">
            <v/>
          </cell>
          <cell r="H315" t="str">
            <v>7000</v>
          </cell>
          <cell r="I315" t="str">
            <v>Hainaut</v>
          </cell>
          <cell r="K315" t="str">
            <v>Mons</v>
          </cell>
          <cell r="M315" t="str">
            <v>M</v>
          </cell>
          <cell r="O315" t="str">
            <v>065.35.20.03</v>
          </cell>
          <cell r="P315" t="str">
            <v>065.36.05.37</v>
          </cell>
          <cell r="Q315" t="str">
            <v>FABRICE.DEMEUREDELESPAUL@NOTAIRE.BE</v>
          </cell>
          <cell r="R315">
            <v>3179</v>
          </cell>
        </row>
        <row r="316">
          <cell r="A316">
            <v>315</v>
          </cell>
          <cell r="B316" t="str">
            <v>DEMEYER Jean-Pierre</v>
          </cell>
          <cell r="C316" t="str">
            <v>DEMEYER Jean-Pierre</v>
          </cell>
          <cell r="D316" t="str">
            <v>Notaris</v>
          </cell>
          <cell r="E316" t="str">
            <v>Sint-Baafsstraat</v>
          </cell>
          <cell r="F316" t="str">
            <v>16</v>
          </cell>
          <cell r="G316" t="str">
            <v/>
          </cell>
          <cell r="H316" t="str">
            <v>8200</v>
          </cell>
          <cell r="I316" t="str">
            <v>West-Vlaanderen</v>
          </cell>
          <cell r="K316" t="str">
            <v>Sint-Andries Brugge)</v>
          </cell>
          <cell r="L316">
            <v>16214</v>
          </cell>
          <cell r="M316" t="str">
            <v>M</v>
          </cell>
          <cell r="O316" t="str">
            <v>050.39.38.56</v>
          </cell>
          <cell r="P316" t="str">
            <v>050.39.38.41</v>
          </cell>
          <cell r="Q316" t="str">
            <v>JEANPIERRE.DEMEYER@NOTARIS.BE</v>
          </cell>
          <cell r="R316">
            <v>2596</v>
          </cell>
        </row>
        <row r="317">
          <cell r="A317">
            <v>316</v>
          </cell>
          <cell r="B317" t="str">
            <v>DE MEYER Patrick</v>
          </cell>
          <cell r="C317" t="str">
            <v>DeMeyer Patrick</v>
          </cell>
          <cell r="D317" t="str">
            <v>Notaris</v>
          </cell>
          <cell r="E317" t="str">
            <v>Boulevard Léopold II-laan</v>
          </cell>
          <cell r="F317" t="str">
            <v>159</v>
          </cell>
          <cell r="G317" t="str">
            <v/>
          </cell>
          <cell r="H317" t="str">
            <v>1080</v>
          </cell>
          <cell r="I317" t="str">
            <v>Bruxelles</v>
          </cell>
          <cell r="K317" t="str">
            <v>Bruxelles</v>
          </cell>
          <cell r="M317" t="str">
            <v>M</v>
          </cell>
          <cell r="O317" t="str">
            <v>02.425.83.99</v>
          </cell>
          <cell r="P317" t="str">
            <v>02.425.13.05</v>
          </cell>
          <cell r="Q317" t="str">
            <v>patrick.demeyer@belnot.be</v>
          </cell>
          <cell r="R317">
            <v>2794</v>
          </cell>
        </row>
        <row r="318">
          <cell r="A318">
            <v>317</v>
          </cell>
          <cell r="B318" t="str">
            <v>de MOL Jacques</v>
          </cell>
          <cell r="C318" t="str">
            <v>deMol Jacques</v>
          </cell>
          <cell r="D318" t="str">
            <v>Notaris</v>
          </cell>
          <cell r="E318" t="str">
            <v>Avenue Louise</v>
          </cell>
          <cell r="F318" t="str">
            <v>479</v>
          </cell>
          <cell r="G318" t="str">
            <v>bte 51</v>
          </cell>
          <cell r="H318" t="str">
            <v>1050</v>
          </cell>
          <cell r="I318" t="str">
            <v>Bruxelles</v>
          </cell>
          <cell r="K318" t="str">
            <v>Bruxelles</v>
          </cell>
          <cell r="M318" t="str">
            <v>M</v>
          </cell>
          <cell r="O318" t="str">
            <v>02.649.20.50</v>
          </cell>
          <cell r="P318" t="str">
            <v>02.647.39.44</v>
          </cell>
          <cell r="Q318" t="str">
            <v>JACQUES.DEMOL@NOTARIS.BE</v>
          </cell>
          <cell r="R318">
            <v>910</v>
          </cell>
        </row>
        <row r="319">
          <cell r="A319">
            <v>318</v>
          </cell>
          <cell r="B319" t="str">
            <v>HUGO TACK &amp; CATHERINE DE MOOR</v>
          </cell>
          <cell r="C319" t="str">
            <v>DeMoor Catherine</v>
          </cell>
          <cell r="D319" t="str">
            <v>Geassocieerd Notaris</v>
          </cell>
          <cell r="E319" t="str">
            <v>Zamanstraat</v>
          </cell>
          <cell r="F319" t="str">
            <v>14</v>
          </cell>
          <cell r="G319" t="str">
            <v/>
          </cell>
          <cell r="H319" t="str">
            <v>9100</v>
          </cell>
          <cell r="I319" t="str">
            <v>Oost-Vlaanderen</v>
          </cell>
          <cell r="K319" t="str">
            <v>Sint-Niklaas</v>
          </cell>
          <cell r="M319" t="str">
            <v>Vr</v>
          </cell>
          <cell r="O319" t="str">
            <v>03/776.02.38</v>
          </cell>
          <cell r="P319" t="str">
            <v>03/766.11.53</v>
          </cell>
          <cell r="Q319" t="str">
            <v>catherine.demoor@notaris.be</v>
          </cell>
          <cell r="R319">
            <v>3654</v>
          </cell>
        </row>
        <row r="320">
          <cell r="A320">
            <v>319</v>
          </cell>
          <cell r="B320" t="str">
            <v>DE MUYLDER Michel</v>
          </cell>
          <cell r="C320" t="str">
            <v>DeMuylder Michel</v>
          </cell>
          <cell r="D320" t="str">
            <v>Notaris</v>
          </cell>
          <cell r="E320" t="str">
            <v>Avenue Louise</v>
          </cell>
          <cell r="F320" t="str">
            <v>502</v>
          </cell>
          <cell r="G320" t="str">
            <v>bte 15</v>
          </cell>
          <cell r="H320" t="str">
            <v>1050</v>
          </cell>
          <cell r="I320" t="str">
            <v>Bruxelles</v>
          </cell>
          <cell r="K320" t="str">
            <v>Bruxelles</v>
          </cell>
          <cell r="M320" t="str">
            <v>M</v>
          </cell>
          <cell r="O320" t="str">
            <v>02.640.29.56</v>
          </cell>
          <cell r="P320" t="str">
            <v>02.646.05.46</v>
          </cell>
          <cell r="Q320" t="str">
            <v>MICHEL.DEMUYLDER@NOTAIRE.BE</v>
          </cell>
          <cell r="R320">
            <v>3149</v>
          </cell>
        </row>
        <row r="321">
          <cell r="A321">
            <v>320</v>
          </cell>
          <cell r="B321" t="str">
            <v>de NEUVILLE Denis</v>
          </cell>
          <cell r="C321" t="str">
            <v>deNeuville Denis</v>
          </cell>
          <cell r="D321" t="str">
            <v>Notaris</v>
          </cell>
          <cell r="E321" t="str">
            <v>Rue Louvrex</v>
          </cell>
          <cell r="F321" t="str">
            <v>71-73</v>
          </cell>
          <cell r="G321" t="str">
            <v>bte 2</v>
          </cell>
          <cell r="H321" t="str">
            <v>4000</v>
          </cell>
          <cell r="I321" t="str">
            <v>Liège</v>
          </cell>
          <cell r="K321" t="str">
            <v>Liège</v>
          </cell>
          <cell r="M321" t="str">
            <v>M</v>
          </cell>
          <cell r="O321" t="str">
            <v>04.222.14.74</v>
          </cell>
          <cell r="P321" t="str">
            <v>04.223.73.39</v>
          </cell>
          <cell r="Q321" t="str">
            <v>DENIS.DENEUVILLE@NOTAIRE.BE</v>
          </cell>
          <cell r="R321">
            <v>2620</v>
          </cell>
        </row>
        <row r="322">
          <cell r="A322">
            <v>321</v>
          </cell>
          <cell r="B322" t="str">
            <v>GODIN YVES &amp; DENIS ARIANE</v>
          </cell>
          <cell r="C322" t="str">
            <v>Denis Ariane</v>
          </cell>
          <cell r="D322" t="str">
            <v>Geassocieerd Notaris</v>
          </cell>
          <cell r="E322" t="str">
            <v>Rue Bassenge</v>
          </cell>
          <cell r="F322" t="str">
            <v>47</v>
          </cell>
          <cell r="G322" t="str">
            <v/>
          </cell>
          <cell r="H322" t="str">
            <v>4000</v>
          </cell>
          <cell r="I322" t="str">
            <v>Liège</v>
          </cell>
          <cell r="K322" t="str">
            <v>Liège</v>
          </cell>
          <cell r="M322" t="str">
            <v>Vr</v>
          </cell>
          <cell r="O322" t="str">
            <v>04.223.69.44</v>
          </cell>
          <cell r="P322" t="str">
            <v>04.223.37.20</v>
          </cell>
          <cell r="Q322" t="str">
            <v>ARIANE.DENIS@NOTAIRE.BE</v>
          </cell>
          <cell r="R322">
            <v>3645</v>
          </cell>
        </row>
        <row r="323">
          <cell r="A323">
            <v>322</v>
          </cell>
          <cell r="B323" t="str">
            <v>DENOO Katia</v>
          </cell>
          <cell r="C323" t="str">
            <v>DENOO Katia</v>
          </cell>
          <cell r="D323" t="str">
            <v>Notaris</v>
          </cell>
          <cell r="E323" t="str">
            <v>Pastorieplein</v>
          </cell>
          <cell r="F323" t="str">
            <v>4-5</v>
          </cell>
          <cell r="G323" t="str">
            <v/>
          </cell>
          <cell r="H323" t="str">
            <v>8020</v>
          </cell>
          <cell r="I323" t="str">
            <v>West-Vlaanderen</v>
          </cell>
          <cell r="K323" t="str">
            <v>Oostkamp</v>
          </cell>
          <cell r="L323">
            <v>26265</v>
          </cell>
          <cell r="M323" t="str">
            <v>Vr</v>
          </cell>
          <cell r="O323" t="str">
            <v>050.82.23.51</v>
          </cell>
          <cell r="P323" t="str">
            <v>050.82.22.71</v>
          </cell>
          <cell r="Q323" t="str">
            <v>KATIA.DENOO@NOTARIS.BE</v>
          </cell>
          <cell r="R323">
            <v>3618</v>
          </cell>
        </row>
        <row r="324">
          <cell r="A324">
            <v>323</v>
          </cell>
          <cell r="B324" t="str">
            <v>Eneux &amp; Denotte</v>
          </cell>
          <cell r="C324" t="str">
            <v>Denotte Th</v>
          </cell>
          <cell r="D324" t="str">
            <v>Geassocieerd Notaris</v>
          </cell>
          <cell r="E324" t="str">
            <v>Rue Godefroid</v>
          </cell>
          <cell r="F324" t="str">
            <v>26</v>
          </cell>
          <cell r="G324" t="str">
            <v/>
          </cell>
          <cell r="H324" t="str">
            <v>5000</v>
          </cell>
          <cell r="I324" t="str">
            <v>Namur</v>
          </cell>
          <cell r="K324" t="str">
            <v>Namur</v>
          </cell>
          <cell r="M324" t="str">
            <v>M</v>
          </cell>
          <cell r="O324" t="str">
            <v>081.22.00.82</v>
          </cell>
          <cell r="P324" t="str">
            <v>081.23.07.59</v>
          </cell>
          <cell r="Q324" t="str">
            <v>PIERREYVES.ERNEUX@NOTAIRE.BE</v>
          </cell>
          <cell r="R324">
            <v>3538</v>
          </cell>
          <cell r="T324">
            <v>38735</v>
          </cell>
        </row>
        <row r="325">
          <cell r="A325">
            <v>324</v>
          </cell>
          <cell r="B325" t="str">
            <v>MICHEL SMETS &amp; MARC DENS  BVBA</v>
          </cell>
          <cell r="C325" t="str">
            <v>Dens Marc</v>
          </cell>
          <cell r="D325" t="str">
            <v>Geassocieerd Notaris</v>
          </cell>
          <cell r="E325" t="str">
            <v>Maarschalk Gerardstraat</v>
          </cell>
          <cell r="F325" t="str">
            <v>20</v>
          </cell>
          <cell r="G325" t="str">
            <v/>
          </cell>
          <cell r="H325" t="str">
            <v>2000</v>
          </cell>
          <cell r="I325" t="str">
            <v>Antwerpen</v>
          </cell>
          <cell r="K325" t="str">
            <v>Antwerpen</v>
          </cell>
          <cell r="M325" t="str">
            <v>M</v>
          </cell>
          <cell r="O325" t="str">
            <v>03.233.61.39</v>
          </cell>
          <cell r="P325" t="str">
            <v>03.225.04.53</v>
          </cell>
          <cell r="Q325" t="str">
            <v>MARC.DENS@NOTARIS.BE</v>
          </cell>
          <cell r="R325">
            <v>3635</v>
          </cell>
        </row>
        <row r="326">
          <cell r="A326">
            <v>325</v>
          </cell>
          <cell r="B326" t="str">
            <v>DENYS Bernard</v>
          </cell>
          <cell r="C326" t="str">
            <v>DENYS Bernard</v>
          </cell>
          <cell r="D326" t="str">
            <v>Notaris</v>
          </cell>
          <cell r="E326" t="str">
            <v>Oudenaardsesteenweg</v>
          </cell>
          <cell r="F326" t="str">
            <v>141</v>
          </cell>
          <cell r="G326" t="str">
            <v/>
          </cell>
          <cell r="H326" t="str">
            <v>8580</v>
          </cell>
          <cell r="I326" t="str">
            <v>West-Vlaanderen</v>
          </cell>
          <cell r="K326" t="str">
            <v>Avelgem</v>
          </cell>
          <cell r="L326">
            <v>23835</v>
          </cell>
          <cell r="M326" t="str">
            <v>M</v>
          </cell>
          <cell r="O326" t="str">
            <v>056.64.40.91</v>
          </cell>
          <cell r="P326" t="str">
            <v>056.64.40.97</v>
          </cell>
          <cell r="Q326" t="str">
            <v>BERNARD.DENYS@NOTARIS.BE</v>
          </cell>
          <cell r="R326">
            <v>3092</v>
          </cell>
        </row>
        <row r="327">
          <cell r="A327">
            <v>326</v>
          </cell>
          <cell r="B327" t="str">
            <v>Denys Christiane</v>
          </cell>
          <cell r="C327" t="str">
            <v>Denys Christiane</v>
          </cell>
          <cell r="D327" t="str">
            <v>Notaris</v>
          </cell>
          <cell r="E327" t="str">
            <v>Dr.A. Rubbensstraat</v>
          </cell>
          <cell r="F327" t="str">
            <v>30</v>
          </cell>
          <cell r="G327" t="str">
            <v/>
          </cell>
          <cell r="H327" t="str">
            <v>9240</v>
          </cell>
          <cell r="I327" t="str">
            <v>Oost-Vlaanderen</v>
          </cell>
          <cell r="K327" t="str">
            <v>Zele</v>
          </cell>
          <cell r="M327" t="str">
            <v>Vr</v>
          </cell>
          <cell r="O327" t="str">
            <v>052.45.20.20</v>
          </cell>
          <cell r="P327" t="str">
            <v>052.45.00.84</v>
          </cell>
          <cell r="Q327" t="str">
            <v>christiane.denys@notaris.be</v>
          </cell>
          <cell r="R327">
            <v>207</v>
          </cell>
          <cell r="T327">
            <v>38621</v>
          </cell>
        </row>
        <row r="328">
          <cell r="A328">
            <v>327</v>
          </cell>
          <cell r="B328" t="str">
            <v>DENYS Jan</v>
          </cell>
          <cell r="C328" t="str">
            <v>DENYS Jan</v>
          </cell>
          <cell r="D328" t="str">
            <v>Notaris</v>
          </cell>
          <cell r="E328" t="str">
            <v>Hoge Weg</v>
          </cell>
          <cell r="F328" t="str">
            <v>24</v>
          </cell>
          <cell r="G328" t="str">
            <v/>
          </cell>
          <cell r="H328" t="str">
            <v>3118</v>
          </cell>
          <cell r="I328" t="str">
            <v>Vlaams Brabant</v>
          </cell>
          <cell r="K328" t="str">
            <v>Werchter</v>
          </cell>
          <cell r="M328" t="str">
            <v>M</v>
          </cell>
          <cell r="O328" t="str">
            <v>016.60.11.21</v>
          </cell>
          <cell r="P328" t="str">
            <v>016.60.58.52</v>
          </cell>
          <cell r="Q328" t="str">
            <v>JAN.DENYS@NOTARIS.BE</v>
          </cell>
          <cell r="R328">
            <v>2973</v>
          </cell>
        </row>
        <row r="329">
          <cell r="A329">
            <v>328</v>
          </cell>
          <cell r="B329" t="str">
            <v>DENYS Jean</v>
          </cell>
          <cell r="C329" t="str">
            <v>DENYS Jean</v>
          </cell>
          <cell r="D329" t="str">
            <v>Notaris</v>
          </cell>
          <cell r="E329" t="str">
            <v>Grand´Route</v>
          </cell>
          <cell r="F329" t="str">
            <v>364</v>
          </cell>
          <cell r="G329" t="str">
            <v/>
          </cell>
          <cell r="H329" t="str">
            <v>4400</v>
          </cell>
          <cell r="I329" t="str">
            <v>Liège</v>
          </cell>
          <cell r="K329" t="str">
            <v>Flémalle-Haute</v>
          </cell>
          <cell r="M329" t="str">
            <v>M</v>
          </cell>
          <cell r="O329" t="str">
            <v>04.233.81.15</v>
          </cell>
          <cell r="P329" t="str">
            <v>04.233.11.98</v>
          </cell>
          <cell r="Q329" t="str">
            <v>JEAN.DENYS@NOTAIRE.BE</v>
          </cell>
          <cell r="R329">
            <v>2873</v>
          </cell>
        </row>
        <row r="330">
          <cell r="A330">
            <v>329</v>
          </cell>
          <cell r="B330" t="str">
            <v>DENYS Pascal</v>
          </cell>
          <cell r="C330" t="str">
            <v>DENYS Pascal</v>
          </cell>
          <cell r="D330" t="str">
            <v>Notaris</v>
          </cell>
          <cell r="E330" t="str">
            <v>Leopoldstraat</v>
          </cell>
          <cell r="F330" t="str">
            <v>45</v>
          </cell>
          <cell r="G330" t="str">
            <v/>
          </cell>
          <cell r="H330" t="str">
            <v>8550</v>
          </cell>
          <cell r="I330" t="str">
            <v>West-Vlaanderen</v>
          </cell>
          <cell r="K330" t="str">
            <v>Zwevegem</v>
          </cell>
          <cell r="L330">
            <v>23518</v>
          </cell>
          <cell r="M330" t="str">
            <v>M</v>
          </cell>
          <cell r="O330" t="str">
            <v>056.76.05.88</v>
          </cell>
          <cell r="P330" t="str">
            <v>056.76.05.80</v>
          </cell>
          <cell r="Q330" t="str">
            <v>PASCAL.DENYS@NOTARIS.BE</v>
          </cell>
          <cell r="R330">
            <v>3079</v>
          </cell>
        </row>
        <row r="331">
          <cell r="A331">
            <v>330</v>
          </cell>
          <cell r="B331" t="str">
            <v>DENYS Piet</v>
          </cell>
          <cell r="C331" t="str">
            <v>DENYS Piet</v>
          </cell>
          <cell r="D331" t="str">
            <v>Notaris</v>
          </cell>
          <cell r="E331" t="str">
            <v>Torhoutsestraat</v>
          </cell>
          <cell r="F331" t="str">
            <v>69</v>
          </cell>
          <cell r="G331" t="str">
            <v/>
          </cell>
          <cell r="H331" t="str">
            <v>8020</v>
          </cell>
          <cell r="I331" t="str">
            <v>West-Vlaanderen</v>
          </cell>
          <cell r="K331" t="str">
            <v>Ruddervoorde</v>
          </cell>
          <cell r="L331">
            <v>19444</v>
          </cell>
          <cell r="M331" t="str">
            <v>M</v>
          </cell>
          <cell r="O331" t="str">
            <v>050.27.73.57</v>
          </cell>
          <cell r="P331" t="str">
            <v>050.27.52.06</v>
          </cell>
          <cell r="Q331" t="str">
            <v>PIET.DENYS@NOTARIS.BE</v>
          </cell>
          <cell r="R331">
            <v>2570</v>
          </cell>
        </row>
        <row r="332">
          <cell r="A332">
            <v>331</v>
          </cell>
          <cell r="B332" t="str">
            <v>DEPOUHON Jean-Pol</v>
          </cell>
          <cell r="C332" t="str">
            <v>DEPOUHON Jean-Pol</v>
          </cell>
          <cell r="D332" t="str">
            <v>Notaris</v>
          </cell>
          <cell r="E332" t="str">
            <v>Rue Benne Brulée</v>
          </cell>
          <cell r="F332" t="str">
            <v>77</v>
          </cell>
          <cell r="G332" t="str">
            <v/>
          </cell>
          <cell r="H332" t="str">
            <v>5621</v>
          </cell>
          <cell r="I332" t="str">
            <v>Namur</v>
          </cell>
          <cell r="K332" t="str">
            <v>Morialmé</v>
          </cell>
          <cell r="M332" t="str">
            <v>M</v>
          </cell>
          <cell r="O332" t="str">
            <v>071.68.80.72</v>
          </cell>
          <cell r="P332" t="str">
            <v>071.68.82.77</v>
          </cell>
          <cell r="Q332" t="str">
            <v>JEANPOL.DEPOUHON@NOTAIRE.BE</v>
          </cell>
          <cell r="R332">
            <v>2478</v>
          </cell>
        </row>
        <row r="333">
          <cell r="A333">
            <v>332</v>
          </cell>
          <cell r="B333" t="str">
            <v>DEPOUHON Valerie</v>
          </cell>
          <cell r="C333" t="str">
            <v>DEPOUHON Valerie</v>
          </cell>
          <cell r="D333" t="str">
            <v>Notaris</v>
          </cell>
          <cell r="E333" t="str">
            <v>Grand Rue</v>
          </cell>
          <cell r="F333" t="str">
            <v>28</v>
          </cell>
          <cell r="G333" t="str">
            <v/>
          </cell>
          <cell r="H333" t="str">
            <v>6183</v>
          </cell>
          <cell r="I333" t="str">
            <v>Hainaut</v>
          </cell>
          <cell r="K333" t="str">
            <v>Trazegnies</v>
          </cell>
          <cell r="M333" t="str">
            <v>Vr</v>
          </cell>
          <cell r="O333" t="str">
            <v>071.46.28.80</v>
          </cell>
          <cell r="P333" t="str">
            <v>071.45.91.76</v>
          </cell>
          <cell r="Q333" t="str">
            <v>VALERIE.DEPOUHON@NOTAIRE.BE</v>
          </cell>
          <cell r="R333">
            <v>3127</v>
          </cell>
        </row>
        <row r="334">
          <cell r="A334">
            <v>333</v>
          </cell>
          <cell r="B334" t="str">
            <v>De Proft Peter</v>
          </cell>
          <cell r="C334" t="str">
            <v>DeProft Peter</v>
          </cell>
          <cell r="D334" t="str">
            <v>Notaris</v>
          </cell>
          <cell r="E334" t="str">
            <v>Guido Gezellelaan</v>
          </cell>
          <cell r="F334" t="str">
            <v>60</v>
          </cell>
          <cell r="G334" t="str">
            <v/>
          </cell>
          <cell r="H334" t="str">
            <v>9800</v>
          </cell>
          <cell r="I334" t="str">
            <v>Oost-Vlaanderen</v>
          </cell>
          <cell r="K334" t="str">
            <v>Deinze</v>
          </cell>
          <cell r="M334" t="str">
            <v>M</v>
          </cell>
          <cell r="O334" t="str">
            <v>09.386.13.30</v>
          </cell>
          <cell r="P334" t="str">
            <v>09.387.00.16</v>
          </cell>
          <cell r="Q334" t="str">
            <v>peter.deproft@notaris.be</v>
          </cell>
          <cell r="T334">
            <v>38537</v>
          </cell>
        </row>
        <row r="335">
          <cell r="A335">
            <v>334</v>
          </cell>
          <cell r="B335" t="str">
            <v>Notaris André Depuydt BVBA</v>
          </cell>
          <cell r="C335" t="str">
            <v>Depuydt André</v>
          </cell>
          <cell r="D335" t="str">
            <v>Notaris</v>
          </cell>
          <cell r="E335" t="str">
            <v>Kloosterstraat</v>
          </cell>
          <cell r="F335" t="str">
            <v>23</v>
          </cell>
          <cell r="G335" t="str">
            <v/>
          </cell>
          <cell r="H335" t="str">
            <v>9150</v>
          </cell>
          <cell r="I335" t="str">
            <v>Oost-Vlaanderen</v>
          </cell>
          <cell r="K335" t="str">
            <v>Rupelmonde</v>
          </cell>
          <cell r="M335" t="str">
            <v>M</v>
          </cell>
          <cell r="O335" t="str">
            <v>03.774.10.37</v>
          </cell>
          <cell r="P335" t="str">
            <v>03.774.28.41</v>
          </cell>
          <cell r="Q335" t="str">
            <v>ANDRE.DEPUYDT@NOTARIS.BE</v>
          </cell>
          <cell r="R335">
            <v>2822</v>
          </cell>
        </row>
        <row r="336">
          <cell r="A336">
            <v>335</v>
          </cell>
          <cell r="B336" t="str">
            <v>André DE RYCK &amp; Koen DE PUYDT</v>
          </cell>
          <cell r="C336" t="str">
            <v>DePuydt Koen</v>
          </cell>
          <cell r="D336" t="str">
            <v>Geassocieerd Notaris</v>
          </cell>
          <cell r="E336" t="str">
            <v>Markt</v>
          </cell>
          <cell r="F336" t="str">
            <v>7</v>
          </cell>
          <cell r="G336" t="str">
            <v/>
          </cell>
          <cell r="H336" t="str">
            <v>1730</v>
          </cell>
          <cell r="I336" t="str">
            <v>Vlaams Brabant</v>
          </cell>
          <cell r="K336" t="str">
            <v>Asse</v>
          </cell>
          <cell r="M336" t="str">
            <v>M</v>
          </cell>
          <cell r="O336" t="str">
            <v>02.452.95.95.</v>
          </cell>
          <cell r="P336" t="str">
            <v>02.452.35.87.</v>
          </cell>
          <cell r="Q336" t="str">
            <v>ANDRE.DERYCK@NOTARIS.BE</v>
          </cell>
          <cell r="R336">
            <v>3663</v>
          </cell>
        </row>
        <row r="337">
          <cell r="A337">
            <v>336</v>
          </cell>
          <cell r="B337" t="str">
            <v>BVBA DEPUYT &amp; RAES</v>
          </cell>
          <cell r="C337" t="str">
            <v>Depuyt Frank</v>
          </cell>
          <cell r="D337" t="str">
            <v>Geassocieerd Notaris</v>
          </cell>
          <cell r="E337" t="str">
            <v>Boulevard du Jubilé</v>
          </cell>
          <cell r="F337" t="str">
            <v>92</v>
          </cell>
          <cell r="G337" t="str">
            <v/>
          </cell>
          <cell r="H337" t="str">
            <v>1080</v>
          </cell>
          <cell r="I337" t="str">
            <v>Bruxelles</v>
          </cell>
          <cell r="K337" t="str">
            <v>Bruxelles</v>
          </cell>
          <cell r="M337" t="str">
            <v>M</v>
          </cell>
          <cell r="O337" t="str">
            <v>02.426.34.34</v>
          </cell>
          <cell r="P337" t="str">
            <v>02.424.11.62</v>
          </cell>
          <cell r="Q337" t="str">
            <v>FRANK.DEPUYT@NOTARIS.BE</v>
          </cell>
          <cell r="R337">
            <v>3498</v>
          </cell>
        </row>
        <row r="338">
          <cell r="A338">
            <v>337</v>
          </cell>
          <cell r="B338" t="str">
            <v>DERACHE Hans</v>
          </cell>
          <cell r="C338" t="str">
            <v>DERACHE Hans</v>
          </cell>
          <cell r="D338" t="str">
            <v>Notaris</v>
          </cell>
          <cell r="E338" t="str">
            <v>Laar</v>
          </cell>
          <cell r="F338" t="str">
            <v>1 D</v>
          </cell>
          <cell r="G338" t="str">
            <v/>
          </cell>
          <cell r="H338" t="str">
            <v>3980</v>
          </cell>
          <cell r="I338" t="str">
            <v>Limburg</v>
          </cell>
          <cell r="K338" t="str">
            <v>Tessenderlo</v>
          </cell>
          <cell r="M338" t="str">
            <v>M</v>
          </cell>
          <cell r="O338" t="str">
            <v>013.66.21.66</v>
          </cell>
          <cell r="P338" t="str">
            <v>013.66.71.63</v>
          </cell>
          <cell r="Q338" t="str">
            <v>HANS.DERACHE@NOTARIS.BE</v>
          </cell>
          <cell r="R338">
            <v>3548</v>
          </cell>
        </row>
        <row r="339">
          <cell r="A339">
            <v>338</v>
          </cell>
          <cell r="B339" t="str">
            <v>DE RAEDT Frank</v>
          </cell>
          <cell r="C339" t="str">
            <v>DeRaedt Frank</v>
          </cell>
          <cell r="D339" t="str">
            <v>Notaris</v>
          </cell>
          <cell r="E339" t="str">
            <v>Schoolstraat</v>
          </cell>
          <cell r="F339" t="str">
            <v>60</v>
          </cell>
          <cell r="G339" t="str">
            <v/>
          </cell>
          <cell r="H339" t="str">
            <v>9950</v>
          </cell>
          <cell r="I339" t="str">
            <v>Oost-Vlaanderen</v>
          </cell>
          <cell r="K339" t="str">
            <v>Waarschoot</v>
          </cell>
          <cell r="M339" t="str">
            <v>M</v>
          </cell>
          <cell r="O339" t="str">
            <v>09.377.18.94</v>
          </cell>
          <cell r="P339" t="str">
            <v>09.377.95.47</v>
          </cell>
          <cell r="Q339" t="str">
            <v>FRANK.DERAEDT@NOTARIS.BE</v>
          </cell>
          <cell r="R339">
            <v>3278</v>
          </cell>
          <cell r="S339" t="str">
            <v>290-0230275-18</v>
          </cell>
        </row>
        <row r="340">
          <cell r="A340">
            <v>339</v>
          </cell>
          <cell r="B340" t="str">
            <v>DE RAEYMAECKER Koen</v>
          </cell>
          <cell r="C340" t="str">
            <v>DeRaeymaecker Koen</v>
          </cell>
          <cell r="D340" t="str">
            <v>Notaris</v>
          </cell>
          <cell r="E340" t="str">
            <v>Quinten Matsyslei</v>
          </cell>
          <cell r="F340" t="str">
            <v>28</v>
          </cell>
          <cell r="G340" t="str">
            <v/>
          </cell>
          <cell r="H340" t="str">
            <v>2018</v>
          </cell>
          <cell r="I340" t="str">
            <v>Antwerpen</v>
          </cell>
          <cell r="K340" t="str">
            <v>Antwerpen</v>
          </cell>
          <cell r="M340" t="str">
            <v>M</v>
          </cell>
          <cell r="O340" t="str">
            <v>03.231.42.75</v>
          </cell>
          <cell r="P340" t="str">
            <v>03.233.80.53</v>
          </cell>
          <cell r="Q340" t="str">
            <v>KOEN.DERAEYMAECKER@NOTARIS.BE</v>
          </cell>
          <cell r="R340">
            <v>3468</v>
          </cell>
        </row>
        <row r="341">
          <cell r="A341">
            <v>340</v>
          </cell>
          <cell r="B341" t="str">
            <v>DERBAIX Léopold</v>
          </cell>
          <cell r="C341" t="str">
            <v>DERBAIX Léopold</v>
          </cell>
          <cell r="D341" t="str">
            <v>Notaris</v>
          </cell>
          <cell r="E341" t="str">
            <v>Avenue Wanderpepen</v>
          </cell>
          <cell r="F341" t="str">
            <v>76</v>
          </cell>
          <cell r="G341" t="str">
            <v/>
          </cell>
          <cell r="H341" t="str">
            <v>7130</v>
          </cell>
          <cell r="I341" t="str">
            <v>Hainaut</v>
          </cell>
          <cell r="K341" t="str">
            <v>Binche</v>
          </cell>
          <cell r="M341" t="str">
            <v>M</v>
          </cell>
          <cell r="O341" t="str">
            <v>064.36.68.68</v>
          </cell>
          <cell r="P341" t="str">
            <v>064.36.85.45</v>
          </cell>
          <cell r="Q341" t="str">
            <v>LEOPOLD.DERBAIX@NOTAIRE.BE</v>
          </cell>
          <cell r="R341">
            <v>3406</v>
          </cell>
        </row>
        <row r="342">
          <cell r="A342">
            <v>341</v>
          </cell>
          <cell r="B342" t="str">
            <v>DERDIN Rudy</v>
          </cell>
          <cell r="C342" t="str">
            <v>DERDIN Rudy</v>
          </cell>
          <cell r="D342" t="str">
            <v>Notaris</v>
          </cell>
          <cell r="E342" t="str">
            <v>Laar</v>
          </cell>
          <cell r="F342" t="str">
            <v>16</v>
          </cell>
          <cell r="G342" t="str">
            <v>bus 2</v>
          </cell>
          <cell r="H342" t="str">
            <v>2400</v>
          </cell>
          <cell r="I342" t="str">
            <v>Antwerpen</v>
          </cell>
          <cell r="K342" t="str">
            <v>Mol</v>
          </cell>
          <cell r="M342" t="str">
            <v>M</v>
          </cell>
          <cell r="O342" t="str">
            <v>014.31.44.01</v>
          </cell>
          <cell r="P342" t="str">
            <v>014.32.03.60</v>
          </cell>
          <cell r="Q342" t="str">
            <v>RUDY.DERDIN@NOTARIS.BE</v>
          </cell>
          <cell r="R342">
            <v>3195</v>
          </cell>
        </row>
        <row r="343">
          <cell r="A343">
            <v>342</v>
          </cell>
          <cell r="B343" t="str">
            <v>EYSKENS DEFLANDER EN VANBERGHEN</v>
          </cell>
          <cell r="C343" t="str">
            <v>Derflander Kristel</v>
          </cell>
          <cell r="D343" t="str">
            <v>Geassocieerd Notaris</v>
          </cell>
          <cell r="E343" t="str">
            <v>Steenweg op Turnhout</v>
          </cell>
          <cell r="F343" t="str">
            <v>106</v>
          </cell>
          <cell r="G343" t="str">
            <v/>
          </cell>
          <cell r="H343" t="str">
            <v>2360</v>
          </cell>
          <cell r="I343" t="str">
            <v>Antwerpen</v>
          </cell>
          <cell r="K343" t="str">
            <v>Oud-Turnhout</v>
          </cell>
          <cell r="M343" t="str">
            <v>Vr</v>
          </cell>
          <cell r="O343" t="str">
            <v>014.45.31.51</v>
          </cell>
          <cell r="P343" t="str">
            <v>014.45.31.03</v>
          </cell>
          <cell r="Q343" t="str">
            <v>kristel.deflander@notaris.be</v>
          </cell>
          <cell r="R343">
            <v>3630</v>
          </cell>
        </row>
        <row r="344">
          <cell r="A344">
            <v>343</v>
          </cell>
          <cell r="B344" t="str">
            <v>DE RIDDER Johan</v>
          </cell>
          <cell r="C344" t="str">
            <v>DeRidder Johan</v>
          </cell>
          <cell r="D344" t="str">
            <v>Notaris</v>
          </cell>
          <cell r="E344" t="str">
            <v>Sterrestraat</v>
          </cell>
          <cell r="F344" t="str">
            <v>1</v>
          </cell>
          <cell r="G344" t="str">
            <v/>
          </cell>
          <cell r="H344" t="str">
            <v>9300</v>
          </cell>
          <cell r="I344" t="str">
            <v>Oost-Vlaanderen</v>
          </cell>
          <cell r="K344" t="str">
            <v>Aalst</v>
          </cell>
          <cell r="M344" t="str">
            <v>M</v>
          </cell>
          <cell r="O344" t="str">
            <v>053.21.41.94</v>
          </cell>
          <cell r="P344" t="str">
            <v>053.71.04.69</v>
          </cell>
          <cell r="Q344" t="str">
            <v>JOHAN.DERIDDER@NOTARIS.BE</v>
          </cell>
          <cell r="R344">
            <v>2848</v>
          </cell>
        </row>
        <row r="345">
          <cell r="A345">
            <v>344</v>
          </cell>
          <cell r="B345" t="str">
            <v>de ROCHELEE Thierry-Didier &amp; MANIQUET Martine</v>
          </cell>
          <cell r="C345" t="str">
            <v>deRochelee Thierry-Didier</v>
          </cell>
          <cell r="D345" t="str">
            <v>Geassocieerd Notaris</v>
          </cell>
          <cell r="E345" t="str">
            <v>rue de Bas Oha</v>
          </cell>
          <cell r="F345" t="str">
            <v>252A</v>
          </cell>
          <cell r="G345" t="str">
            <v/>
          </cell>
          <cell r="H345" t="str">
            <v>4520</v>
          </cell>
          <cell r="I345" t="str">
            <v>Liège</v>
          </cell>
          <cell r="K345" t="str">
            <v>Wanze</v>
          </cell>
          <cell r="M345" t="str">
            <v>M</v>
          </cell>
          <cell r="O345" t="str">
            <v>085.21.12.68</v>
          </cell>
          <cell r="P345" t="str">
            <v>085.21.62.69</v>
          </cell>
          <cell r="Q345" t="str">
            <v>THIERRY.DEROCHELEE@NOTAIRE.BE</v>
          </cell>
          <cell r="R345">
            <v>3010</v>
          </cell>
        </row>
        <row r="346">
          <cell r="A346">
            <v>345</v>
          </cell>
          <cell r="B346" t="str">
            <v>DE ROECK Jos</v>
          </cell>
          <cell r="C346" t="str">
            <v>DeRoeck Jos</v>
          </cell>
          <cell r="D346" t="str">
            <v>Notaris</v>
          </cell>
          <cell r="E346" t="str">
            <v>Sint-Rochusstraat</v>
          </cell>
          <cell r="F346" t="str">
            <v>62</v>
          </cell>
          <cell r="G346" t="str">
            <v/>
          </cell>
          <cell r="H346" t="str">
            <v>2100</v>
          </cell>
          <cell r="I346" t="str">
            <v>Antwerpen</v>
          </cell>
          <cell r="K346" t="str">
            <v>Deurne Antwerpen)</v>
          </cell>
          <cell r="M346" t="str">
            <v>M</v>
          </cell>
          <cell r="O346" t="str">
            <v>03.321.36.68</v>
          </cell>
          <cell r="P346" t="str">
            <v>03.322.66.03</v>
          </cell>
          <cell r="Q346" t="str">
            <v>JOS.DEROECK@NOTARIS.BE</v>
          </cell>
          <cell r="R346">
            <v>267</v>
          </cell>
        </row>
        <row r="347">
          <cell r="A347">
            <v>346</v>
          </cell>
          <cell r="B347" t="str">
            <v>de GHELDERE - JOOS Vincent &amp; DEROOSE Eric</v>
          </cell>
          <cell r="C347" t="str">
            <v>Deroose Eric</v>
          </cell>
          <cell r="D347" t="str">
            <v>Geassocieerd Notaris</v>
          </cell>
          <cell r="E347" t="str">
            <v>Graaf D´Ursellaan</v>
          </cell>
          <cell r="F347" t="str">
            <v>36</v>
          </cell>
          <cell r="G347" t="str">
            <v>bus 8</v>
          </cell>
          <cell r="H347" t="str">
            <v>8301</v>
          </cell>
          <cell r="I347" t="str">
            <v>West-Vlaanderen</v>
          </cell>
          <cell r="K347" t="str">
            <v>Heist-aan-Zee</v>
          </cell>
          <cell r="M347" t="str">
            <v>M</v>
          </cell>
          <cell r="O347" t="str">
            <v>050.51.13.53</v>
          </cell>
          <cell r="P347" t="str">
            <v>050.51.03.90</v>
          </cell>
          <cell r="Q347" t="str">
            <v>VINCENT.DEGHELDEREJOOS@NOTARIS.BE</v>
          </cell>
          <cell r="R347">
            <v>2651</v>
          </cell>
          <cell r="T347">
            <v>38004</v>
          </cell>
        </row>
        <row r="348">
          <cell r="A348">
            <v>347</v>
          </cell>
          <cell r="B348" t="str">
            <v>DE ROP Kathleen</v>
          </cell>
          <cell r="C348" t="str">
            <v>DeRop Kathleen</v>
          </cell>
          <cell r="D348" t="str">
            <v>Notaris</v>
          </cell>
          <cell r="E348" t="str">
            <v>Edestraat</v>
          </cell>
          <cell r="F348" t="str">
            <v>21</v>
          </cell>
          <cell r="G348" t="str">
            <v/>
          </cell>
          <cell r="H348" t="str">
            <v>9990</v>
          </cell>
          <cell r="I348" t="str">
            <v>Oost-Vlaanderen</v>
          </cell>
          <cell r="K348" t="str">
            <v>Maldegem</v>
          </cell>
          <cell r="M348" t="str">
            <v>Vr</v>
          </cell>
          <cell r="O348" t="str">
            <v>050.71.10.02</v>
          </cell>
          <cell r="P348" t="str">
            <v>050.71.75.02</v>
          </cell>
          <cell r="Q348" t="str">
            <v>KATHLEEN.DEROP@NOTARIS.BE</v>
          </cell>
          <cell r="R348">
            <v>2863</v>
          </cell>
        </row>
        <row r="349">
          <cell r="A349">
            <v>348</v>
          </cell>
          <cell r="B349" t="str">
            <v>DERUE Jean-Pierre</v>
          </cell>
          <cell r="C349" t="str">
            <v>DERUE Jean-Pierre</v>
          </cell>
          <cell r="D349" t="str">
            <v>Notaris</v>
          </cell>
          <cell r="E349" t="str">
            <v>Rue de la Station</v>
          </cell>
          <cell r="F349" t="str">
            <v>83</v>
          </cell>
          <cell r="G349" t="str">
            <v/>
          </cell>
          <cell r="H349" t="str">
            <v>7070</v>
          </cell>
          <cell r="I349" t="str">
            <v>Hainaut</v>
          </cell>
          <cell r="K349" t="str">
            <v>Le Roeulx</v>
          </cell>
          <cell r="M349" t="str">
            <v>M</v>
          </cell>
          <cell r="O349" t="str">
            <v>064.66.20.45</v>
          </cell>
          <cell r="P349" t="str">
            <v>064.67.59.06</v>
          </cell>
          <cell r="Q349" t="str">
            <v>JEANPIERRE.DERUE@NOTAIRE.BE</v>
          </cell>
          <cell r="R349">
            <v>3007</v>
          </cell>
        </row>
        <row r="350">
          <cell r="A350">
            <v>349</v>
          </cell>
          <cell r="B350" t="str">
            <v>DE RUYDTS Charles</v>
          </cell>
          <cell r="C350" t="str">
            <v>DeRuydts Charles</v>
          </cell>
          <cell r="D350" t="str">
            <v>Notaris</v>
          </cell>
          <cell r="E350" t="str">
            <v>Vlaanderenstraat</v>
          </cell>
          <cell r="F350" t="str">
            <v>83</v>
          </cell>
          <cell r="G350" t="str">
            <v/>
          </cell>
          <cell r="H350" t="str">
            <v>1800</v>
          </cell>
          <cell r="I350" t="str">
            <v>Vlaams Brabant</v>
          </cell>
          <cell r="K350" t="str">
            <v>Vilvoorde</v>
          </cell>
          <cell r="M350" t="str">
            <v>M</v>
          </cell>
          <cell r="O350" t="str">
            <v>02.251.01.37</v>
          </cell>
          <cell r="P350" t="str">
            <v>02.253.13.05</v>
          </cell>
          <cell r="Q350" t="str">
            <v>CHARLES.DERUYDTS@NOTARIS.BE</v>
          </cell>
          <cell r="R350">
            <v>2701</v>
          </cell>
        </row>
        <row r="351">
          <cell r="A351">
            <v>350</v>
          </cell>
          <cell r="B351" t="str">
            <v>DE RUYDTS Edouard</v>
          </cell>
          <cell r="C351" t="str">
            <v>DeRuydts Edouard</v>
          </cell>
          <cell r="D351" t="str">
            <v>Notaris</v>
          </cell>
          <cell r="E351" t="str">
            <v>Avenue Van Volxemlaan</v>
          </cell>
          <cell r="F351" t="str">
            <v>333</v>
          </cell>
          <cell r="G351" t="str">
            <v/>
          </cell>
          <cell r="H351" t="str">
            <v>1190</v>
          </cell>
          <cell r="I351" t="str">
            <v>Bruxelles</v>
          </cell>
          <cell r="K351" t="str">
            <v>Bruxelles</v>
          </cell>
          <cell r="M351" t="str">
            <v>M</v>
          </cell>
          <cell r="O351" t="str">
            <v>02.344.61.33</v>
          </cell>
          <cell r="P351" t="str">
            <v>02.344.23.74</v>
          </cell>
          <cell r="Q351" t="str">
            <v>EDOUARD.DERUYDTS@NOTARIS.BE</v>
          </cell>
          <cell r="R351">
            <v>2816</v>
          </cell>
        </row>
        <row r="352">
          <cell r="A352">
            <v>351</v>
          </cell>
          <cell r="B352" t="str">
            <v>bvba Notaris Yves De Ruyver</v>
          </cell>
          <cell r="C352" t="str">
            <v>DeRuyver Yves</v>
          </cell>
          <cell r="D352" t="str">
            <v>Notaris</v>
          </cell>
          <cell r="E352" t="str">
            <v>Stationsstraat</v>
          </cell>
          <cell r="F352" t="str">
            <v>323</v>
          </cell>
          <cell r="G352" t="str">
            <v/>
          </cell>
          <cell r="H352" t="str">
            <v>1770</v>
          </cell>
          <cell r="I352" t="str">
            <v>Vlaams Brabant</v>
          </cell>
          <cell r="K352" t="str">
            <v>Liedekerke</v>
          </cell>
          <cell r="M352" t="str">
            <v>M</v>
          </cell>
          <cell r="O352" t="str">
            <v>053.66.64.74</v>
          </cell>
          <cell r="P352" t="str">
            <v>053.67.28.89</v>
          </cell>
          <cell r="Q352" t="str">
            <v>YVES.DERUYVER@NOTARIS.BE</v>
          </cell>
          <cell r="R352">
            <v>2582</v>
          </cell>
        </row>
        <row r="353">
          <cell r="A353">
            <v>352</v>
          </cell>
          <cell r="B353" t="str">
            <v>André DE RYCK &amp; Koen DE PUYDT</v>
          </cell>
          <cell r="C353" t="str">
            <v>DeRyck André</v>
          </cell>
          <cell r="D353" t="str">
            <v>Geassocieerd Notaris</v>
          </cell>
          <cell r="E353" t="str">
            <v>Markt</v>
          </cell>
          <cell r="F353" t="str">
            <v>7</v>
          </cell>
          <cell r="G353" t="str">
            <v/>
          </cell>
          <cell r="H353" t="str">
            <v>1730</v>
          </cell>
          <cell r="I353" t="str">
            <v>Vlaams Brabant</v>
          </cell>
          <cell r="K353" t="str">
            <v>Asse</v>
          </cell>
          <cell r="M353" t="str">
            <v>M</v>
          </cell>
          <cell r="O353" t="str">
            <v>02.452.95.95.</v>
          </cell>
          <cell r="P353" t="str">
            <v>02.452.35.87.</v>
          </cell>
          <cell r="Q353" t="str">
            <v>koen.depuydt@notaris.be</v>
          </cell>
          <cell r="R353">
            <v>3663</v>
          </cell>
        </row>
        <row r="354">
          <cell r="A354">
            <v>353</v>
          </cell>
          <cell r="B354" t="str">
            <v>DERYCKE Etienne</v>
          </cell>
          <cell r="C354" t="str">
            <v>DERYCKE Etienne</v>
          </cell>
          <cell r="D354" t="str">
            <v>Notaris</v>
          </cell>
          <cell r="E354" t="str">
            <v>Chaussée de Mons</v>
          </cell>
          <cell r="F354" t="str">
            <v>288</v>
          </cell>
          <cell r="G354" t="str">
            <v>bte 1</v>
          </cell>
          <cell r="H354" t="str">
            <v>1480</v>
          </cell>
          <cell r="I354" t="str">
            <v>Brabant Wallon</v>
          </cell>
          <cell r="K354" t="str">
            <v>Tubize</v>
          </cell>
          <cell r="M354" t="str">
            <v>M</v>
          </cell>
          <cell r="O354" t="str">
            <v>02.390.02.18</v>
          </cell>
          <cell r="P354" t="str">
            <v>02.390.02.20</v>
          </cell>
          <cell r="Q354" t="str">
            <v>ETIENNE.DERYCKE@NOTAIRE.BE</v>
          </cell>
          <cell r="R354">
            <v>3292</v>
          </cell>
        </row>
        <row r="355">
          <cell r="A355">
            <v>354</v>
          </cell>
          <cell r="B355" t="str">
            <v>VAN HALTEREN HISETTE Roggeman &amp; DERYNCK SCRL</v>
          </cell>
          <cell r="C355" t="str">
            <v>Derynck Matthieu</v>
          </cell>
          <cell r="D355" t="str">
            <v>Geassocieerd Notaris</v>
          </cell>
          <cell r="E355" t="str">
            <v>rue de l´Association</v>
          </cell>
          <cell r="F355" t="str">
            <v>30</v>
          </cell>
          <cell r="G355" t="str">
            <v/>
          </cell>
          <cell r="H355" t="str">
            <v>1000</v>
          </cell>
          <cell r="I355" t="str">
            <v>Bruxelles</v>
          </cell>
          <cell r="K355" t="str">
            <v>Bruxelles</v>
          </cell>
          <cell r="M355" t="str">
            <v>M</v>
          </cell>
          <cell r="O355" t="str">
            <v>02.227.58.10</v>
          </cell>
          <cell r="P355" t="str">
            <v>02.218.20.27</v>
          </cell>
          <cell r="Q355" t="str">
            <v>matthieu.derynck@notaris.be</v>
          </cell>
          <cell r="R355">
            <v>3510</v>
          </cell>
        </row>
        <row r="356">
          <cell r="A356">
            <v>355</v>
          </cell>
          <cell r="B356" t="str">
            <v>DE SADELEER Marnix</v>
          </cell>
          <cell r="C356" t="str">
            <v>DeSadeleer Marnix</v>
          </cell>
          <cell r="D356" t="str">
            <v>Notaris</v>
          </cell>
          <cell r="E356" t="str">
            <v>Molenstraat</v>
          </cell>
          <cell r="F356" t="str">
            <v>63</v>
          </cell>
          <cell r="G356" t="str">
            <v/>
          </cell>
          <cell r="H356" t="str">
            <v>2960</v>
          </cell>
          <cell r="I356" t="str">
            <v>Antwerpen</v>
          </cell>
          <cell r="K356" t="str">
            <v>Brecht</v>
          </cell>
          <cell r="M356" t="str">
            <v>M</v>
          </cell>
          <cell r="O356" t="str">
            <v>03.313.80.51</v>
          </cell>
          <cell r="P356" t="str">
            <v>03.313.95.21</v>
          </cell>
          <cell r="Q356" t="str">
            <v>MARNIX.DESADELEER@NOTARIS.BE</v>
          </cell>
          <cell r="R356">
            <v>3361</v>
          </cell>
        </row>
        <row r="357">
          <cell r="A357">
            <v>356</v>
          </cell>
          <cell r="B357" t="str">
            <v>de SAGHER Filip</v>
          </cell>
          <cell r="C357" t="str">
            <v>deSagher Filip</v>
          </cell>
          <cell r="D357" t="str">
            <v>Notaris</v>
          </cell>
          <cell r="E357" t="str">
            <v>Tervuursesteenweg</v>
          </cell>
          <cell r="F357" t="str">
            <v>224</v>
          </cell>
          <cell r="G357" t="str">
            <v/>
          </cell>
          <cell r="H357" t="str">
            <v>1820</v>
          </cell>
          <cell r="I357" t="str">
            <v>Vlaams Brabant</v>
          </cell>
          <cell r="K357" t="str">
            <v>Steenokkerzeel</v>
          </cell>
          <cell r="M357" t="str">
            <v>M</v>
          </cell>
          <cell r="O357" t="str">
            <v>02.751.95.22</v>
          </cell>
          <cell r="P357" t="str">
            <v>02.751.92.32</v>
          </cell>
          <cell r="Q357" t="str">
            <v>FILIP.DESAGHER@NOTARIS.BE</v>
          </cell>
          <cell r="R357">
            <v>3402</v>
          </cell>
        </row>
        <row r="358">
          <cell r="A358">
            <v>357</v>
          </cell>
          <cell r="B358" t="str">
            <v>de SAGHER Tom</v>
          </cell>
          <cell r="C358" t="str">
            <v>deSagher Tom</v>
          </cell>
          <cell r="D358" t="str">
            <v>Notaris</v>
          </cell>
          <cell r="E358" t="str">
            <v>Gentweg</v>
          </cell>
          <cell r="F358" t="str">
            <v>12</v>
          </cell>
          <cell r="G358" t="str">
            <v/>
          </cell>
          <cell r="H358" t="str">
            <v>9940</v>
          </cell>
          <cell r="I358" t="str">
            <v>Oost-Vlaanderen</v>
          </cell>
          <cell r="K358" t="str">
            <v>Evergem</v>
          </cell>
          <cell r="M358" t="str">
            <v>M</v>
          </cell>
          <cell r="O358" t="str">
            <v>09.253.90.31</v>
          </cell>
          <cell r="P358" t="str">
            <v>09.253.22.03</v>
          </cell>
          <cell r="Q358" t="str">
            <v>TOM.DESAGHER@NOTARIS.BE</v>
          </cell>
          <cell r="R358">
            <v>2732</v>
          </cell>
        </row>
        <row r="359">
          <cell r="A359">
            <v>358</v>
          </cell>
          <cell r="B359" t="str">
            <v>de SAGHER en VANDENAMEELE</v>
          </cell>
          <cell r="C359" t="str">
            <v>deSagher William</v>
          </cell>
          <cell r="D359" t="str">
            <v>Geassocieerd Notaris</v>
          </cell>
          <cell r="E359" t="str">
            <v>Boeschepestraat</v>
          </cell>
          <cell r="F359" t="str">
            <v>4</v>
          </cell>
          <cell r="G359" t="str">
            <v/>
          </cell>
          <cell r="H359" t="str">
            <v>8970</v>
          </cell>
          <cell r="I359" t="str">
            <v>West-Vlaanderen</v>
          </cell>
          <cell r="K359" t="str">
            <v>Poperinge</v>
          </cell>
          <cell r="L359">
            <v>22583</v>
          </cell>
          <cell r="M359" t="str">
            <v>M</v>
          </cell>
          <cell r="O359" t="str">
            <v>057.33.33.81</v>
          </cell>
          <cell r="P359" t="str">
            <v>057.33.80.11</v>
          </cell>
          <cell r="Q359" t="str">
            <v>WILLIAM.DESAGHER@NOTARIS.BE</v>
          </cell>
          <cell r="R359">
            <v>3478</v>
          </cell>
        </row>
        <row r="360">
          <cell r="A360">
            <v>359</v>
          </cell>
          <cell r="B360" t="str">
            <v>de SCHAETZEN-Pragt</v>
          </cell>
          <cell r="C360" t="str">
            <v>deSchaetzen Ghislain</v>
          </cell>
          <cell r="D360" t="str">
            <v>Geassocieerd Notaris</v>
          </cell>
          <cell r="E360" t="str">
            <v>Leopoldwal</v>
          </cell>
          <cell r="F360" t="str">
            <v>26</v>
          </cell>
          <cell r="G360" t="str">
            <v/>
          </cell>
          <cell r="H360" t="str">
            <v>3700</v>
          </cell>
          <cell r="I360" t="str">
            <v>Limburg</v>
          </cell>
          <cell r="K360" t="str">
            <v>Tongeren</v>
          </cell>
          <cell r="M360" t="str">
            <v>M</v>
          </cell>
          <cell r="O360" t="str">
            <v>012.23.11.37</v>
          </cell>
          <cell r="P360" t="str">
            <v>012.23.04.97</v>
          </cell>
          <cell r="Q360" t="str">
            <v>GHISLAIN.DESCHAETZEN@NOTARIS.BE</v>
          </cell>
          <cell r="R360">
            <v>2626</v>
          </cell>
        </row>
        <row r="361">
          <cell r="A361">
            <v>360</v>
          </cell>
          <cell r="B361" t="str">
            <v>DE SCHEPPER Peter</v>
          </cell>
          <cell r="C361" t="str">
            <v>DeSchepper Peter</v>
          </cell>
          <cell r="D361" t="str">
            <v>Notaris</v>
          </cell>
          <cell r="E361" t="str">
            <v>Kapellestraat</v>
          </cell>
          <cell r="F361" t="str">
            <v>13</v>
          </cell>
          <cell r="G361" t="str">
            <v/>
          </cell>
          <cell r="H361" t="str">
            <v>1760</v>
          </cell>
          <cell r="I361" t="str">
            <v>Vlaams Brabant</v>
          </cell>
          <cell r="K361" t="str">
            <v>Roosdaal</v>
          </cell>
          <cell r="M361" t="str">
            <v>M</v>
          </cell>
          <cell r="O361" t="str">
            <v>054.33.15.98</v>
          </cell>
          <cell r="P361" t="str">
            <v>054.33.30.37</v>
          </cell>
          <cell r="Q361" t="str">
            <v>PETER.DESCHEPPER@NOTARIS.BE</v>
          </cell>
          <cell r="R361">
            <v>3140</v>
          </cell>
        </row>
        <row r="362">
          <cell r="A362">
            <v>361</v>
          </cell>
          <cell r="B362" t="str">
            <v>DE SCHEPPER Véronique</v>
          </cell>
          <cell r="C362" t="str">
            <v>DeSchepper Véronique</v>
          </cell>
          <cell r="D362" t="str">
            <v>Notaris</v>
          </cell>
          <cell r="E362" t="str">
            <v>Oude Bruggestraat</v>
          </cell>
          <cell r="F362" t="str">
            <v>63</v>
          </cell>
          <cell r="G362" t="str">
            <v/>
          </cell>
          <cell r="H362" t="str">
            <v>8750</v>
          </cell>
          <cell r="I362" t="str">
            <v>West-Vlaanderen</v>
          </cell>
          <cell r="K362" t="str">
            <v>Wingene</v>
          </cell>
          <cell r="L362">
            <v>23043</v>
          </cell>
          <cell r="M362" t="str">
            <v>Vr</v>
          </cell>
          <cell r="O362" t="str">
            <v>051.65.50.37</v>
          </cell>
          <cell r="P362" t="str">
            <v>051.65.80.84</v>
          </cell>
          <cell r="Q362" t="str">
            <v>VERONIQUE.DESCHEPPER@NOTARIS.BE</v>
          </cell>
          <cell r="R362">
            <v>3122</v>
          </cell>
        </row>
        <row r="363">
          <cell r="A363">
            <v>362</v>
          </cell>
          <cell r="B363" t="str">
            <v>DE SCHRIJVER Axel</v>
          </cell>
          <cell r="C363" t="str">
            <v>DeSchrijver Axel</v>
          </cell>
          <cell r="D363" t="str">
            <v>Notaris</v>
          </cell>
          <cell r="E363" t="str">
            <v>Moorkensplein</v>
          </cell>
          <cell r="F363" t="str">
            <v>7</v>
          </cell>
          <cell r="G363" t="str">
            <v/>
          </cell>
          <cell r="H363" t="str">
            <v>2140</v>
          </cell>
          <cell r="I363" t="str">
            <v>Antwerpen</v>
          </cell>
          <cell r="K363" t="str">
            <v>Borgerhout Antwerpen)</v>
          </cell>
          <cell r="M363" t="str">
            <v>M</v>
          </cell>
          <cell r="O363" t="str">
            <v>03.235.50.23</v>
          </cell>
          <cell r="P363" t="str">
            <v>03.235.50.97</v>
          </cell>
          <cell r="Q363" t="str">
            <v>AXEL.DESCHRIJVER@NOTARIS.BE</v>
          </cell>
          <cell r="R363">
            <v>3064</v>
          </cell>
        </row>
        <row r="364">
          <cell r="A364">
            <v>363</v>
          </cell>
          <cell r="B364" t="str">
            <v>DE SIMPEL Francis</v>
          </cell>
          <cell r="C364" t="str">
            <v>DeSimpel Francis</v>
          </cell>
          <cell r="D364" t="str">
            <v>Notaris</v>
          </cell>
          <cell r="E364" t="str">
            <v>Rue du Faubourg de Lille</v>
          </cell>
          <cell r="F364" t="str">
            <v>19</v>
          </cell>
          <cell r="G364" t="str">
            <v/>
          </cell>
          <cell r="H364" t="str">
            <v>7780</v>
          </cell>
          <cell r="I364" t="str">
            <v>Hainaut</v>
          </cell>
          <cell r="K364" t="str">
            <v>Comines</v>
          </cell>
          <cell r="M364" t="str">
            <v>M</v>
          </cell>
          <cell r="O364" t="str">
            <v>056.55.50.77</v>
          </cell>
          <cell r="P364" t="str">
            <v>056.55.65.88</v>
          </cell>
          <cell r="Q364" t="str">
            <v>FRANCIS.DESIMPEL@NOTAIRE.BE</v>
          </cell>
          <cell r="R364">
            <v>763</v>
          </cell>
        </row>
        <row r="365">
          <cell r="A365">
            <v>364</v>
          </cell>
          <cell r="B365" t="str">
            <v>Thérèse DUFAUX - Nathalie DESIMPEL</v>
          </cell>
          <cell r="C365" t="str">
            <v>Desimpel Nathalie</v>
          </cell>
          <cell r="D365" t="str">
            <v>Geassocieerd Notaris</v>
          </cell>
          <cell r="E365" t="str">
            <v>Zuiderlaan</v>
          </cell>
          <cell r="F365" t="str">
            <v>71</v>
          </cell>
          <cell r="G365" t="str">
            <v/>
          </cell>
          <cell r="H365" t="str">
            <v>8790</v>
          </cell>
          <cell r="I365" t="str">
            <v>West-Vlaanderen</v>
          </cell>
          <cell r="K365" t="str">
            <v>Waregem</v>
          </cell>
          <cell r="M365" t="str">
            <v>Vr</v>
          </cell>
          <cell r="O365" t="str">
            <v>056.62.76.90</v>
          </cell>
          <cell r="P365" t="str">
            <v>056.61.08.19</v>
          </cell>
          <cell r="Q365" t="str">
            <v>nathalie.desimpel@notaris.be</v>
          </cell>
          <cell r="R365">
            <v>3650</v>
          </cell>
        </row>
        <row r="366">
          <cell r="A366">
            <v>365</v>
          </cell>
          <cell r="B366" t="str">
            <v>DESMARICAUX Bertrand</v>
          </cell>
          <cell r="C366" t="str">
            <v>DESMARICAUX Bertrand</v>
          </cell>
          <cell r="D366" t="str">
            <v>Notaris</v>
          </cell>
          <cell r="E366" t="str">
            <v>O.L.V.-straat</v>
          </cell>
          <cell r="F366" t="str">
            <v>7</v>
          </cell>
          <cell r="G366" t="str">
            <v/>
          </cell>
          <cell r="H366" t="str">
            <v>8600</v>
          </cell>
          <cell r="I366" t="str">
            <v>West-Vlaanderen</v>
          </cell>
          <cell r="K366" t="str">
            <v>Diksmuide</v>
          </cell>
          <cell r="L366">
            <v>23340</v>
          </cell>
          <cell r="M366" t="str">
            <v>M</v>
          </cell>
          <cell r="O366" t="str">
            <v>051.50.04.02</v>
          </cell>
          <cell r="P366" t="str">
            <v>051.50.16.40</v>
          </cell>
          <cell r="Q366" t="str">
            <v>BERTRAND.DESMARICAUX@NOTARIS.BE</v>
          </cell>
          <cell r="R366">
            <v>3198</v>
          </cell>
        </row>
        <row r="367">
          <cell r="A367">
            <v>366</v>
          </cell>
          <cell r="B367" t="str">
            <v>DE SMEDT Wim</v>
          </cell>
          <cell r="C367" t="str">
            <v>DeSmedt Wim</v>
          </cell>
          <cell r="D367" t="str">
            <v>Notaris</v>
          </cell>
          <cell r="E367" t="str">
            <v>Rollebeekstraat</v>
          </cell>
          <cell r="F367" t="str">
            <v>10</v>
          </cell>
          <cell r="G367" t="str">
            <v/>
          </cell>
          <cell r="H367" t="str">
            <v>2160</v>
          </cell>
          <cell r="I367" t="str">
            <v>Antwerpen</v>
          </cell>
          <cell r="K367" t="str">
            <v>Wommelgem</v>
          </cell>
          <cell r="M367" t="str">
            <v>M</v>
          </cell>
          <cell r="O367" t="str">
            <v>03.353.63.60</v>
          </cell>
          <cell r="P367" t="str">
            <v>03.353.60.84</v>
          </cell>
          <cell r="Q367" t="str">
            <v>WIM.DESMEDT@NOTARIS.BE</v>
          </cell>
          <cell r="R367">
            <v>2519</v>
          </cell>
        </row>
        <row r="368">
          <cell r="A368">
            <v>367</v>
          </cell>
          <cell r="B368" t="str">
            <v>DE SMET Christiaan</v>
          </cell>
          <cell r="C368" t="str">
            <v>DeSmet Christiaan</v>
          </cell>
          <cell r="D368" t="str">
            <v>Notaris</v>
          </cell>
          <cell r="E368" t="str">
            <v>Schooldreef</v>
          </cell>
          <cell r="F368" t="str">
            <v>43</v>
          </cell>
          <cell r="G368" t="str">
            <v/>
          </cell>
          <cell r="H368" t="str">
            <v>9230</v>
          </cell>
          <cell r="I368" t="str">
            <v>Oost-Vlaanderen</v>
          </cell>
          <cell r="K368" t="str">
            <v>Wetteren</v>
          </cell>
          <cell r="M368" t="str">
            <v>M</v>
          </cell>
          <cell r="O368" t="str">
            <v>09.365.75.35</v>
          </cell>
          <cell r="P368" t="str">
            <v>09.366.04.73</v>
          </cell>
          <cell r="Q368" t="str">
            <v>CHRISTIAAN.DESMET@NOTARIS.BE</v>
          </cell>
          <cell r="R368">
            <v>26</v>
          </cell>
        </row>
        <row r="369">
          <cell r="A369">
            <v>368</v>
          </cell>
          <cell r="B369" t="str">
            <v>Desmet Frank</v>
          </cell>
          <cell r="C369" t="str">
            <v>Desmet Frank</v>
          </cell>
          <cell r="D369" t="str">
            <v>Notaris</v>
          </cell>
          <cell r="E369" t="str">
            <v>Pastoor De Nevestraat</v>
          </cell>
          <cell r="F369" t="str">
            <v>37</v>
          </cell>
          <cell r="G369" t="str">
            <v/>
          </cell>
          <cell r="H369" t="str">
            <v>9900</v>
          </cell>
          <cell r="I369" t="str">
            <v>Oost-Vlaanderen</v>
          </cell>
          <cell r="K369" t="str">
            <v>Eeklo</v>
          </cell>
          <cell r="M369" t="str">
            <v>M</v>
          </cell>
          <cell r="O369" t="str">
            <v>09.377.37.91</v>
          </cell>
          <cell r="P369" t="str">
            <v>09.377.82.44</v>
          </cell>
          <cell r="R369">
            <v>3519</v>
          </cell>
          <cell r="S369" t="str">
            <v>001-4582694-05</v>
          </cell>
          <cell r="T369">
            <v>38441</v>
          </cell>
        </row>
        <row r="370">
          <cell r="A370">
            <v>369</v>
          </cell>
          <cell r="B370" t="str">
            <v>DESMET Xavier</v>
          </cell>
          <cell r="C370" t="str">
            <v>DESMET Xavier</v>
          </cell>
          <cell r="D370" t="str">
            <v>Notaris</v>
          </cell>
          <cell r="E370" t="str">
            <v>Louizastraat</v>
          </cell>
          <cell r="F370" t="str">
            <v>39</v>
          </cell>
          <cell r="G370" t="str">
            <v>bus 1</v>
          </cell>
          <cell r="H370" t="str">
            <v>2000</v>
          </cell>
          <cell r="I370" t="str">
            <v>Antwerpen</v>
          </cell>
          <cell r="K370" t="str">
            <v>Antwerpen</v>
          </cell>
          <cell r="M370" t="str">
            <v>M</v>
          </cell>
          <cell r="O370" t="str">
            <v>03.231.87.66</v>
          </cell>
          <cell r="P370" t="str">
            <v>03.232.48.01</v>
          </cell>
          <cell r="Q370" t="str">
            <v>XAVIER.DESMET@NOTARIS.BE</v>
          </cell>
          <cell r="R370">
            <v>3088</v>
          </cell>
        </row>
        <row r="371">
          <cell r="A371">
            <v>370</v>
          </cell>
          <cell r="B371" t="str">
            <v>DE SPLENTER Paul</v>
          </cell>
          <cell r="C371" t="str">
            <v>DeSplenter Paul</v>
          </cell>
          <cell r="D371" t="str">
            <v>Notaris</v>
          </cell>
          <cell r="E371" t="str">
            <v>Molenstraat</v>
          </cell>
          <cell r="F371" t="str">
            <v>36</v>
          </cell>
          <cell r="G371" t="str">
            <v/>
          </cell>
          <cell r="H371" t="str">
            <v>8720</v>
          </cell>
          <cell r="I371" t="str">
            <v>West-Vlaanderen</v>
          </cell>
          <cell r="K371" t="str">
            <v>Wakken</v>
          </cell>
          <cell r="L371">
            <v>13866</v>
          </cell>
          <cell r="M371" t="str">
            <v>M</v>
          </cell>
          <cell r="O371" t="str">
            <v>056.60.23.58</v>
          </cell>
          <cell r="P371" t="str">
            <v>056.60.98.06</v>
          </cell>
          <cell r="Q371" t="str">
            <v>PAUL.DESPLENTER@NOTARIS.BE</v>
          </cell>
          <cell r="R371">
            <v>274</v>
          </cell>
          <cell r="T371">
            <v>38366</v>
          </cell>
        </row>
        <row r="372">
          <cell r="A372">
            <v>371</v>
          </cell>
          <cell r="B372" t="str">
            <v>DESSERS Herman</v>
          </cell>
          <cell r="C372" t="str">
            <v>DESSERS Herman</v>
          </cell>
          <cell r="D372" t="str">
            <v>Notaris</v>
          </cell>
          <cell r="E372" t="str">
            <v>Leopold de Waelplaats</v>
          </cell>
          <cell r="F372" t="str">
            <v>5</v>
          </cell>
          <cell r="G372" t="str">
            <v/>
          </cell>
          <cell r="H372" t="str">
            <v>2000</v>
          </cell>
          <cell r="I372" t="str">
            <v>Antwerpen</v>
          </cell>
          <cell r="K372" t="str">
            <v>Antwerpen</v>
          </cell>
          <cell r="M372" t="str">
            <v>M</v>
          </cell>
          <cell r="O372" t="str">
            <v>03.238.45.35</v>
          </cell>
          <cell r="P372" t="str">
            <v>03.216.99.24</v>
          </cell>
          <cell r="Q372" t="str">
            <v>HERMAN.DESSERS@NOTARIS.BE</v>
          </cell>
          <cell r="R372">
            <v>2594</v>
          </cell>
        </row>
        <row r="373">
          <cell r="A373">
            <v>372</v>
          </cell>
          <cell r="B373" t="str">
            <v>sprl Geneviève Dessilly notaire</v>
          </cell>
          <cell r="C373" t="str">
            <v>Dessilly Geneviève</v>
          </cell>
          <cell r="D373" t="str">
            <v>Notaris</v>
          </cell>
          <cell r="E373" t="str">
            <v>Grand Place</v>
          </cell>
          <cell r="F373" t="str">
            <v>14</v>
          </cell>
          <cell r="G373" t="str">
            <v/>
          </cell>
          <cell r="H373" t="str">
            <v>7940</v>
          </cell>
          <cell r="I373" t="str">
            <v>Hainaut</v>
          </cell>
          <cell r="K373" t="str">
            <v>Brugelette</v>
          </cell>
          <cell r="M373" t="str">
            <v>Vr</v>
          </cell>
          <cell r="O373" t="str">
            <v>068.26.50.00</v>
          </cell>
          <cell r="P373" t="str">
            <v>068.45.56.39</v>
          </cell>
          <cell r="Q373" t="str">
            <v>GENEVIEVE.DESSILLY@NOTAIRE.BE</v>
          </cell>
          <cell r="R373">
            <v>3549</v>
          </cell>
        </row>
        <row r="374">
          <cell r="A374">
            <v>373</v>
          </cell>
          <cell r="B374" t="str">
            <v>de STREEL Gaétan</v>
          </cell>
          <cell r="C374" t="str">
            <v>deStreel Gaétan</v>
          </cell>
          <cell r="D374" t="str">
            <v>Notaris</v>
          </cell>
          <cell r="E374" t="str">
            <v>Rue de Wavre</v>
          </cell>
          <cell r="F374" t="str">
            <v>10</v>
          </cell>
          <cell r="G374" t="str">
            <v/>
          </cell>
          <cell r="H374" t="str">
            <v>1320</v>
          </cell>
          <cell r="I374" t="str">
            <v>Brabant Wallon</v>
          </cell>
          <cell r="K374" t="str">
            <v>Beauvechain</v>
          </cell>
          <cell r="M374" t="str">
            <v>M</v>
          </cell>
          <cell r="O374" t="str">
            <v>010.86.60.17</v>
          </cell>
          <cell r="P374" t="str">
            <v>010.86.06.99</v>
          </cell>
          <cell r="Q374" t="str">
            <v>GAETAN.DESTREEL@NOTAIRE.BE</v>
          </cell>
          <cell r="R374">
            <v>2792</v>
          </cell>
        </row>
        <row r="375">
          <cell r="A375">
            <v>374</v>
          </cell>
          <cell r="B375" t="str">
            <v>DESTROOPER Sabine</v>
          </cell>
          <cell r="C375" t="str">
            <v>DESTROOPER Sabine</v>
          </cell>
          <cell r="D375" t="str">
            <v>Notaris</v>
          </cell>
          <cell r="E375" t="str">
            <v>Rollegemstraat</v>
          </cell>
          <cell r="F375" t="str">
            <v>56</v>
          </cell>
          <cell r="G375" t="str">
            <v/>
          </cell>
          <cell r="H375" t="str">
            <v>8880</v>
          </cell>
          <cell r="I375" t="str">
            <v>West-Vlaanderen</v>
          </cell>
          <cell r="K375" t="str">
            <v>Ledegem</v>
          </cell>
          <cell r="L375">
            <v>22245</v>
          </cell>
          <cell r="M375" t="str">
            <v>Vr</v>
          </cell>
          <cell r="O375" t="str">
            <v>056.50.90.02</v>
          </cell>
          <cell r="P375" t="str">
            <v>056.50.30.08</v>
          </cell>
          <cell r="Q375" t="str">
            <v>SABINE.DESTROOPER@NOTARIS.BE</v>
          </cell>
          <cell r="R375">
            <v>3017</v>
          </cell>
        </row>
        <row r="376">
          <cell r="A376">
            <v>375</v>
          </cell>
          <cell r="B376" t="str">
            <v>NOTARISKANTOOR de STRYCKER &amp; VERRETH</v>
          </cell>
          <cell r="C376" t="str">
            <v>deStrycker Jacques</v>
          </cell>
          <cell r="D376" t="str">
            <v>Geassocieerd Notaris</v>
          </cell>
          <cell r="E376" t="str">
            <v>Mechelsesteenweg</v>
          </cell>
          <cell r="F376" t="str">
            <v>92</v>
          </cell>
          <cell r="G376" t="str">
            <v/>
          </cell>
          <cell r="H376" t="str">
            <v>2500</v>
          </cell>
          <cell r="I376" t="str">
            <v>Antwerpen</v>
          </cell>
          <cell r="K376" t="str">
            <v>Lier</v>
          </cell>
          <cell r="M376" t="str">
            <v>M</v>
          </cell>
          <cell r="O376" t="str">
            <v>03.480.00.46</v>
          </cell>
          <cell r="P376" t="str">
            <v>03.489.17.42</v>
          </cell>
          <cell r="Q376" t="str">
            <v>JACQUES.DESTRYCKER@NOTARIS.BE</v>
          </cell>
          <cell r="R376">
            <v>3515</v>
          </cell>
        </row>
        <row r="377">
          <cell r="A377">
            <v>376</v>
          </cell>
          <cell r="B377" t="str">
            <v>DE SUTTER Paul</v>
          </cell>
          <cell r="C377" t="str">
            <v>DeSutter Paul</v>
          </cell>
          <cell r="D377" t="str">
            <v>Notaris</v>
          </cell>
          <cell r="E377" t="str">
            <v>Steenweg op Deinze</v>
          </cell>
          <cell r="F377" t="str">
            <v>91</v>
          </cell>
          <cell r="G377" t="str">
            <v/>
          </cell>
          <cell r="H377" t="str">
            <v>9880</v>
          </cell>
          <cell r="I377" t="str">
            <v>Oost-Vlaanderen</v>
          </cell>
          <cell r="K377" t="str">
            <v>Lotenhulle</v>
          </cell>
          <cell r="M377" t="str">
            <v>M</v>
          </cell>
          <cell r="O377" t="str">
            <v>051.68.81.12</v>
          </cell>
          <cell r="P377" t="str">
            <v>051.68.98.44</v>
          </cell>
          <cell r="Q377" t="str">
            <v>PAUL.DESUTTER@NOTARIS.BE</v>
          </cell>
          <cell r="R377">
            <v>3040</v>
          </cell>
        </row>
        <row r="378">
          <cell r="A378">
            <v>377</v>
          </cell>
          <cell r="B378" t="str">
            <v>DETERME Francis</v>
          </cell>
          <cell r="C378" t="str">
            <v>DETERME Francis</v>
          </cell>
          <cell r="D378" t="str">
            <v>Notaris</v>
          </cell>
          <cell r="E378" t="str">
            <v>Rue du Mont</v>
          </cell>
          <cell r="F378" t="str">
            <v>32</v>
          </cell>
          <cell r="G378" t="str">
            <v/>
          </cell>
          <cell r="H378" t="str">
            <v>4458</v>
          </cell>
          <cell r="I378" t="str">
            <v>Liège</v>
          </cell>
          <cell r="K378" t="str">
            <v>Fexhe-Slins</v>
          </cell>
          <cell r="M378" t="str">
            <v>M</v>
          </cell>
          <cell r="O378" t="str">
            <v>04.278.50.18</v>
          </cell>
          <cell r="P378" t="str">
            <v>04.278.70.29</v>
          </cell>
          <cell r="Q378" t="str">
            <v>FRANCIS.DETERME@NOTAIRE.BE</v>
          </cell>
          <cell r="R378">
            <v>3530</v>
          </cell>
        </row>
        <row r="379">
          <cell r="A379">
            <v>378</v>
          </cell>
          <cell r="B379" t="str">
            <v>de TERWANGNE Patrick</v>
          </cell>
          <cell r="C379" t="str">
            <v>deTerwangne Patrick</v>
          </cell>
          <cell r="D379" t="str">
            <v>Notaris</v>
          </cell>
          <cell r="E379" t="str">
            <v>Rue Walthère Jamar</v>
          </cell>
          <cell r="F379" t="str">
            <v>2</v>
          </cell>
          <cell r="G379" t="str">
            <v/>
          </cell>
          <cell r="H379" t="str">
            <v>4430</v>
          </cell>
          <cell r="I379" t="str">
            <v>Liège</v>
          </cell>
          <cell r="K379" t="str">
            <v>Ans</v>
          </cell>
          <cell r="M379" t="str">
            <v>M</v>
          </cell>
          <cell r="O379" t="str">
            <v>04.224.50.50</v>
          </cell>
          <cell r="P379" t="str">
            <v>04.224.50.59</v>
          </cell>
          <cell r="Q379" t="str">
            <v>PATRICK.DETERWANGNE@NOTAIRE.BE</v>
          </cell>
          <cell r="R379">
            <v>3120</v>
          </cell>
        </row>
        <row r="380">
          <cell r="A380">
            <v>379</v>
          </cell>
          <cell r="B380" t="str">
            <v>BVBA DEVELTER &amp; HENDRYCKX</v>
          </cell>
          <cell r="C380" t="str">
            <v>Develter Francis</v>
          </cell>
          <cell r="D380" t="str">
            <v>Geassocieerd Notaris</v>
          </cell>
          <cell r="E380" t="str">
            <v>Kortrijkstraat</v>
          </cell>
          <cell r="F380" t="str">
            <v>81</v>
          </cell>
          <cell r="G380" t="str">
            <v/>
          </cell>
          <cell r="H380" t="str">
            <v>8930</v>
          </cell>
          <cell r="I380" t="str">
            <v>West-Vlaanderen</v>
          </cell>
          <cell r="K380" t="str">
            <v>Menen</v>
          </cell>
          <cell r="L380">
            <v>20904</v>
          </cell>
          <cell r="M380" t="str">
            <v>M</v>
          </cell>
          <cell r="O380" t="str">
            <v>056.53.21.76</v>
          </cell>
          <cell r="P380" t="str">
            <v>056.53.21.77</v>
          </cell>
          <cell r="Q380" t="str">
            <v>FRANCIS.DEVELTER@NOTARIS.BE</v>
          </cell>
          <cell r="R380">
            <v>3644</v>
          </cell>
        </row>
        <row r="381">
          <cell r="A381">
            <v>380</v>
          </cell>
          <cell r="B381" t="str">
            <v>DE VIL Yves</v>
          </cell>
          <cell r="C381" t="str">
            <v>DeVil Yves</v>
          </cell>
          <cell r="D381" t="str">
            <v>Notaris</v>
          </cell>
          <cell r="E381" t="str">
            <v>Laar</v>
          </cell>
          <cell r="F381" t="str">
            <v>12</v>
          </cell>
          <cell r="G381" t="str">
            <v/>
          </cell>
          <cell r="H381" t="str">
            <v>2140</v>
          </cell>
          <cell r="I381" t="str">
            <v>Antwerpen</v>
          </cell>
          <cell r="K381" t="str">
            <v>Borgerhout Antwerpen)</v>
          </cell>
          <cell r="M381" t="str">
            <v>M</v>
          </cell>
          <cell r="O381" t="str">
            <v>03.270.02.90</v>
          </cell>
          <cell r="P381" t="str">
            <v>03.235.09.39</v>
          </cell>
          <cell r="Q381" t="str">
            <v>YVES.DEVIL@NOTARIS.BE</v>
          </cell>
          <cell r="R381">
            <v>3441</v>
          </cell>
        </row>
        <row r="382">
          <cell r="A382">
            <v>381</v>
          </cell>
          <cell r="B382" t="str">
            <v>de VILLE Philippe</v>
          </cell>
          <cell r="C382" t="str">
            <v>deVille Philippe</v>
          </cell>
          <cell r="D382" t="str">
            <v>Notaris</v>
          </cell>
          <cell r="E382" t="str">
            <v>Avenue du Luxembourg</v>
          </cell>
          <cell r="F382" t="str">
            <v>28</v>
          </cell>
          <cell r="G382" t="str">
            <v/>
          </cell>
          <cell r="H382" t="str">
            <v>4020</v>
          </cell>
          <cell r="I382" t="str">
            <v>Liège</v>
          </cell>
          <cell r="K382" t="str">
            <v>Liège</v>
          </cell>
          <cell r="M382" t="str">
            <v>M</v>
          </cell>
          <cell r="O382" t="str">
            <v>04.342.20.72</v>
          </cell>
          <cell r="P382" t="str">
            <v>04.343.23.64</v>
          </cell>
          <cell r="Q382" t="str">
            <v>PHILIPPE.DEVILLE@NOTAIRE.BE</v>
          </cell>
          <cell r="R382">
            <v>2642</v>
          </cell>
        </row>
        <row r="383">
          <cell r="A383">
            <v>382</v>
          </cell>
          <cell r="B383" t="str">
            <v>de VILLE de GOYET Anne-Cécile</v>
          </cell>
          <cell r="C383" t="str">
            <v>deVilledeGoyet Anne-Cécile</v>
          </cell>
          <cell r="D383" t="str">
            <v>Notaris</v>
          </cell>
          <cell r="E383" t="str">
            <v>Avenue J. Lejeune</v>
          </cell>
          <cell r="F383" t="str">
            <v>127</v>
          </cell>
          <cell r="G383" t="str">
            <v/>
          </cell>
          <cell r="H383" t="str">
            <v>4980</v>
          </cell>
          <cell r="I383" t="str">
            <v>Liège</v>
          </cell>
          <cell r="K383" t="str">
            <v>Trois-Ponts</v>
          </cell>
          <cell r="M383" t="str">
            <v>Vr</v>
          </cell>
          <cell r="O383" t="str">
            <v>080.68.40.26</v>
          </cell>
          <cell r="P383" t="str">
            <v>080.68.49.23</v>
          </cell>
          <cell r="Q383" t="str">
            <v>ANNECECILE.DEVILLEDEGOYET@NOTAIRE.BE</v>
          </cell>
          <cell r="R383">
            <v>2771</v>
          </cell>
        </row>
        <row r="384">
          <cell r="A384">
            <v>383</v>
          </cell>
          <cell r="B384" t="str">
            <v>DE VLIEGER Eveline</v>
          </cell>
          <cell r="C384" t="str">
            <v>DeVlieger Eveline</v>
          </cell>
          <cell r="D384" t="str">
            <v>Notaris</v>
          </cell>
          <cell r="E384" t="str">
            <v>Engelstraat</v>
          </cell>
          <cell r="F384" t="str">
            <v>127</v>
          </cell>
          <cell r="G384" t="str">
            <v/>
          </cell>
          <cell r="H384" t="str">
            <v>8480</v>
          </cell>
          <cell r="I384" t="str">
            <v>West-Vlaanderen</v>
          </cell>
          <cell r="K384" t="str">
            <v>Ichtegem</v>
          </cell>
          <cell r="L384">
            <v>24776</v>
          </cell>
          <cell r="M384" t="str">
            <v>Vr</v>
          </cell>
          <cell r="O384" t="str">
            <v>051.58.82.61</v>
          </cell>
          <cell r="P384" t="str">
            <v>051.58.08.91</v>
          </cell>
          <cell r="Q384" t="str">
            <v>EVELINE.DEVLIEGER@NOTARIS.BE</v>
          </cell>
          <cell r="R384">
            <v>3171</v>
          </cell>
        </row>
        <row r="385">
          <cell r="A385">
            <v>384</v>
          </cell>
          <cell r="B385" t="str">
            <v>DE VOS Christian</v>
          </cell>
          <cell r="C385" t="str">
            <v>DeVos Christian - Brugge</v>
          </cell>
          <cell r="D385" t="str">
            <v>Erenotaris</v>
          </cell>
          <cell r="E385" t="str">
            <v>Koning Albert I-laan</v>
          </cell>
          <cell r="F385" t="str">
            <v>201</v>
          </cell>
          <cell r="G385" t="str">
            <v/>
          </cell>
          <cell r="H385" t="str">
            <v>8200</v>
          </cell>
          <cell r="I385" t="str">
            <v>West-Vlaanderen</v>
          </cell>
          <cell r="K385" t="str">
            <v>Brugge Sint-Michiels)</v>
          </cell>
          <cell r="O385" t="str">
            <v>0477.23.21.07</v>
          </cell>
          <cell r="P385" t="str">
            <v>050.39.29.19</v>
          </cell>
          <cell r="Q385" t="str">
            <v>c.de.vos@telenet.be</v>
          </cell>
        </row>
        <row r="386">
          <cell r="A386">
            <v>385</v>
          </cell>
          <cell r="B386" t="str">
            <v>DE VOS Christian</v>
          </cell>
          <cell r="C386" t="str">
            <v>DeVos Christian - Gent</v>
          </cell>
          <cell r="D386" t="str">
            <v>Notaris</v>
          </cell>
          <cell r="E386" t="str">
            <v>Keizer Karelstraat</v>
          </cell>
          <cell r="F386" t="str">
            <v>77</v>
          </cell>
          <cell r="G386" t="str">
            <v/>
          </cell>
          <cell r="H386" t="str">
            <v>9000</v>
          </cell>
          <cell r="I386" t="str">
            <v>Oost-Vlaanderen</v>
          </cell>
          <cell r="K386" t="str">
            <v>Gent</v>
          </cell>
          <cell r="M386" t="str">
            <v>M</v>
          </cell>
          <cell r="O386" t="str">
            <v>09.225.03.15</v>
          </cell>
          <cell r="P386" t="str">
            <v/>
          </cell>
          <cell r="Q386" t="str">
            <v>CHRISTIAN.DE.VOS@NOTARIS.BE</v>
          </cell>
          <cell r="R386">
            <v>279</v>
          </cell>
        </row>
        <row r="387">
          <cell r="A387">
            <v>386</v>
          </cell>
          <cell r="B387" t="str">
            <v>J. DEVOS &amp; S. DEVOS</v>
          </cell>
          <cell r="C387" t="str">
            <v>Devos Jozef</v>
          </cell>
          <cell r="D387" t="str">
            <v>Geassocieerd Notaris</v>
          </cell>
          <cell r="E387" t="str">
            <v>Helkijnstraat</v>
          </cell>
          <cell r="F387" t="str">
            <v>82</v>
          </cell>
          <cell r="G387" t="str">
            <v/>
          </cell>
          <cell r="H387" t="str">
            <v>8554</v>
          </cell>
          <cell r="I387" t="str">
            <v>West-Vlaanderen</v>
          </cell>
          <cell r="K387" t="str">
            <v>Sint-Denijs</v>
          </cell>
          <cell r="L387">
            <v>15537</v>
          </cell>
          <cell r="M387" t="str">
            <v>M</v>
          </cell>
          <cell r="O387" t="str">
            <v>056.45.51.88</v>
          </cell>
          <cell r="P387" t="str">
            <v>056.25.60.09</v>
          </cell>
          <cell r="Q387" t="str">
            <v>jozef.devos@notaris.be</v>
          </cell>
          <cell r="R387">
            <v>3649</v>
          </cell>
        </row>
        <row r="388">
          <cell r="A388">
            <v>387</v>
          </cell>
          <cell r="B388" t="str">
            <v>J. DEVOS &amp; S. DEVOS</v>
          </cell>
          <cell r="C388" t="str">
            <v>Devos Stan</v>
          </cell>
          <cell r="D388" t="str">
            <v>Geassocieerd Notaris</v>
          </cell>
          <cell r="E388" t="str">
            <v>Helkijnstraat</v>
          </cell>
          <cell r="F388" t="str">
            <v>82</v>
          </cell>
          <cell r="G388" t="str">
            <v/>
          </cell>
          <cell r="H388" t="str">
            <v>8554</v>
          </cell>
          <cell r="I388" t="str">
            <v>West-Vlaanderen</v>
          </cell>
          <cell r="K388" t="str">
            <v>Sint-Denijs</v>
          </cell>
          <cell r="M388" t="str">
            <v>M</v>
          </cell>
          <cell r="O388" t="str">
            <v>056.45.51.88</v>
          </cell>
          <cell r="P388" t="str">
            <v>056.25.60.09</v>
          </cell>
          <cell r="Q388" t="str">
            <v>stan.devos@notaris.be</v>
          </cell>
          <cell r="R388">
            <v>3649</v>
          </cell>
        </row>
        <row r="389">
          <cell r="A389">
            <v>388</v>
          </cell>
          <cell r="B389" t="str">
            <v>DEVOS Thierry</v>
          </cell>
          <cell r="C389" t="str">
            <v>DEVOS Thierry</v>
          </cell>
          <cell r="D389" t="str">
            <v>Notaris</v>
          </cell>
          <cell r="E389" t="str">
            <v>Magdalenastraat</v>
          </cell>
          <cell r="F389" t="str">
            <v>14</v>
          </cell>
          <cell r="G389" t="str">
            <v/>
          </cell>
          <cell r="H389" t="str">
            <v>8940</v>
          </cell>
          <cell r="I389" t="str">
            <v>West-Vlaanderen</v>
          </cell>
          <cell r="K389" t="str">
            <v>Wervik</v>
          </cell>
          <cell r="L389">
            <v>22373</v>
          </cell>
          <cell r="M389" t="str">
            <v>M</v>
          </cell>
          <cell r="O389" t="str">
            <v>056.31.11.49</v>
          </cell>
          <cell r="P389" t="str">
            <v>056.31.42.49</v>
          </cell>
          <cell r="Q389" t="str">
            <v>THIERRY.DEVOS@NOTARIS.BE</v>
          </cell>
          <cell r="R389">
            <v>3137</v>
          </cell>
        </row>
        <row r="390">
          <cell r="A390">
            <v>389</v>
          </cell>
          <cell r="B390" t="str">
            <v>DEVREUX Laurent</v>
          </cell>
          <cell r="C390" t="str">
            <v>DEVREUX Laurent</v>
          </cell>
          <cell r="D390" t="str">
            <v>Notaris</v>
          </cell>
          <cell r="E390" t="str">
            <v>Rue Saint Pierre</v>
          </cell>
          <cell r="F390" t="str">
            <v>19</v>
          </cell>
          <cell r="G390" t="str">
            <v/>
          </cell>
          <cell r="H390" t="str">
            <v>7860</v>
          </cell>
          <cell r="I390" t="str">
            <v>Hainaut</v>
          </cell>
          <cell r="K390" t="str">
            <v>Lessines</v>
          </cell>
          <cell r="M390" t="str">
            <v>M</v>
          </cell>
          <cell r="O390" t="str">
            <v>068.33.24.00</v>
          </cell>
          <cell r="P390" t="str">
            <v>068.33.73.25</v>
          </cell>
          <cell r="Q390" t="str">
            <v>laurent.devreux@notaire.be</v>
          </cell>
          <cell r="R390">
            <v>679</v>
          </cell>
        </row>
        <row r="391">
          <cell r="A391">
            <v>390</v>
          </cell>
          <cell r="B391" t="str">
            <v>de VUYST Pierre-Michel</v>
          </cell>
          <cell r="C391" t="str">
            <v>deVuyst Pierre-Michel</v>
          </cell>
          <cell r="D391" t="str">
            <v>Notaris</v>
          </cell>
          <cell r="E391" t="str">
            <v>Provincieweg</v>
          </cell>
          <cell r="F391" t="str">
            <v>2</v>
          </cell>
          <cell r="G391" t="str">
            <v/>
          </cell>
          <cell r="H391" t="str">
            <v>9552</v>
          </cell>
          <cell r="I391" t="str">
            <v>Oost-Vlaanderen</v>
          </cell>
          <cell r="K391" t="str">
            <v>Borsbeke</v>
          </cell>
          <cell r="M391" t="str">
            <v>M</v>
          </cell>
          <cell r="O391" t="str">
            <v>053.62.31.42</v>
          </cell>
          <cell r="P391" t="str">
            <v>053.62.27.32</v>
          </cell>
          <cell r="Q391" t="str">
            <v>PIERREMICHEL.DEVUYST@NOTARIS.BE</v>
          </cell>
          <cell r="R391">
            <v>283</v>
          </cell>
        </row>
        <row r="392">
          <cell r="A392">
            <v>391</v>
          </cell>
          <cell r="B392" t="str">
            <v>DEWAELE Dirk</v>
          </cell>
          <cell r="C392" t="str">
            <v>DEWAELE Dirk</v>
          </cell>
          <cell r="D392" t="str">
            <v>Notaris</v>
          </cell>
          <cell r="E392" t="str">
            <v>Ieperstraat</v>
          </cell>
          <cell r="F392" t="str">
            <v>7</v>
          </cell>
          <cell r="G392" t="str">
            <v/>
          </cell>
          <cell r="H392" t="str">
            <v>8940</v>
          </cell>
          <cell r="I392" t="str">
            <v>West-Vlaanderen</v>
          </cell>
          <cell r="K392" t="str">
            <v>Geluwe</v>
          </cell>
          <cell r="L392">
            <v>23419</v>
          </cell>
          <cell r="M392" t="str">
            <v>M</v>
          </cell>
          <cell r="O392" t="str">
            <v>056.51.32.34</v>
          </cell>
          <cell r="P392" t="str">
            <v>056.51.88.53</v>
          </cell>
          <cell r="Q392" t="str">
            <v>DIRK.DEWAELE@NOTARIS.BE</v>
          </cell>
          <cell r="R392">
            <v>3391</v>
          </cell>
        </row>
        <row r="393">
          <cell r="A393">
            <v>392</v>
          </cell>
          <cell r="B393" t="str">
            <v>VAN HOESTENBERGHE &amp; DEWAGTERE</v>
          </cell>
          <cell r="C393" t="str">
            <v>Dewagtere Karlos</v>
          </cell>
          <cell r="D393" t="str">
            <v>Geassocieerd Notaris</v>
          </cell>
          <cell r="E393" t="str">
            <v>Gistelsteenweg</v>
          </cell>
          <cell r="F393" t="str">
            <v>295</v>
          </cell>
          <cell r="G393" t="str">
            <v/>
          </cell>
          <cell r="H393" t="str">
            <v>8490</v>
          </cell>
          <cell r="I393" t="str">
            <v>West-Vlaanderen</v>
          </cell>
          <cell r="K393" t="str">
            <v>Jabbeke</v>
          </cell>
          <cell r="M393" t="str">
            <v>M</v>
          </cell>
          <cell r="O393" t="str">
            <v>050.81.12.32</v>
          </cell>
          <cell r="P393" t="str">
            <v>050.81.37.34</v>
          </cell>
          <cell r="Q393" t="str">
            <v>KARLOS.DEWAGTERE@NOTARIS.BE</v>
          </cell>
          <cell r="R393">
            <v>3490</v>
          </cell>
        </row>
        <row r="394">
          <cell r="A394">
            <v>393</v>
          </cell>
          <cell r="B394" t="str">
            <v>MAUS de ROLLEY Jean-Michel &amp; de WASSEIGE Philippe</v>
          </cell>
          <cell r="C394" t="str">
            <v>deWasseige Philippe</v>
          </cell>
          <cell r="D394" t="str">
            <v>Geassocieerd Notaris</v>
          </cell>
          <cell r="E394" t="str">
            <v>Devant Sauvenière</v>
          </cell>
          <cell r="F394" t="str">
            <v>12</v>
          </cell>
          <cell r="G394" t="str">
            <v/>
          </cell>
          <cell r="H394" t="str">
            <v>5580</v>
          </cell>
          <cell r="I394" t="str">
            <v>Namur</v>
          </cell>
          <cell r="K394" t="str">
            <v>Rochefort</v>
          </cell>
          <cell r="M394" t="str">
            <v>M</v>
          </cell>
          <cell r="O394" t="str">
            <v>084.21.12.89</v>
          </cell>
          <cell r="P394" t="str">
            <v>084.21.42.60</v>
          </cell>
          <cell r="Q394" t="str">
            <v>JEANMICHEL.MAUSDEROLLEY@NOTAIRE.BE</v>
          </cell>
          <cell r="R394">
            <v>1189</v>
          </cell>
          <cell r="T394">
            <v>38004</v>
          </cell>
        </row>
        <row r="395">
          <cell r="A395">
            <v>394</v>
          </cell>
          <cell r="B395" t="str">
            <v>DEWEER Xavier</v>
          </cell>
          <cell r="C395" t="str">
            <v>DEWEER Xavier</v>
          </cell>
          <cell r="D395" t="str">
            <v>Notaris</v>
          </cell>
          <cell r="E395" t="str">
            <v>Kerkstraat</v>
          </cell>
          <cell r="F395" t="str">
            <v>301</v>
          </cell>
          <cell r="G395" t="str">
            <v/>
          </cell>
          <cell r="H395" t="str">
            <v>9870</v>
          </cell>
          <cell r="I395" t="str">
            <v>Oost-Vlaanderen</v>
          </cell>
          <cell r="K395" t="str">
            <v>Olsene</v>
          </cell>
          <cell r="M395" t="str">
            <v>M</v>
          </cell>
          <cell r="O395" t="str">
            <v>09.388.80.32</v>
          </cell>
          <cell r="P395" t="str">
            <v>09.388.46.15</v>
          </cell>
          <cell r="Q395" t="str">
            <v>XAVIER.DEWEER@NOTARIS.BE</v>
          </cell>
          <cell r="R395">
            <v>3242</v>
          </cell>
        </row>
        <row r="396">
          <cell r="A396">
            <v>395</v>
          </cell>
          <cell r="B396" t="str">
            <v>DEWEERDT Joëlle</v>
          </cell>
          <cell r="C396" t="str">
            <v>DEWEERDT Joëlle</v>
          </cell>
          <cell r="D396" t="str">
            <v>Notaris</v>
          </cell>
          <cell r="E396" t="str">
            <v>Avenue Louise</v>
          </cell>
          <cell r="F396" t="str">
            <v>213</v>
          </cell>
          <cell r="G396" t="str">
            <v>bte 11</v>
          </cell>
          <cell r="H396" t="str">
            <v>1050</v>
          </cell>
          <cell r="I396" t="str">
            <v>Bruxelles</v>
          </cell>
          <cell r="K396" t="str">
            <v>Bruxelles</v>
          </cell>
          <cell r="M396" t="str">
            <v>Vr</v>
          </cell>
          <cell r="O396" t="str">
            <v>02.648.61.97</v>
          </cell>
          <cell r="P396" t="str">
            <v>02.648.84.27</v>
          </cell>
          <cell r="Q396" t="str">
            <v>JOELLE.DEWEERDT@NOTAIRE.BE</v>
          </cell>
          <cell r="R396">
            <v>3208</v>
          </cell>
        </row>
        <row r="397">
          <cell r="A397">
            <v>396</v>
          </cell>
          <cell r="B397" t="str">
            <v>DE WILDE Frank</v>
          </cell>
          <cell r="C397" t="str">
            <v>DeWilde Frank</v>
          </cell>
          <cell r="D397" t="str">
            <v>Notaris</v>
          </cell>
          <cell r="E397" t="str">
            <v>Steenweg</v>
          </cell>
          <cell r="F397" t="str">
            <v>214</v>
          </cell>
          <cell r="G397" t="str">
            <v/>
          </cell>
          <cell r="H397" t="str">
            <v>3890</v>
          </cell>
          <cell r="I397" t="str">
            <v>Limburg</v>
          </cell>
          <cell r="K397" t="str">
            <v>Gingelom</v>
          </cell>
          <cell r="M397" t="str">
            <v>M</v>
          </cell>
          <cell r="O397" t="str">
            <v>011.88.17.33</v>
          </cell>
          <cell r="P397" t="str">
            <v>011.83.12.91</v>
          </cell>
          <cell r="Q397" t="str">
            <v>FRANK.DEWILDE@NOTARIS.BE</v>
          </cell>
          <cell r="R397">
            <v>3625</v>
          </cell>
        </row>
        <row r="398">
          <cell r="A398">
            <v>397</v>
          </cell>
          <cell r="B398" t="str">
            <v>VAN TRICHT Erik &amp; DE WISPELAERE Katherine</v>
          </cell>
          <cell r="C398" t="str">
            <v>DeWispelaere Katherine</v>
          </cell>
          <cell r="D398" t="str">
            <v>Geassocieerd Notaris</v>
          </cell>
          <cell r="E398" t="str">
            <v>Bredabaan</v>
          </cell>
          <cell r="F398" t="str">
            <v>310</v>
          </cell>
          <cell r="G398" t="str">
            <v/>
          </cell>
          <cell r="H398" t="str">
            <v>2170</v>
          </cell>
          <cell r="I398" t="str">
            <v>Antwerpen</v>
          </cell>
          <cell r="K398" t="str">
            <v>Merksem Antwerpen)</v>
          </cell>
          <cell r="M398" t="str">
            <v>Vr</v>
          </cell>
          <cell r="O398" t="str">
            <v>03.645.89.67</v>
          </cell>
          <cell r="P398" t="str">
            <v>03.646.57.51</v>
          </cell>
          <cell r="Q398" t="str">
            <v>katherine.dewispelaere@notaris.be</v>
          </cell>
          <cell r="R398">
            <v>3025</v>
          </cell>
          <cell r="T398">
            <v>38609</v>
          </cell>
        </row>
        <row r="399">
          <cell r="A399">
            <v>398</v>
          </cell>
          <cell r="B399" t="str">
            <v>DEWITTE Bernard</v>
          </cell>
          <cell r="C399" t="str">
            <v>DEWITTE Bernard</v>
          </cell>
          <cell r="D399" t="str">
            <v>Notaris</v>
          </cell>
          <cell r="E399" t="str">
            <v>Avenue Franklin Rooseveltlaan</v>
          </cell>
          <cell r="F399" t="str">
            <v>208</v>
          </cell>
          <cell r="G399" t="str">
            <v/>
          </cell>
          <cell r="H399" t="str">
            <v>1050</v>
          </cell>
          <cell r="I399" t="str">
            <v>Bruxelles</v>
          </cell>
          <cell r="K399" t="str">
            <v>Bruxelles</v>
          </cell>
          <cell r="M399" t="str">
            <v>M</v>
          </cell>
          <cell r="O399" t="str">
            <v>02.663.80.50</v>
          </cell>
          <cell r="P399" t="str">
            <v>02.675.57.67</v>
          </cell>
          <cell r="Q399" t="str">
            <v>BERNARD.DEWITTE@NOTAIRE.BE</v>
          </cell>
          <cell r="R399">
            <v>3315</v>
          </cell>
        </row>
        <row r="400">
          <cell r="A400">
            <v>399</v>
          </cell>
          <cell r="B400" t="str">
            <v>BVBA De Witte J.-Ch. - Notaris</v>
          </cell>
          <cell r="C400" t="str">
            <v>DeWitte Jean-Charles</v>
          </cell>
          <cell r="D400" t="str">
            <v>Notaris</v>
          </cell>
          <cell r="E400" t="str">
            <v>Rijselsestraat</v>
          </cell>
          <cell r="F400" t="str">
            <v>38 A</v>
          </cell>
          <cell r="G400" t="str">
            <v/>
          </cell>
          <cell r="H400" t="str">
            <v>8500</v>
          </cell>
          <cell r="I400" t="str">
            <v>West-Vlaanderen</v>
          </cell>
          <cell r="K400" t="str">
            <v>Kortrijk</v>
          </cell>
          <cell r="L400">
            <v>23454</v>
          </cell>
          <cell r="M400" t="str">
            <v>M</v>
          </cell>
          <cell r="O400" t="str">
            <v>056.25.38.15</v>
          </cell>
          <cell r="P400" t="str">
            <v>056.20.14.43</v>
          </cell>
          <cell r="Q400" t="str">
            <v>JEANCHARLES.DEWITTE@NOTARIS.BE</v>
          </cell>
          <cell r="R400">
            <v>3130</v>
          </cell>
          <cell r="S400" t="str">
            <v>285-0216709-40</v>
          </cell>
        </row>
        <row r="401">
          <cell r="A401">
            <v>400</v>
          </cell>
          <cell r="B401" t="str">
            <v>DE WITTE Johanna</v>
          </cell>
          <cell r="C401" t="str">
            <v>DeWitte Johanna</v>
          </cell>
          <cell r="D401" t="str">
            <v>Notaris</v>
          </cell>
          <cell r="E401" t="str">
            <v>D´Hondstraat</v>
          </cell>
          <cell r="F401" t="str">
            <v>21</v>
          </cell>
          <cell r="G401" t="str">
            <v/>
          </cell>
          <cell r="H401" t="str">
            <v>8900</v>
          </cell>
          <cell r="I401" t="str">
            <v>West-Vlaanderen</v>
          </cell>
          <cell r="K401" t="str">
            <v>Ieper</v>
          </cell>
          <cell r="L401">
            <v>18932</v>
          </cell>
          <cell r="M401" t="str">
            <v>Vr</v>
          </cell>
          <cell r="O401" t="str">
            <v>057.20.03.51</v>
          </cell>
          <cell r="P401" t="str">
            <v>057.21.93.51</v>
          </cell>
          <cell r="Q401" t="str">
            <v>JOHANNA.DEWITTE@NOTARIS.BE</v>
          </cell>
          <cell r="R401">
            <v>2756</v>
          </cell>
        </row>
        <row r="402">
          <cell r="A402">
            <v>401</v>
          </cell>
          <cell r="B402" t="str">
            <v>DE WULF Alex</v>
          </cell>
          <cell r="C402" t="str">
            <v>DeWulf Alex</v>
          </cell>
          <cell r="D402" t="str">
            <v>Notaris</v>
          </cell>
          <cell r="E402" t="str">
            <v>Christiaan Van der Heydenlaan</v>
          </cell>
          <cell r="F402" t="str">
            <v>2</v>
          </cell>
          <cell r="G402" t="str">
            <v/>
          </cell>
          <cell r="H402" t="str">
            <v>9041</v>
          </cell>
          <cell r="I402" t="str">
            <v>Oost-Vlaanderen</v>
          </cell>
          <cell r="K402" t="str">
            <v>Oostakker</v>
          </cell>
          <cell r="M402" t="str">
            <v>M</v>
          </cell>
          <cell r="O402" t="str">
            <v>09.255.94.10</v>
          </cell>
          <cell r="P402" t="str">
            <v>09.255.94.19</v>
          </cell>
          <cell r="Q402" t="str">
            <v>ALEX.DEWULF@NOTARIS.BE</v>
          </cell>
          <cell r="R402">
            <v>3159</v>
          </cell>
        </row>
        <row r="403">
          <cell r="A403">
            <v>402</v>
          </cell>
          <cell r="B403" t="str">
            <v>DE WULF Astrid</v>
          </cell>
          <cell r="C403" t="str">
            <v>DeWulf Astrid</v>
          </cell>
          <cell r="D403" t="str">
            <v>Notaris</v>
          </cell>
          <cell r="E403" t="str">
            <v>Sint-Christianastraat</v>
          </cell>
          <cell r="F403" t="str">
            <v>17</v>
          </cell>
          <cell r="G403" t="str">
            <v/>
          </cell>
          <cell r="H403" t="str">
            <v>9200</v>
          </cell>
          <cell r="I403" t="str">
            <v>Oost-Vlaanderen</v>
          </cell>
          <cell r="K403" t="str">
            <v>Dendermonde</v>
          </cell>
          <cell r="M403" t="str">
            <v>Vr</v>
          </cell>
          <cell r="O403" t="str">
            <v>052.21.40.51</v>
          </cell>
          <cell r="P403" t="str">
            <v>052.22.06.57</v>
          </cell>
          <cell r="Q403" t="str">
            <v>ASTRID.DEWULF@NOTARIS.BE</v>
          </cell>
          <cell r="R403">
            <v>3385</v>
          </cell>
        </row>
        <row r="404">
          <cell r="A404">
            <v>403</v>
          </cell>
          <cell r="B404" t="str">
            <v>D´HAENENS Emmanuël</v>
          </cell>
          <cell r="C404" t="str">
            <v>Dhaenens Emmanuel</v>
          </cell>
          <cell r="D404" t="str">
            <v>Notaris</v>
          </cell>
          <cell r="E404" t="str">
            <v>Kollegestraat</v>
          </cell>
          <cell r="F404" t="str">
            <v>24</v>
          </cell>
          <cell r="G404" t="str">
            <v/>
          </cell>
          <cell r="H404" t="str">
            <v>9500</v>
          </cell>
          <cell r="I404" t="str">
            <v>Oost-Vlaanderen</v>
          </cell>
          <cell r="K404" t="str">
            <v>Geraardsbergen</v>
          </cell>
          <cell r="M404" t="str">
            <v>M</v>
          </cell>
          <cell r="O404" t="str">
            <v>054.41.26.47</v>
          </cell>
          <cell r="P404" t="str">
            <v>054.41.52.71</v>
          </cell>
          <cell r="Q404" t="str">
            <v>EMMANUEL.DHAENENS@NOTARIS.BE</v>
          </cell>
          <cell r="R404">
            <v>290</v>
          </cell>
        </row>
        <row r="405">
          <cell r="A405">
            <v>404</v>
          </cell>
          <cell r="B405" t="str">
            <v>D´HAEYER Annie</v>
          </cell>
          <cell r="C405" t="str">
            <v>Dhaeyer Annie</v>
          </cell>
          <cell r="D405" t="str">
            <v>Notaris</v>
          </cell>
          <cell r="E405" t="str">
            <v>Chaussée de Bruxelles</v>
          </cell>
          <cell r="F405" t="str">
            <v>147</v>
          </cell>
          <cell r="G405" t="str">
            <v/>
          </cell>
          <cell r="H405" t="str">
            <v>6020</v>
          </cell>
          <cell r="I405" t="str">
            <v>Hainaut</v>
          </cell>
          <cell r="K405" t="str">
            <v>Dampremy Charleroi)</v>
          </cell>
          <cell r="M405" t="str">
            <v>Vr</v>
          </cell>
          <cell r="O405" t="str">
            <v>071.31.01.30</v>
          </cell>
          <cell r="P405" t="str">
            <v>071.32.23.47</v>
          </cell>
          <cell r="Q405" t="str">
            <v>ANNIE.DHAEYER@NOTAIRE.BE</v>
          </cell>
          <cell r="R405">
            <v>995</v>
          </cell>
        </row>
        <row r="406">
          <cell r="A406">
            <v>405</v>
          </cell>
          <cell r="B406" t="str">
            <v>d´HARVENG Michel</v>
          </cell>
          <cell r="C406" t="str">
            <v>dHarveng Michel</v>
          </cell>
          <cell r="D406" t="str">
            <v>Notaris</v>
          </cell>
          <cell r="E406" t="str">
            <v>Rue Lieutenant Cotton</v>
          </cell>
          <cell r="F406" t="str">
            <v>11</v>
          </cell>
          <cell r="G406" t="str">
            <v/>
          </cell>
          <cell r="H406" t="str">
            <v>7880</v>
          </cell>
          <cell r="I406" t="str">
            <v>Hainaut</v>
          </cell>
          <cell r="K406" t="str">
            <v>Flobecq</v>
          </cell>
          <cell r="M406" t="str">
            <v>M</v>
          </cell>
          <cell r="O406" t="str">
            <v>068.44.70.12</v>
          </cell>
          <cell r="P406" t="str">
            <v>068.44.87.28</v>
          </cell>
          <cell r="Q406" t="str">
            <v>MICHEL.DHARVENG@NOTAIRE.BE</v>
          </cell>
          <cell r="R406">
            <v>2631</v>
          </cell>
        </row>
        <row r="407">
          <cell r="A407">
            <v>406</v>
          </cell>
          <cell r="B407" t="str">
            <v>d´HARVENG Michel</v>
          </cell>
          <cell r="C407" t="str">
            <v>dHarveng Michel</v>
          </cell>
          <cell r="D407" t="str">
            <v>Notaris</v>
          </cell>
          <cell r="E407" t="str">
            <v>Grand-Route de Liège</v>
          </cell>
          <cell r="F407" t="str">
            <v>5</v>
          </cell>
          <cell r="G407" t="str">
            <v/>
          </cell>
          <cell r="H407" t="str">
            <v>5300</v>
          </cell>
          <cell r="I407" t="str">
            <v>Namur</v>
          </cell>
          <cell r="K407" t="str">
            <v>Thon</v>
          </cell>
          <cell r="M407" t="str">
            <v>M</v>
          </cell>
          <cell r="O407" t="str">
            <v>081.58.02.51</v>
          </cell>
          <cell r="P407" t="str">
            <v>081.58.91.99</v>
          </cell>
          <cell r="Q407" t="str">
            <v>M.DHARVENG@NOTAIRE.BE</v>
          </cell>
          <cell r="R407">
            <v>3396</v>
          </cell>
        </row>
        <row r="408">
          <cell r="A408">
            <v>407</v>
          </cell>
          <cell r="B408" t="str">
            <v>DHONT François</v>
          </cell>
          <cell r="C408" t="str">
            <v>DHONT François</v>
          </cell>
          <cell r="D408" t="str">
            <v>Notaris</v>
          </cell>
          <cell r="E408" t="str">
            <v>Place Queteletplaats</v>
          </cell>
          <cell r="F408" t="str">
            <v>1</v>
          </cell>
          <cell r="G408" t="str">
            <v>bte 11</v>
          </cell>
          <cell r="H408" t="str">
            <v>1210</v>
          </cell>
          <cell r="I408" t="str">
            <v>Bruxelles</v>
          </cell>
          <cell r="K408" t="str">
            <v>Bruxelles</v>
          </cell>
          <cell r="M408" t="str">
            <v>M</v>
          </cell>
          <cell r="O408" t="str">
            <v>02.217.30.44</v>
          </cell>
          <cell r="P408" t="str">
            <v>02.217.60.56</v>
          </cell>
          <cell r="Q408" t="str">
            <v>FRANCOIS.DHONT@NOTAIRE.BE</v>
          </cell>
          <cell r="R408">
            <v>3113</v>
          </cell>
        </row>
        <row r="409">
          <cell r="A409">
            <v>408</v>
          </cell>
          <cell r="B409" t="str">
            <v>D´HOORE Bernard</v>
          </cell>
          <cell r="C409" t="str">
            <v>Dhoore Bernard</v>
          </cell>
          <cell r="D409" t="str">
            <v>Notaris</v>
          </cell>
          <cell r="E409" t="str">
            <v>Bloemendalestraat</v>
          </cell>
          <cell r="F409" t="str">
            <v>44</v>
          </cell>
          <cell r="G409" t="str">
            <v/>
          </cell>
          <cell r="H409" t="str">
            <v>8730</v>
          </cell>
          <cell r="I409" t="str">
            <v>West-Vlaanderen</v>
          </cell>
          <cell r="K409" t="str">
            <v>Beernem</v>
          </cell>
          <cell r="L409">
            <v>23376</v>
          </cell>
          <cell r="M409" t="str">
            <v>M</v>
          </cell>
          <cell r="O409" t="str">
            <v>050.78.84.34</v>
          </cell>
          <cell r="P409" t="str">
            <v>050.79.06.85</v>
          </cell>
          <cell r="Q409" t="str">
            <v>BERNARD.DHOORE@NOTARIS.BE</v>
          </cell>
          <cell r="R409">
            <v>3203</v>
          </cell>
        </row>
        <row r="410">
          <cell r="A410">
            <v>409</v>
          </cell>
          <cell r="B410" t="str">
            <v>D´HUYS Stefan</v>
          </cell>
          <cell r="C410" t="str">
            <v>Dhuys Stefan</v>
          </cell>
          <cell r="D410" t="str">
            <v>Notaris</v>
          </cell>
          <cell r="E410" t="str">
            <v>Dorpsstraat</v>
          </cell>
          <cell r="F410" t="str">
            <v>1</v>
          </cell>
          <cell r="G410" t="str">
            <v/>
          </cell>
          <cell r="H410" t="str">
            <v>3720</v>
          </cell>
          <cell r="I410" t="str">
            <v>Limburg</v>
          </cell>
          <cell r="K410" t="str">
            <v>Kortessem</v>
          </cell>
          <cell r="M410" t="str">
            <v>M</v>
          </cell>
          <cell r="O410" t="str">
            <v>011.43.29.98</v>
          </cell>
          <cell r="P410" t="str">
            <v>011.43.30.98</v>
          </cell>
          <cell r="Q410" t="str">
            <v>STEFAN.DHUYS@NOTARIS.BE</v>
          </cell>
          <cell r="R410">
            <v>3591</v>
          </cell>
        </row>
        <row r="411">
          <cell r="A411">
            <v>410</v>
          </cell>
          <cell r="B411" t="str">
            <v>DIEGENANT Koen</v>
          </cell>
          <cell r="C411" t="str">
            <v>DIEGENANT Koen</v>
          </cell>
          <cell r="D411" t="str">
            <v>Notaris</v>
          </cell>
          <cell r="E411" t="str">
            <v>Alsembergsesteenweg</v>
          </cell>
          <cell r="F411" t="str">
            <v>91</v>
          </cell>
          <cell r="G411" t="str">
            <v/>
          </cell>
          <cell r="H411" t="str">
            <v>1501</v>
          </cell>
          <cell r="I411" t="str">
            <v>Vlaams Brabant</v>
          </cell>
          <cell r="K411" t="str">
            <v>Buizingen</v>
          </cell>
          <cell r="M411" t="str">
            <v>M</v>
          </cell>
          <cell r="O411" t="str">
            <v>02.356.43.07</v>
          </cell>
          <cell r="P411" t="str">
            <v>02.356.34.29</v>
          </cell>
          <cell r="Q411" t="str">
            <v>KOEN.DIEGENANT@NOTARIS.BE</v>
          </cell>
          <cell r="R411">
            <v>3532</v>
          </cell>
        </row>
        <row r="412">
          <cell r="A412">
            <v>411</v>
          </cell>
          <cell r="B412" t="str">
            <v>Rina Dieltiëns BVBA</v>
          </cell>
          <cell r="C412" t="str">
            <v>Dieltiëns Rina</v>
          </cell>
          <cell r="D412" t="str">
            <v>Notaris</v>
          </cell>
          <cell r="E412" t="str">
            <v>Kerstraat</v>
          </cell>
          <cell r="F412" t="str">
            <v>23</v>
          </cell>
          <cell r="G412" t="str">
            <v/>
          </cell>
          <cell r="H412" t="str">
            <v>2380</v>
          </cell>
          <cell r="I412" t="str">
            <v>Antwerpen</v>
          </cell>
          <cell r="K412" t="str">
            <v>Ravels</v>
          </cell>
          <cell r="M412" t="str">
            <v>Vr</v>
          </cell>
          <cell r="O412" t="str">
            <v>014.65.80.84</v>
          </cell>
          <cell r="P412" t="str">
            <v>014.65.92.06</v>
          </cell>
          <cell r="Q412" t="str">
            <v>RINA.DIELTIENS@NOTARIS.BE</v>
          </cell>
          <cell r="R412">
            <v>3302</v>
          </cell>
        </row>
        <row r="413">
          <cell r="A413">
            <v>412</v>
          </cell>
          <cell r="B413" t="str">
            <v>DIERCKX Louis</v>
          </cell>
          <cell r="C413" t="str">
            <v>DIERCKX Louis</v>
          </cell>
          <cell r="D413" t="str">
            <v>Notaris</v>
          </cell>
          <cell r="E413" t="str">
            <v>Gasthuisstraat</v>
          </cell>
          <cell r="F413" t="str">
            <v>7</v>
          </cell>
          <cell r="G413" t="str">
            <v>bus 1</v>
          </cell>
          <cell r="H413" t="str">
            <v>2300</v>
          </cell>
          <cell r="I413" t="str">
            <v>Antwerpen</v>
          </cell>
          <cell r="K413" t="str">
            <v>Turnhout</v>
          </cell>
          <cell r="M413" t="str">
            <v>M</v>
          </cell>
          <cell r="O413" t="str">
            <v>014.42.51.51</v>
          </cell>
          <cell r="P413" t="str">
            <v>014.43.93.97</v>
          </cell>
          <cell r="Q413" t="str">
            <v>LOUIS.DIERCKX@NOTARIS.BE</v>
          </cell>
          <cell r="R413">
            <v>3136</v>
          </cell>
        </row>
        <row r="414">
          <cell r="A414">
            <v>413</v>
          </cell>
          <cell r="B414" t="str">
            <v>DINEUR Jean-Louis</v>
          </cell>
          <cell r="C414" t="str">
            <v>DINEUR Jean-Louis</v>
          </cell>
          <cell r="D414" t="str">
            <v>Notaris</v>
          </cell>
          <cell r="E414" t="str">
            <v>Avenue de la Libération</v>
          </cell>
          <cell r="F414" t="str">
            <v>46</v>
          </cell>
          <cell r="G414" t="str">
            <v/>
          </cell>
          <cell r="H414" t="str">
            <v>5660</v>
          </cell>
          <cell r="I414" t="str">
            <v>Namur</v>
          </cell>
          <cell r="K414" t="str">
            <v>Couvin</v>
          </cell>
          <cell r="M414" t="str">
            <v>M</v>
          </cell>
          <cell r="O414" t="str">
            <v>060.34.40.19</v>
          </cell>
          <cell r="P414" t="str">
            <v>060.34.68.08</v>
          </cell>
          <cell r="Q414" t="str">
            <v>JEANLOUIS.DINEUR@NOTAIRE.BE</v>
          </cell>
          <cell r="R414">
            <v>2715</v>
          </cell>
        </row>
        <row r="415">
          <cell r="A415">
            <v>414</v>
          </cell>
          <cell r="B415" t="str">
            <v>Claude Dizier SC SPRL - Notaire</v>
          </cell>
          <cell r="C415" t="str">
            <v>Dizier Claude</v>
          </cell>
          <cell r="D415" t="str">
            <v>Notaris</v>
          </cell>
          <cell r="E415" t="str">
            <v>rue de la Gendarmerie</v>
          </cell>
          <cell r="F415" t="str">
            <v>49</v>
          </cell>
          <cell r="G415" t="str">
            <v>bte A</v>
          </cell>
          <cell r="H415" t="str">
            <v>4550</v>
          </cell>
          <cell r="I415" t="str">
            <v>Liège</v>
          </cell>
          <cell r="K415" t="str">
            <v>Nandrin</v>
          </cell>
          <cell r="M415" t="str">
            <v>M</v>
          </cell>
          <cell r="O415" t="str">
            <v>085.51.11.34</v>
          </cell>
          <cell r="P415" t="str">
            <v>085.51.12.25</v>
          </cell>
          <cell r="Q415" t="str">
            <v>CLAUDE.DIZIER@NOTAIRE.BE</v>
          </cell>
          <cell r="R415">
            <v>2798</v>
          </cell>
        </row>
        <row r="416">
          <cell r="A416">
            <v>415</v>
          </cell>
          <cell r="B416" t="str">
            <v>LUC JANSSENS et BERNARD DOGOT</v>
          </cell>
          <cell r="C416" t="str">
            <v>Dogot Bernard</v>
          </cell>
          <cell r="D416" t="str">
            <v>Geassocieerd Notaris</v>
          </cell>
          <cell r="E416" t="str">
            <v>Rue du Bas-Hameau</v>
          </cell>
          <cell r="F416" t="str">
            <v>11</v>
          </cell>
          <cell r="G416" t="str">
            <v/>
          </cell>
          <cell r="H416" t="str">
            <v>7760</v>
          </cell>
          <cell r="I416" t="str">
            <v>Hainaut</v>
          </cell>
          <cell r="K416" t="str">
            <v>Velaines</v>
          </cell>
          <cell r="M416" t="str">
            <v>M</v>
          </cell>
          <cell r="O416" t="str">
            <v>069.85.94.53</v>
          </cell>
          <cell r="P416" t="str">
            <v>069.85.99.51</v>
          </cell>
          <cell r="Q416" t="str">
            <v>BERNARD.DOGOT@NOTAIRE.BE</v>
          </cell>
          <cell r="R416">
            <v>3611</v>
          </cell>
        </row>
        <row r="417">
          <cell r="A417">
            <v>416</v>
          </cell>
          <cell r="B417" t="str">
            <v>DOLPIRE Véronique</v>
          </cell>
          <cell r="C417" t="str">
            <v>DOLPIRE Véronique</v>
          </cell>
          <cell r="D417" t="str">
            <v>Notaris</v>
          </cell>
          <cell r="E417" t="str">
            <v>rue Grande</v>
          </cell>
          <cell r="F417" t="str">
            <v>28</v>
          </cell>
          <cell r="G417" t="str">
            <v/>
          </cell>
          <cell r="H417" t="str">
            <v>5500</v>
          </cell>
          <cell r="I417" t="str">
            <v>Namur</v>
          </cell>
          <cell r="K417" t="str">
            <v>Dinant</v>
          </cell>
          <cell r="M417" t="str">
            <v>Vr</v>
          </cell>
          <cell r="O417" t="str">
            <v>082.22.21.15</v>
          </cell>
          <cell r="P417" t="str">
            <v>082.22.55.33</v>
          </cell>
          <cell r="Q417" t="str">
            <v>VERONIQUE.DOLPIRE@NOTAIRE.BE</v>
          </cell>
          <cell r="R417">
            <v>3317</v>
          </cell>
        </row>
        <row r="418">
          <cell r="A418">
            <v>417</v>
          </cell>
          <cell r="B418" t="str">
            <v>DONCK Patrick</v>
          </cell>
          <cell r="C418" t="str">
            <v>DONCK Patrick</v>
          </cell>
          <cell r="D418" t="str">
            <v>Notaris</v>
          </cell>
          <cell r="E418" t="str">
            <v>Dorp</v>
          </cell>
          <cell r="F418" t="str">
            <v>21</v>
          </cell>
          <cell r="G418" t="str">
            <v/>
          </cell>
          <cell r="H418" t="str">
            <v>8647</v>
          </cell>
          <cell r="I418" t="str">
            <v>West-Vlaanderen</v>
          </cell>
          <cell r="K418" t="str">
            <v>Reninge</v>
          </cell>
          <cell r="L418">
            <v>18946</v>
          </cell>
          <cell r="M418" t="str">
            <v>M</v>
          </cell>
          <cell r="O418" t="str">
            <v>057.40.00.84</v>
          </cell>
          <cell r="P418" t="str">
            <v>057.40.10.37</v>
          </cell>
          <cell r="Q418" t="str">
            <v>PATRICK.DONCK@NOTARIS.BE</v>
          </cell>
          <cell r="R418">
            <v>2504</v>
          </cell>
        </row>
        <row r="419">
          <cell r="A419">
            <v>418</v>
          </cell>
          <cell r="B419" t="str">
            <v>DOOMS Jean-Pierre</v>
          </cell>
          <cell r="C419" t="str">
            <v>DOOMS Jean-Pierre</v>
          </cell>
          <cell r="D419" t="str">
            <v>Notaris</v>
          </cell>
          <cell r="E419" t="str">
            <v>Avenue des Taillis</v>
          </cell>
          <cell r="F419" t="str">
            <v>19</v>
          </cell>
          <cell r="G419" t="str">
            <v/>
          </cell>
          <cell r="H419" t="str">
            <v>1170</v>
          </cell>
          <cell r="I419" t="str">
            <v>Bruxelles</v>
          </cell>
          <cell r="K419" t="str">
            <v>Bruxelles</v>
          </cell>
          <cell r="M419" t="str">
            <v>M</v>
          </cell>
          <cell r="O419" t="str">
            <v>02.672.77.70</v>
          </cell>
          <cell r="P419" t="str">
            <v>02.672.78.33</v>
          </cell>
          <cell r="Q419" t="str">
            <v>JEANPIERRE.DOOMS@NOTAIRE.BE</v>
          </cell>
          <cell r="R419">
            <v>2804</v>
          </cell>
        </row>
        <row r="420">
          <cell r="A420">
            <v>419</v>
          </cell>
          <cell r="B420" t="str">
            <v>SPRL Etude Notariale Emmanuel Dopchie</v>
          </cell>
          <cell r="C420" t="str">
            <v>Dopchie Emmanuel</v>
          </cell>
          <cell r="D420" t="str">
            <v>Notaris</v>
          </cell>
          <cell r="E420" t="str">
            <v>Rue d´Erbisoeul</v>
          </cell>
          <cell r="F420" t="str">
            <v>209</v>
          </cell>
          <cell r="G420" t="str">
            <v/>
          </cell>
          <cell r="H420" t="str">
            <v>7050</v>
          </cell>
          <cell r="I420" t="str">
            <v>Hainaut</v>
          </cell>
          <cell r="K420" t="str">
            <v>Herchies</v>
          </cell>
          <cell r="M420" t="str">
            <v>M</v>
          </cell>
          <cell r="O420" t="str">
            <v>065.23.53.12</v>
          </cell>
          <cell r="P420" t="str">
            <v>065.22.79.82</v>
          </cell>
          <cell r="Q420" t="str">
            <v>EMMANUEL.DOPCHIE@NOTAIRE.BE</v>
          </cell>
          <cell r="R420">
            <v>2629</v>
          </cell>
        </row>
        <row r="421">
          <cell r="A421">
            <v>420</v>
          </cell>
          <cell r="B421" t="str">
            <v>DELIEGE DORMAL &amp; GOVERS</v>
          </cell>
          <cell r="C421" t="str">
            <v>Dormal Eric</v>
          </cell>
          <cell r="D421" t="str">
            <v>Geassocieerd Notaris</v>
          </cell>
          <cell r="E421" t="str">
            <v>Rue Neuve</v>
          </cell>
          <cell r="F421" t="str">
            <v>6</v>
          </cell>
          <cell r="G421" t="str">
            <v/>
          </cell>
          <cell r="H421" t="str">
            <v>4032</v>
          </cell>
          <cell r="I421" t="str">
            <v>Liège</v>
          </cell>
          <cell r="K421" t="str">
            <v>Chênée</v>
          </cell>
          <cell r="M421" t="str">
            <v>M</v>
          </cell>
          <cell r="O421" t="str">
            <v>04.367.54.33</v>
          </cell>
          <cell r="P421" t="str">
            <v>04.367.56.90</v>
          </cell>
          <cell r="Q421" t="str">
            <v>ERIC.DORMAL@NOTAIRE.BE</v>
          </cell>
          <cell r="R421">
            <v>3606</v>
          </cell>
        </row>
        <row r="422">
          <cell r="A422">
            <v>421</v>
          </cell>
          <cell r="B422" t="str">
            <v>DOUTREPONT Eric</v>
          </cell>
          <cell r="C422" t="str">
            <v>DOUTREPONT Eric</v>
          </cell>
        </row>
        <row r="423">
          <cell r="A423">
            <v>422</v>
          </cell>
          <cell r="B423" t="str">
            <v>DRIESKENS Bart</v>
          </cell>
          <cell r="C423" t="str">
            <v>DRIESKENS Bart</v>
          </cell>
          <cell r="D423" t="str">
            <v>Notaris</v>
          </cell>
          <cell r="E423" t="str">
            <v>Ringlaan</v>
          </cell>
          <cell r="F423" t="str">
            <v>22</v>
          </cell>
          <cell r="G423" t="str">
            <v/>
          </cell>
          <cell r="H423" t="str">
            <v>3530</v>
          </cell>
          <cell r="I423" t="str">
            <v>Limburg</v>
          </cell>
          <cell r="K423" t="str">
            <v>Houthalen-Helchteren</v>
          </cell>
          <cell r="M423" t="str">
            <v>M</v>
          </cell>
          <cell r="O423" t="str">
            <v>011.52.48.84</v>
          </cell>
          <cell r="P423" t="str">
            <v>011.52.29.73</v>
          </cell>
          <cell r="Q423" t="str">
            <v>BART.DRIESKENS@NOTARIS.BE</v>
          </cell>
          <cell r="R423">
            <v>3004</v>
          </cell>
        </row>
        <row r="424">
          <cell r="A424">
            <v>423</v>
          </cell>
          <cell r="B424" t="str">
            <v>DRIS François</v>
          </cell>
          <cell r="C424" t="str">
            <v>DRIS François</v>
          </cell>
          <cell r="D424" t="str">
            <v>Notaris</v>
          </cell>
          <cell r="E424" t="str">
            <v>Route de Valenciennes</v>
          </cell>
          <cell r="F424" t="str">
            <v>20</v>
          </cell>
          <cell r="G424" t="str">
            <v/>
          </cell>
          <cell r="H424" t="str">
            <v>7301</v>
          </cell>
          <cell r="I424" t="str">
            <v>Hainaut</v>
          </cell>
          <cell r="K424" t="str">
            <v>Hornu</v>
          </cell>
          <cell r="M424" t="str">
            <v>M</v>
          </cell>
          <cell r="O424" t="str">
            <v>065.78.38.23</v>
          </cell>
          <cell r="P424" t="str">
            <v>065.78.56.22</v>
          </cell>
          <cell r="Q424" t="str">
            <v>FRANCOIS.DRIS@NOTAIRE.BE</v>
          </cell>
          <cell r="R424">
            <v>730</v>
          </cell>
        </row>
        <row r="425">
          <cell r="A425">
            <v>424</v>
          </cell>
          <cell r="B425" t="str">
            <v>DROSSART Patrick</v>
          </cell>
          <cell r="C425" t="str">
            <v>DROSSART Patrick</v>
          </cell>
          <cell r="D425" t="str">
            <v>Notaris</v>
          </cell>
          <cell r="E425" t="str">
            <v>Place Langlois</v>
          </cell>
          <cell r="F425" t="str">
            <v>24</v>
          </cell>
          <cell r="G425" t="str">
            <v/>
          </cell>
          <cell r="H425" t="str">
            <v>7972</v>
          </cell>
          <cell r="I425" t="str">
            <v>Hainaut</v>
          </cell>
          <cell r="K425" t="str">
            <v>Quevaucamps</v>
          </cell>
          <cell r="M425" t="str">
            <v>Vr</v>
          </cell>
          <cell r="O425" t="str">
            <v>069.57.50.21</v>
          </cell>
          <cell r="P425" t="str">
            <v>069.56.06.68</v>
          </cell>
          <cell r="Q425" t="str">
            <v>jacqueline.hemberg@notaire.be</v>
          </cell>
          <cell r="R425">
            <v>2636</v>
          </cell>
        </row>
        <row r="426">
          <cell r="A426">
            <v>425</v>
          </cell>
          <cell r="B426" t="str">
            <v>Dubaere G. &amp; Brusselmans D.</v>
          </cell>
          <cell r="C426" t="str">
            <v>Dubaere Guy</v>
          </cell>
          <cell r="D426" t="str">
            <v>Geassocieerd Notaris</v>
          </cell>
          <cell r="E426" t="str">
            <v>Avenue de Jettelaan</v>
          </cell>
          <cell r="F426" t="str">
            <v>171</v>
          </cell>
          <cell r="G426" t="str">
            <v/>
          </cell>
          <cell r="H426" t="str">
            <v>1090</v>
          </cell>
          <cell r="I426" t="str">
            <v>Bruxelles</v>
          </cell>
          <cell r="K426" t="str">
            <v>Bruxelles</v>
          </cell>
          <cell r="M426" t="str">
            <v>M</v>
          </cell>
          <cell r="O426" t="str">
            <v>02.421.58.20</v>
          </cell>
          <cell r="P426" t="str">
            <v>02.424.04.26</v>
          </cell>
          <cell r="Q426" t="str">
            <v>GUY.DUBAERE@NOTAIRE.BE</v>
          </cell>
          <cell r="R426">
            <v>3513</v>
          </cell>
        </row>
        <row r="427">
          <cell r="A427">
            <v>426</v>
          </cell>
          <cell r="B427" t="str">
            <v>DUBUC Jacques</v>
          </cell>
          <cell r="C427" t="str">
            <v>DUBUC Jacques</v>
          </cell>
          <cell r="D427" t="str">
            <v>Notaris</v>
          </cell>
          <cell r="E427" t="str">
            <v>Rue de la Roche</v>
          </cell>
          <cell r="F427" t="str">
            <v>5</v>
          </cell>
          <cell r="G427" t="str">
            <v/>
          </cell>
          <cell r="H427" t="str">
            <v>5600</v>
          </cell>
          <cell r="I427" t="str">
            <v>Namur</v>
          </cell>
          <cell r="K427" t="str">
            <v>Philippeville</v>
          </cell>
          <cell r="M427" t="str">
            <v>M</v>
          </cell>
          <cell r="O427" t="str">
            <v>071.66.64.17</v>
          </cell>
          <cell r="P427" t="str">
            <v>071.66.71.38</v>
          </cell>
          <cell r="Q427" t="str">
            <v>JACQUES.DUBUC@NOTAIRE.BE</v>
          </cell>
          <cell r="R427">
            <v>2860</v>
          </cell>
        </row>
        <row r="428">
          <cell r="A428">
            <v>427</v>
          </cell>
          <cell r="B428" t="str">
            <v>SCIV SPRL François Dubuisson</v>
          </cell>
          <cell r="C428" t="str">
            <v>Dubuisson François</v>
          </cell>
          <cell r="D428" t="str">
            <v>Notaris</v>
          </cell>
          <cell r="E428" t="str">
            <v>Rue des Petits-Bois</v>
          </cell>
          <cell r="F428" t="str">
            <v>1</v>
          </cell>
          <cell r="G428" t="str">
            <v/>
          </cell>
          <cell r="H428" t="str">
            <v>7534</v>
          </cell>
          <cell r="I428" t="str">
            <v>Hainaut</v>
          </cell>
          <cell r="K428" t="str">
            <v>Maulde</v>
          </cell>
          <cell r="M428" t="str">
            <v>M</v>
          </cell>
          <cell r="O428" t="str">
            <v>069.54.61.18</v>
          </cell>
          <cell r="P428" t="str">
            <v>069.54.60.95</v>
          </cell>
          <cell r="Q428" t="str">
            <v>FRANCOIS.DUBUISSON@NOTAIRE.BE</v>
          </cell>
          <cell r="R428">
            <v>2745</v>
          </cell>
        </row>
        <row r="429">
          <cell r="A429">
            <v>428</v>
          </cell>
          <cell r="B429" t="str">
            <v>DUBUISSON Michel</v>
          </cell>
          <cell r="C429" t="str">
            <v>DUBUISSON Michel</v>
          </cell>
          <cell r="D429" t="str">
            <v>Notaris</v>
          </cell>
          <cell r="E429" t="str">
            <v>Rue de France</v>
          </cell>
          <cell r="F429" t="str">
            <v>19</v>
          </cell>
          <cell r="G429" t="str">
            <v/>
          </cell>
          <cell r="H429" t="str">
            <v>7711</v>
          </cell>
          <cell r="I429" t="str">
            <v>Hainaut</v>
          </cell>
          <cell r="K429" t="str">
            <v>Dottignies</v>
          </cell>
          <cell r="M429" t="str">
            <v>M</v>
          </cell>
          <cell r="O429" t="str">
            <v>056.48.80.09</v>
          </cell>
          <cell r="P429" t="str">
            <v>056.48.80.89</v>
          </cell>
          <cell r="Q429" t="str">
            <v>MICHEL.DUBUISSON@NOTAIRE.BE</v>
          </cell>
          <cell r="R429">
            <v>2635</v>
          </cell>
        </row>
        <row r="430">
          <cell r="A430">
            <v>429</v>
          </cell>
          <cell r="B430" t="str">
            <v>DUBUISSON Olivier</v>
          </cell>
          <cell r="C430" t="str">
            <v>DUBUISSON Olivier</v>
          </cell>
          <cell r="D430" t="str">
            <v>Notaris</v>
          </cell>
          <cell r="E430" t="str">
            <v>rue Américaine</v>
          </cell>
          <cell r="F430" t="str">
            <v>100</v>
          </cell>
          <cell r="G430" t="str">
            <v/>
          </cell>
          <cell r="H430" t="str">
            <v>1050</v>
          </cell>
          <cell r="I430" t="str">
            <v>Bruxelles</v>
          </cell>
          <cell r="K430" t="str">
            <v>Bruxelles</v>
          </cell>
          <cell r="M430" t="str">
            <v>M</v>
          </cell>
          <cell r="O430" t="str">
            <v>02.537.93.17</v>
          </cell>
          <cell r="P430" t="str">
            <v>02.537.34.40</v>
          </cell>
          <cell r="Q430" t="str">
            <v>OLIVIER.DUBUISSON@NOTAIRE.BE</v>
          </cell>
          <cell r="R430">
            <v>3008</v>
          </cell>
        </row>
        <row r="431">
          <cell r="A431">
            <v>430</v>
          </cell>
          <cell r="B431" t="str">
            <v>VAN CAUWENBERGH-DUCATTEEUW</v>
          </cell>
          <cell r="C431" t="str">
            <v>Ducatteeuw Kris</v>
          </cell>
          <cell r="D431" t="str">
            <v>Geassocieerd Notaris</v>
          </cell>
          <cell r="E431" t="str">
            <v>Hovestraat</v>
          </cell>
          <cell r="F431" t="str">
            <v>37</v>
          </cell>
          <cell r="G431" t="str">
            <v/>
          </cell>
          <cell r="H431" t="str">
            <v>2650</v>
          </cell>
          <cell r="I431" t="str">
            <v>Antwerpen</v>
          </cell>
          <cell r="K431" t="str">
            <v>Edegem</v>
          </cell>
          <cell r="M431" t="str">
            <v>M</v>
          </cell>
          <cell r="O431" t="str">
            <v>03.457.01.46</v>
          </cell>
          <cell r="P431" t="str">
            <v>03.458.10.43</v>
          </cell>
          <cell r="Q431" t="str">
            <v>kris.ducatteeuw@notaris.be</v>
          </cell>
          <cell r="R431">
            <v>3595</v>
          </cell>
        </row>
        <row r="432">
          <cell r="A432">
            <v>431</v>
          </cell>
          <cell r="B432" t="str">
            <v>DUCHATEAU Michel</v>
          </cell>
          <cell r="C432" t="str">
            <v>DUCHATEAU Michel</v>
          </cell>
          <cell r="D432" t="str">
            <v>Notaris</v>
          </cell>
          <cell r="E432" t="str">
            <v>Rue Louvrex</v>
          </cell>
          <cell r="F432" t="str">
            <v>71-73</v>
          </cell>
          <cell r="G432" t="str">
            <v>bte 2</v>
          </cell>
          <cell r="H432" t="str">
            <v>4000</v>
          </cell>
          <cell r="I432" t="str">
            <v>Liège</v>
          </cell>
          <cell r="K432" t="str">
            <v>Liège</v>
          </cell>
          <cell r="M432" t="str">
            <v>M</v>
          </cell>
          <cell r="O432" t="str">
            <v>04.222.14.74</v>
          </cell>
          <cell r="P432" t="str">
            <v>04.223.73.39</v>
          </cell>
          <cell r="Q432" t="str">
            <v>MICHEL.DUCHATEAU@NOTAIRE.BE</v>
          </cell>
          <cell r="R432">
            <v>2540</v>
          </cell>
        </row>
        <row r="433">
          <cell r="A433">
            <v>432</v>
          </cell>
          <cell r="B433" t="str">
            <v>DUERINCK Alfred</v>
          </cell>
          <cell r="C433" t="str">
            <v>DUERINCK Alfred</v>
          </cell>
          <cell r="D433" t="str">
            <v>Notaris</v>
          </cell>
          <cell r="E433" t="str">
            <v>Cyriel Buyssestraat</v>
          </cell>
          <cell r="F433" t="str">
            <v>38</v>
          </cell>
          <cell r="G433" t="str">
            <v/>
          </cell>
          <cell r="H433" t="str">
            <v>9850</v>
          </cell>
          <cell r="I433" t="str">
            <v>Oost-Vlaanderen</v>
          </cell>
          <cell r="K433" t="str">
            <v>Nevele</v>
          </cell>
          <cell r="M433" t="str">
            <v>M</v>
          </cell>
          <cell r="O433" t="str">
            <v>09.371.72.39</v>
          </cell>
          <cell r="P433" t="str">
            <v>09.371.87.78</v>
          </cell>
          <cell r="Q433" t="str">
            <v>ALFRED.DUERINCK@NOTARIS.BE</v>
          </cell>
          <cell r="R433">
            <v>2453</v>
          </cell>
        </row>
        <row r="434">
          <cell r="A434">
            <v>433</v>
          </cell>
          <cell r="B434" t="str">
            <v>DUFAUX Herwig-José</v>
          </cell>
          <cell r="C434" t="str">
            <v>DUFAUX Herwig-José</v>
          </cell>
          <cell r="D434" t="str">
            <v>Notaris</v>
          </cell>
          <cell r="E434" t="str">
            <v>Drogenbossesteenweg</v>
          </cell>
          <cell r="F434" t="str">
            <v>244</v>
          </cell>
          <cell r="G434" t="str">
            <v/>
          </cell>
          <cell r="H434" t="str">
            <v>1620</v>
          </cell>
          <cell r="I434" t="str">
            <v>Vlaams Brabant</v>
          </cell>
          <cell r="K434" t="str">
            <v>Drogenbos</v>
          </cell>
          <cell r="M434" t="str">
            <v>M</v>
          </cell>
          <cell r="O434" t="str">
            <v>02.377.51.17</v>
          </cell>
          <cell r="P434" t="str">
            <v>02.377.72.02</v>
          </cell>
          <cell r="Q434" t="str">
            <v>HERWIGJOSE.DUFAUX@NOTARIS.BE</v>
          </cell>
          <cell r="R434">
            <v>2985</v>
          </cell>
        </row>
        <row r="435">
          <cell r="A435">
            <v>434</v>
          </cell>
          <cell r="B435" t="str">
            <v>DU FAUX Ludovic &amp; MAHIEU Alain</v>
          </cell>
          <cell r="C435" t="str">
            <v>DuFaux Ludovic</v>
          </cell>
          <cell r="D435" t="str">
            <v>Geassocieerd Notaris</v>
          </cell>
          <cell r="E435" t="str">
            <v>Rue de la Station</v>
          </cell>
          <cell r="F435" t="str">
            <v>80</v>
          </cell>
          <cell r="G435" t="str">
            <v/>
          </cell>
          <cell r="H435" t="str">
            <v>7700</v>
          </cell>
          <cell r="I435" t="str">
            <v>Hainaut</v>
          </cell>
          <cell r="K435" t="str">
            <v>Mouscron</v>
          </cell>
          <cell r="M435" t="str">
            <v>M</v>
          </cell>
          <cell r="O435" t="str">
            <v>056.34.22.60</v>
          </cell>
          <cell r="P435" t="str">
            <v>056.34.40.72</v>
          </cell>
          <cell r="Q435" t="str">
            <v>LUDOVIC.DUFAUX@NOTAIRE.BE</v>
          </cell>
          <cell r="R435">
            <v>795</v>
          </cell>
        </row>
        <row r="436">
          <cell r="A436">
            <v>435</v>
          </cell>
          <cell r="B436" t="str">
            <v>Thérèse DUFAUX - Nathalie DESIMPEL</v>
          </cell>
          <cell r="C436" t="str">
            <v>Dufaux Thérèse</v>
          </cell>
          <cell r="D436" t="str">
            <v>Geassocieerd Notaris</v>
          </cell>
          <cell r="E436" t="str">
            <v>Zuiderlaan</v>
          </cell>
          <cell r="F436" t="str">
            <v>71</v>
          </cell>
          <cell r="G436" t="str">
            <v/>
          </cell>
          <cell r="H436" t="str">
            <v>8790</v>
          </cell>
          <cell r="I436" t="str">
            <v>West-Vlaanderen</v>
          </cell>
          <cell r="K436" t="str">
            <v>Waregem</v>
          </cell>
          <cell r="L436">
            <v>18063</v>
          </cell>
          <cell r="M436" t="str">
            <v>Vr</v>
          </cell>
          <cell r="O436" t="str">
            <v>056.62.76.90</v>
          </cell>
          <cell r="P436" t="str">
            <v>056.61.08.19</v>
          </cell>
          <cell r="Q436" t="str">
            <v>THERESE.DUFAUX@NOTARIS.BE</v>
          </cell>
          <cell r="R436">
            <v>3650</v>
          </cell>
        </row>
        <row r="437">
          <cell r="A437">
            <v>436</v>
          </cell>
          <cell r="B437" t="str">
            <v>OLIVIER TIMMERMANS &amp; DANIELLE DUHEN</v>
          </cell>
          <cell r="C437" t="str">
            <v>Duhen Danielle</v>
          </cell>
          <cell r="D437" t="str">
            <v>Geassocieerd Notaris</v>
          </cell>
          <cell r="E437" t="str">
            <v>Avenue Josse Goffinlaan</v>
          </cell>
          <cell r="F437" t="str">
            <v>16</v>
          </cell>
          <cell r="G437" t="str">
            <v/>
          </cell>
          <cell r="H437" t="str">
            <v>1082</v>
          </cell>
          <cell r="I437" t="str">
            <v>Bruxelles</v>
          </cell>
          <cell r="K437" t="str">
            <v>Bruxelles</v>
          </cell>
          <cell r="M437" t="str">
            <v>Vr</v>
          </cell>
          <cell r="O437" t="str">
            <v>02.465.29.18</v>
          </cell>
          <cell r="P437" t="str">
            <v>02.465.35.17</v>
          </cell>
          <cell r="Q437" t="str">
            <v>danielle.duhen@notaire.be</v>
          </cell>
          <cell r="R437">
            <v>3605</v>
          </cell>
        </row>
        <row r="438">
          <cell r="A438">
            <v>437</v>
          </cell>
          <cell r="B438" t="str">
            <v>DUMONT Denys</v>
          </cell>
          <cell r="C438" t="str">
            <v>DUMONT Denys</v>
          </cell>
          <cell r="D438" t="str">
            <v>Notaris</v>
          </cell>
          <cell r="E438" t="str">
            <v>Rue Gridlet</v>
          </cell>
          <cell r="F438" t="str">
            <v>40</v>
          </cell>
          <cell r="G438" t="str">
            <v/>
          </cell>
          <cell r="H438" t="str">
            <v>5575</v>
          </cell>
          <cell r="I438" t="str">
            <v>Namur</v>
          </cell>
          <cell r="K438" t="str">
            <v>Gedinne</v>
          </cell>
          <cell r="M438" t="str">
            <v>M</v>
          </cell>
          <cell r="O438" t="str">
            <v>061.58.80.43</v>
          </cell>
          <cell r="P438" t="str">
            <v>061.58.97.58</v>
          </cell>
          <cell r="Q438" t="str">
            <v>DENYS.DUMONT@NOTAIRE.BE</v>
          </cell>
          <cell r="R438">
            <v>2904</v>
          </cell>
        </row>
        <row r="439">
          <cell r="A439">
            <v>438</v>
          </cell>
          <cell r="B439" t="str">
            <v>DUMONT Michel</v>
          </cell>
          <cell r="C439" t="str">
            <v>DUMONT Michel</v>
          </cell>
          <cell r="D439" t="str">
            <v>Notaris</v>
          </cell>
          <cell r="E439" t="str">
            <v>Boulevard Audent</v>
          </cell>
          <cell r="F439" t="str">
            <v>26</v>
          </cell>
          <cell r="G439" t="str">
            <v>bte 2</v>
          </cell>
          <cell r="H439" t="str">
            <v>6000</v>
          </cell>
          <cell r="I439" t="str">
            <v>Hainaut</v>
          </cell>
          <cell r="K439" t="str">
            <v>Charleroi</v>
          </cell>
          <cell r="M439" t="str">
            <v>M</v>
          </cell>
          <cell r="O439" t="str">
            <v>071.31.47.18</v>
          </cell>
          <cell r="P439" t="str">
            <v>071.31.81.03</v>
          </cell>
          <cell r="Q439" t="str">
            <v>MICHEL.DUMONT@NOTAIRE.BE</v>
          </cell>
          <cell r="R439">
            <v>2761</v>
          </cell>
        </row>
        <row r="440">
          <cell r="A440">
            <v>439</v>
          </cell>
          <cell r="B440" t="str">
            <v>DUMONT Pierre</v>
          </cell>
          <cell r="C440" t="str">
            <v>DUMONT Pierre</v>
          </cell>
          <cell r="D440" t="str">
            <v>Notaris</v>
          </cell>
          <cell r="E440" t="str">
            <v>Avenue Edmond Leburton</v>
          </cell>
          <cell r="F440" t="str">
            <v>7</v>
          </cell>
          <cell r="G440" t="str">
            <v/>
          </cell>
          <cell r="H440" t="str">
            <v>4300</v>
          </cell>
          <cell r="I440" t="str">
            <v>Liège</v>
          </cell>
          <cell r="K440" t="str">
            <v>Waremme</v>
          </cell>
          <cell r="M440" t="str">
            <v>M</v>
          </cell>
          <cell r="O440" t="str">
            <v>019.32.21.22</v>
          </cell>
          <cell r="P440" t="str">
            <v>019.32.21.05</v>
          </cell>
          <cell r="Q440" t="str">
            <v>PIERRE.DUMONT@NOTAIRE.BE</v>
          </cell>
          <cell r="R440">
            <v>3359</v>
          </cell>
        </row>
        <row r="441">
          <cell r="A441">
            <v>440</v>
          </cell>
          <cell r="B441" t="str">
            <v>DUMOULIN Thierry</v>
          </cell>
          <cell r="C441" t="str">
            <v>DUMOULIN Thierry</v>
          </cell>
          <cell r="D441" t="str">
            <v>Notaris</v>
          </cell>
          <cell r="E441" t="str">
            <v>Rue de Couillet</v>
          </cell>
          <cell r="F441" t="str">
            <v>4</v>
          </cell>
          <cell r="G441" t="str">
            <v/>
          </cell>
          <cell r="H441" t="str">
            <v>6200</v>
          </cell>
          <cell r="I441" t="str">
            <v>Hainaut</v>
          </cell>
          <cell r="K441" t="str">
            <v>Châtelet</v>
          </cell>
          <cell r="M441" t="str">
            <v>M</v>
          </cell>
          <cell r="O441" t="str">
            <v>071.38.11.85</v>
          </cell>
          <cell r="P441" t="str">
            <v>071.39.69.28</v>
          </cell>
          <cell r="Q441" t="str">
            <v>THIERRY.DUMOULIN@NOTAIRE.BE</v>
          </cell>
          <cell r="R441">
            <v>2612</v>
          </cell>
        </row>
        <row r="442">
          <cell r="A442">
            <v>441</v>
          </cell>
          <cell r="B442" t="str">
            <v>DUMOULIN Vincent</v>
          </cell>
          <cell r="C442" t="str">
            <v>DUMOULIN Vincent</v>
          </cell>
          <cell r="D442" t="str">
            <v>Notaris</v>
          </cell>
          <cell r="E442" t="str">
            <v>Avenue des Nations Unies</v>
          </cell>
          <cell r="F442" t="str">
            <v>9</v>
          </cell>
          <cell r="G442" t="str">
            <v/>
          </cell>
          <cell r="H442" t="str">
            <v>6997</v>
          </cell>
          <cell r="I442" t="str">
            <v>Luxembourg</v>
          </cell>
          <cell r="K442" t="str">
            <v>Erezée</v>
          </cell>
          <cell r="M442" t="str">
            <v>M</v>
          </cell>
          <cell r="O442" t="str">
            <v>086.47.71.53</v>
          </cell>
          <cell r="P442" t="str">
            <v>086.47.70.62</v>
          </cell>
          <cell r="Q442" t="str">
            <v>VINCENT.DUMOULIN@NOTAIRE.BE</v>
          </cell>
          <cell r="R442">
            <v>3414</v>
          </cell>
        </row>
        <row r="443">
          <cell r="A443">
            <v>442</v>
          </cell>
          <cell r="B443" t="str">
            <v>DUPONT Corinne</v>
          </cell>
          <cell r="C443" t="str">
            <v>DUPONT Corinne</v>
          </cell>
          <cell r="D443" t="str">
            <v>Notaris</v>
          </cell>
          <cell r="E443" t="str">
            <v>rue du Fossé-aux-Loups</v>
          </cell>
          <cell r="F443" t="str">
            <v>38</v>
          </cell>
          <cell r="G443" t="str">
            <v>bte 1</v>
          </cell>
          <cell r="H443" t="str">
            <v>1000</v>
          </cell>
          <cell r="I443" t="str">
            <v>Bruxelles</v>
          </cell>
          <cell r="K443" t="str">
            <v>Bruxelles</v>
          </cell>
          <cell r="M443" t="str">
            <v>Vr</v>
          </cell>
          <cell r="O443" t="str">
            <v>02.217.52.57</v>
          </cell>
          <cell r="P443" t="str">
            <v>02.217.47.58</v>
          </cell>
          <cell r="Q443" t="str">
            <v>CORINNE.DUPONT@NOTAIRE.BE</v>
          </cell>
          <cell r="R443">
            <v>2901</v>
          </cell>
        </row>
        <row r="444">
          <cell r="A444">
            <v>443</v>
          </cell>
          <cell r="B444" t="str">
            <v>DUPONT Dirk</v>
          </cell>
          <cell r="C444" t="str">
            <v>DUPONT Dirk</v>
          </cell>
          <cell r="D444" t="str">
            <v>Notaris</v>
          </cell>
          <cell r="E444" t="str">
            <v>Sint-Lenaartsesteenweg</v>
          </cell>
          <cell r="F444" t="str">
            <v>53</v>
          </cell>
          <cell r="G444" t="str">
            <v/>
          </cell>
          <cell r="H444" t="str">
            <v>2310</v>
          </cell>
          <cell r="I444" t="str">
            <v>Antwerpen</v>
          </cell>
          <cell r="K444" t="str">
            <v>Rijkevorsel</v>
          </cell>
          <cell r="M444" t="str">
            <v>M</v>
          </cell>
          <cell r="O444" t="str">
            <v>03.314.56.46</v>
          </cell>
          <cell r="P444" t="str">
            <v>03.314.87.14</v>
          </cell>
          <cell r="Q444" t="str">
            <v>DIRK.DUPONT@NOTARIS.BE</v>
          </cell>
          <cell r="R444">
            <v>3099</v>
          </cell>
        </row>
        <row r="445">
          <cell r="A445">
            <v>444</v>
          </cell>
          <cell r="B445" t="str">
            <v>NOTAIRES DUPONT NERINCX &amp; VINCKE</v>
          </cell>
          <cell r="C445" t="str">
            <v>Dupont James</v>
          </cell>
          <cell r="D445" t="str">
            <v>Geassocieerd Notaris</v>
          </cell>
          <cell r="E445" t="str">
            <v>Rue de l´industrie</v>
          </cell>
          <cell r="F445" t="str">
            <v>24</v>
          </cell>
          <cell r="G445" t="str">
            <v/>
          </cell>
          <cell r="H445" t="str">
            <v>1040</v>
          </cell>
          <cell r="I445" t="str">
            <v>Bruxelles</v>
          </cell>
          <cell r="K445" t="str">
            <v>Bruxelles</v>
          </cell>
          <cell r="M445" t="str">
            <v>M</v>
          </cell>
          <cell r="O445" t="str">
            <v>02.513.89.55</v>
          </cell>
          <cell r="P445" t="str">
            <v>02.513.97.18</v>
          </cell>
          <cell r="Q445" t="str">
            <v>JAMES.DUPONT@NOTAIRE.BE</v>
          </cell>
          <cell r="R445">
            <v>3641</v>
          </cell>
        </row>
        <row r="446">
          <cell r="A446">
            <v>445</v>
          </cell>
          <cell r="B446" t="str">
            <v>DUPONT Serge</v>
          </cell>
          <cell r="C446" t="str">
            <v>DUPONT Serge</v>
          </cell>
          <cell r="D446" t="str">
            <v>Notaris</v>
          </cell>
          <cell r="E446" t="str">
            <v>rue de Folx-les-Caves</v>
          </cell>
          <cell r="F446" t="str">
            <v>7</v>
          </cell>
          <cell r="G446" t="str">
            <v/>
          </cell>
          <cell r="H446" t="str">
            <v>1350</v>
          </cell>
          <cell r="I446" t="str">
            <v>Brabant Wallon</v>
          </cell>
          <cell r="K446" t="str">
            <v>Jauche</v>
          </cell>
          <cell r="M446" t="str">
            <v>M</v>
          </cell>
          <cell r="O446" t="str">
            <v>019.63.32.13</v>
          </cell>
          <cell r="P446" t="str">
            <v>019.63.50.45</v>
          </cell>
          <cell r="Q446" t="str">
            <v>jeanfrancois.cayphas@belnot.be</v>
          </cell>
          <cell r="R446">
            <v>799</v>
          </cell>
        </row>
        <row r="447">
          <cell r="A447">
            <v>446</v>
          </cell>
          <cell r="B447" t="str">
            <v>DUPUIS Etienne</v>
          </cell>
          <cell r="C447" t="str">
            <v>DUPUIS Etienne</v>
          </cell>
          <cell r="D447" t="str">
            <v>Notaris</v>
          </cell>
          <cell r="E447" t="str">
            <v>Rue E. Noulet</v>
          </cell>
          <cell r="F447" t="str">
            <v>27</v>
          </cell>
          <cell r="G447" t="str">
            <v/>
          </cell>
          <cell r="H447" t="str">
            <v>7110</v>
          </cell>
          <cell r="I447" t="str">
            <v>Hainaut</v>
          </cell>
          <cell r="K447" t="str">
            <v>Strépy-Bracquegnies</v>
          </cell>
          <cell r="M447" t="str">
            <v>M</v>
          </cell>
          <cell r="O447" t="str">
            <v>064.67.61.71</v>
          </cell>
          <cell r="P447" t="str">
            <v>064.67.61.89</v>
          </cell>
          <cell r="Q447" t="str">
            <v>ETIENNE.DUPUIS@NOTAIRE.BE</v>
          </cell>
          <cell r="R447">
            <v>2609</v>
          </cell>
        </row>
        <row r="448">
          <cell r="A448">
            <v>447</v>
          </cell>
          <cell r="B448" t="str">
            <v>DUPUIS Philippe</v>
          </cell>
          <cell r="C448" t="str">
            <v>DUPUIS Philippe</v>
          </cell>
          <cell r="D448" t="str">
            <v>Notaris</v>
          </cell>
          <cell r="E448" t="str">
            <v>Rue des Déportés</v>
          </cell>
          <cell r="F448" t="str">
            <v>2B</v>
          </cell>
          <cell r="G448" t="str">
            <v/>
          </cell>
          <cell r="H448" t="str">
            <v>6041</v>
          </cell>
          <cell r="I448" t="str">
            <v>Hainaut</v>
          </cell>
          <cell r="K448" t="str">
            <v>Gosselies</v>
          </cell>
          <cell r="M448" t="str">
            <v>M</v>
          </cell>
          <cell r="O448" t="str">
            <v>071.35.35.15</v>
          </cell>
          <cell r="P448" t="str">
            <v>071.35.38.67</v>
          </cell>
          <cell r="Q448" t="str">
            <v>PHILIPPE.DUPUIS@NOTAIRE.BE</v>
          </cell>
          <cell r="R448">
            <v>2916</v>
          </cell>
        </row>
        <row r="449">
          <cell r="A449">
            <v>448</v>
          </cell>
          <cell r="B449" t="str">
            <v>DURIEU Etienne</v>
          </cell>
          <cell r="C449" t="str">
            <v>DURIEU Etienne</v>
          </cell>
          <cell r="D449" t="str">
            <v>Notaris</v>
          </cell>
          <cell r="E449" t="str">
            <v>Rue du Cygne</v>
          </cell>
          <cell r="F449" t="str">
            <v>5</v>
          </cell>
          <cell r="G449" t="str">
            <v/>
          </cell>
          <cell r="H449" t="str">
            <v>7130</v>
          </cell>
          <cell r="I449" t="str">
            <v>Hainaut</v>
          </cell>
          <cell r="K449" t="str">
            <v>Binche</v>
          </cell>
          <cell r="M449" t="str">
            <v>M</v>
          </cell>
          <cell r="O449" t="str">
            <v>064.31.11.80</v>
          </cell>
          <cell r="P449" t="str">
            <v>064.34.16.15</v>
          </cell>
          <cell r="Q449" t="str">
            <v>ETIENNE.DURIEU@NOTAIRE.BE</v>
          </cell>
          <cell r="R449">
            <v>2983</v>
          </cell>
        </row>
        <row r="450">
          <cell r="A450">
            <v>449</v>
          </cell>
          <cell r="B450" t="str">
            <v>DUSSELIER Antoon</v>
          </cell>
          <cell r="C450" t="str">
            <v>DUSSELIER Antoon</v>
          </cell>
          <cell r="D450" t="str">
            <v>Notaris</v>
          </cell>
          <cell r="E450" t="str">
            <v>Barnumstraat</v>
          </cell>
          <cell r="F450" t="str">
            <v>20</v>
          </cell>
          <cell r="G450" t="str">
            <v/>
          </cell>
          <cell r="H450" t="str">
            <v>8760</v>
          </cell>
          <cell r="I450" t="str">
            <v>West-Vlaanderen</v>
          </cell>
          <cell r="K450" t="str">
            <v>Meulebeke</v>
          </cell>
          <cell r="M450" t="str">
            <v>M</v>
          </cell>
          <cell r="O450" t="str">
            <v>051.48.93.98</v>
          </cell>
          <cell r="P450" t="str">
            <v>051.48.69.03</v>
          </cell>
          <cell r="Q450" t="str">
            <v>ANTOON.DUSSELIER@NOTARIS.BE</v>
          </cell>
          <cell r="R450">
            <v>225</v>
          </cell>
        </row>
        <row r="451">
          <cell r="A451">
            <v>450</v>
          </cell>
          <cell r="B451" t="str">
            <v>LUCAS VANDEN BUSSCHE &amp; THOMAS DUSSELIER</v>
          </cell>
          <cell r="C451" t="str">
            <v>Dusselier Tom</v>
          </cell>
          <cell r="D451" t="str">
            <v>Geassocieerd Notaris</v>
          </cell>
          <cell r="E451" t="str">
            <v>Van Bunnenlaan</v>
          </cell>
          <cell r="F451" t="str">
            <v>57</v>
          </cell>
          <cell r="G451" t="str">
            <v/>
          </cell>
          <cell r="H451" t="str">
            <v>8300</v>
          </cell>
          <cell r="I451" t="str">
            <v>West-Vlaanderen</v>
          </cell>
          <cell r="K451" t="str">
            <v>Knokke-Heist</v>
          </cell>
          <cell r="M451" t="str">
            <v>M</v>
          </cell>
          <cell r="O451" t="str">
            <v>050.63.20.20</v>
          </cell>
          <cell r="P451" t="str">
            <v>050.61.52.85</v>
          </cell>
          <cell r="Q451" t="str">
            <v>thomas.dusselier@notaris.be</v>
          </cell>
          <cell r="R451">
            <v>3599</v>
          </cell>
        </row>
        <row r="452">
          <cell r="A452">
            <v>451</v>
          </cell>
          <cell r="B452" t="str">
            <v>DUYTSCHAEVER Maarten</v>
          </cell>
          <cell r="C452" t="str">
            <v>DUYTSCHAEVER Maarten</v>
          </cell>
          <cell r="D452" t="str">
            <v>Notaris</v>
          </cell>
          <cell r="E452" t="str">
            <v>Voetbaltraat</v>
          </cell>
          <cell r="F452" t="str">
            <v>1</v>
          </cell>
          <cell r="G452" t="str">
            <v/>
          </cell>
          <cell r="H452" t="str">
            <v>9050</v>
          </cell>
          <cell r="I452" t="str">
            <v>Oost-Vlaanderen</v>
          </cell>
          <cell r="K452" t="str">
            <v>Gentbrugge</v>
          </cell>
          <cell r="M452" t="str">
            <v>M</v>
          </cell>
          <cell r="O452" t="str">
            <v>09.230.00.68</v>
          </cell>
          <cell r="P452" t="str">
            <v>09.232.36.04</v>
          </cell>
          <cell r="Q452" t="str">
            <v>MAARTEN.DUYTSCHAEVER@NOTARIS.BE</v>
          </cell>
          <cell r="R452">
            <v>3217</v>
          </cell>
        </row>
        <row r="453">
          <cell r="A453">
            <v>452</v>
          </cell>
          <cell r="B453" t="str">
            <v>VAN DIEVOET Marc</v>
          </cell>
          <cell r="C453" t="str">
            <v>DVanDievoet Marc</v>
          </cell>
          <cell r="D453" t="str">
            <v>Notaris</v>
          </cell>
          <cell r="E453" t="str">
            <v>Grote Baan</v>
          </cell>
          <cell r="F453" t="str">
            <v>290</v>
          </cell>
          <cell r="G453" t="str">
            <v/>
          </cell>
          <cell r="H453" t="str">
            <v>3150</v>
          </cell>
          <cell r="I453" t="str">
            <v>Vlaams Brabant</v>
          </cell>
          <cell r="K453" t="str">
            <v>Wespelaar</v>
          </cell>
          <cell r="M453" t="str">
            <v>M</v>
          </cell>
          <cell r="O453" t="str">
            <v>016.60.11.75</v>
          </cell>
          <cell r="P453" t="str">
            <v>016.60.71.52</v>
          </cell>
          <cell r="Q453" t="str">
            <v>MARC.VANDIEVOET@NOTARIS.BE</v>
          </cell>
          <cell r="R453">
            <v>3046</v>
          </cell>
        </row>
        <row r="454">
          <cell r="A454">
            <v>453</v>
          </cell>
          <cell r="B454" t="str">
            <v>EEMAN Joost</v>
          </cell>
          <cell r="C454" t="str">
            <v>EEMAN Joost</v>
          </cell>
          <cell r="D454" t="str">
            <v>Notaris</v>
          </cell>
          <cell r="E454" t="str">
            <v>Oudenaardsesteenweg</v>
          </cell>
          <cell r="F454" t="str">
            <v>50</v>
          </cell>
          <cell r="G454" t="str">
            <v/>
          </cell>
          <cell r="H454" t="str">
            <v>9000</v>
          </cell>
          <cell r="I454" t="str">
            <v>Oost-Vlaanderen</v>
          </cell>
          <cell r="K454" t="str">
            <v>Gent</v>
          </cell>
          <cell r="M454" t="str">
            <v>M</v>
          </cell>
          <cell r="O454" t="str">
            <v>09.241.80.60</v>
          </cell>
          <cell r="P454" t="str">
            <v>09.241.80.69</v>
          </cell>
          <cell r="Q454" t="str">
            <v>JOOST.EEMAN@NOTARIS.BE</v>
          </cell>
          <cell r="R454">
            <v>3453</v>
          </cell>
        </row>
        <row r="455">
          <cell r="A455">
            <v>454</v>
          </cell>
          <cell r="B455" t="str">
            <v>EEMAN Luc</v>
          </cell>
          <cell r="C455" t="str">
            <v>EEMAN Luc</v>
          </cell>
          <cell r="D455" t="str">
            <v>Notaris</v>
          </cell>
          <cell r="E455" t="str">
            <v>Brusselsesteenweg</v>
          </cell>
          <cell r="F455" t="str">
            <v>17</v>
          </cell>
          <cell r="G455" t="str">
            <v/>
          </cell>
          <cell r="H455" t="str">
            <v>9280</v>
          </cell>
          <cell r="I455" t="str">
            <v>Oost-Vlaanderen</v>
          </cell>
          <cell r="K455" t="str">
            <v>Lebbeke</v>
          </cell>
          <cell r="M455" t="str">
            <v>M</v>
          </cell>
          <cell r="O455" t="str">
            <v>052.41.04.15</v>
          </cell>
          <cell r="P455" t="str">
            <v>052.41.13.03</v>
          </cell>
          <cell r="Q455" t="str">
            <v>LUC.EEMAN@NOTARIS.BE</v>
          </cell>
          <cell r="R455">
            <v>130</v>
          </cell>
        </row>
        <row r="456">
          <cell r="A456">
            <v>455</v>
          </cell>
          <cell r="B456" t="str">
            <v>EEMAN &amp; VAN DEN BOSSCHE</v>
          </cell>
          <cell r="C456" t="str">
            <v>Eeman Rodolphe</v>
          </cell>
          <cell r="D456" t="str">
            <v>Geassocieerd Notaris</v>
          </cell>
          <cell r="E456" t="str">
            <v>Esplanadeplein</v>
          </cell>
          <cell r="F456" t="str">
            <v>10/A</v>
          </cell>
          <cell r="G456" t="str">
            <v/>
          </cell>
          <cell r="H456" t="str">
            <v>9300</v>
          </cell>
          <cell r="I456" t="str">
            <v>Oost-Vlaanderen</v>
          </cell>
          <cell r="K456" t="str">
            <v>Aalst</v>
          </cell>
          <cell r="M456" t="str">
            <v>M</v>
          </cell>
          <cell r="O456" t="str">
            <v>053.21.40.72</v>
          </cell>
          <cell r="P456" t="str">
            <v>053.21.58.76</v>
          </cell>
          <cell r="Q456" t="str">
            <v>RODOLPHE.EEMAN@NOTARIS.BE</v>
          </cell>
          <cell r="R456">
            <v>3522</v>
          </cell>
        </row>
        <row r="457">
          <cell r="A457">
            <v>456</v>
          </cell>
          <cell r="B457" t="str">
            <v>EERDEKENS Ghislain</v>
          </cell>
          <cell r="C457" t="str">
            <v>EERDEKENS Ghislain</v>
          </cell>
          <cell r="D457" t="str">
            <v>Notaris</v>
          </cell>
          <cell r="E457" t="str">
            <v>Stationsstraat</v>
          </cell>
          <cell r="F457" t="str">
            <v>13 A</v>
          </cell>
          <cell r="G457" t="str">
            <v/>
          </cell>
          <cell r="H457" t="str">
            <v>3910</v>
          </cell>
          <cell r="I457" t="str">
            <v>Limburg</v>
          </cell>
          <cell r="K457" t="str">
            <v>Neerpelt</v>
          </cell>
          <cell r="M457" t="str">
            <v>M</v>
          </cell>
          <cell r="O457" t="str">
            <v>011.80.17.17</v>
          </cell>
          <cell r="P457" t="str">
            <v>011.80.17.00</v>
          </cell>
          <cell r="Q457" t="str">
            <v>GHISLAIN.EERDEKENS@NOTARIS.BE</v>
          </cell>
          <cell r="R457">
            <v>3230</v>
          </cell>
        </row>
        <row r="458">
          <cell r="A458">
            <v>457</v>
          </cell>
          <cell r="B458" t="str">
            <v>TOM VERBIST - KATRIEN EERENS</v>
          </cell>
          <cell r="C458" t="str">
            <v>Eerens Katrien</v>
          </cell>
          <cell r="D458" t="str">
            <v>Geassocieerd Notaris</v>
          </cell>
          <cell r="E458" t="str">
            <v>Collegestraat</v>
          </cell>
          <cell r="F458" t="str">
            <v>38</v>
          </cell>
          <cell r="G458" t="str">
            <v/>
          </cell>
          <cell r="H458" t="str">
            <v>2440</v>
          </cell>
          <cell r="I458" t="str">
            <v>Antwerpen</v>
          </cell>
          <cell r="K458" t="str">
            <v>Geel</v>
          </cell>
          <cell r="M458" t="str">
            <v>Vr</v>
          </cell>
          <cell r="O458" t="str">
            <v>014.58.81.41</v>
          </cell>
          <cell r="P458" t="str">
            <v>014.58.44.03</v>
          </cell>
          <cell r="Q458" t="str">
            <v>katrien.eerens@notaris.be</v>
          </cell>
          <cell r="R458">
            <v>3607</v>
          </cell>
        </row>
        <row r="459">
          <cell r="A459">
            <v>458</v>
          </cell>
          <cell r="B459" t="str">
            <v>ELLEBOUDT Philippe</v>
          </cell>
          <cell r="C459" t="str">
            <v>ELLEBOUDT Philippe</v>
          </cell>
          <cell r="D459" t="str">
            <v>Notaris</v>
          </cell>
          <cell r="E459" t="str">
            <v>rue de la Roche</v>
          </cell>
          <cell r="F459" t="str">
            <v>47</v>
          </cell>
          <cell r="G459" t="str">
            <v/>
          </cell>
          <cell r="H459" t="str">
            <v>7022</v>
          </cell>
          <cell r="I459" t="str">
            <v>Hainaut</v>
          </cell>
          <cell r="K459" t="str">
            <v>Harveng</v>
          </cell>
          <cell r="M459" t="str">
            <v>M</v>
          </cell>
          <cell r="O459" t="str">
            <v>065.58.63.16</v>
          </cell>
          <cell r="P459" t="str">
            <v>065.58.75.75</v>
          </cell>
          <cell r="Q459" t="str">
            <v>PHILIPPE.ELLEBOUDT@NOTAIRE.BE</v>
          </cell>
          <cell r="R459">
            <v>3521</v>
          </cell>
        </row>
        <row r="460">
          <cell r="A460">
            <v>459</v>
          </cell>
          <cell r="B460" t="str">
            <v>ENSCH Jacques</v>
          </cell>
          <cell r="C460" t="str">
            <v>ENSCH Jacques</v>
          </cell>
          <cell r="D460" t="str">
            <v>Notaris</v>
          </cell>
          <cell r="E460" t="str">
            <v>Rue Leon Castilhon</v>
          </cell>
          <cell r="F460" t="str">
            <v>47</v>
          </cell>
          <cell r="G460" t="str">
            <v/>
          </cell>
          <cell r="H460" t="str">
            <v>6700</v>
          </cell>
          <cell r="I460" t="str">
            <v>Luxembourg</v>
          </cell>
          <cell r="K460" t="str">
            <v>Arlon</v>
          </cell>
          <cell r="M460" t="str">
            <v>M</v>
          </cell>
          <cell r="O460" t="str">
            <v>063.22.28.03</v>
          </cell>
          <cell r="P460" t="str">
            <v>063.22.02.72</v>
          </cell>
          <cell r="Q460" t="str">
            <v>JACQUES.ENSCH@NOTAIRE.BE</v>
          </cell>
          <cell r="R460">
            <v>1173</v>
          </cell>
        </row>
        <row r="461">
          <cell r="A461">
            <v>460</v>
          </cell>
          <cell r="B461" t="str">
            <v>ERNEUX Pierre</v>
          </cell>
          <cell r="C461" t="str">
            <v>ERNEUX Pierre</v>
          </cell>
          <cell r="D461" t="str">
            <v>Notaris</v>
          </cell>
          <cell r="E461" t="str">
            <v>Strainchamps</v>
          </cell>
          <cell r="F461" t="str">
            <v>31 A</v>
          </cell>
          <cell r="G461" t="str">
            <v/>
          </cell>
          <cell r="H461" t="str">
            <v>6637</v>
          </cell>
          <cell r="I461" t="str">
            <v>Luxembourg</v>
          </cell>
          <cell r="K461" t="str">
            <v>Fauvillers</v>
          </cell>
          <cell r="M461" t="str">
            <v>M</v>
          </cell>
          <cell r="O461" t="str">
            <v>063.60.02.70</v>
          </cell>
          <cell r="P461" t="str">
            <v>063.60.06.77</v>
          </cell>
          <cell r="Q461" t="str">
            <v>PIERRE.ERNEUX@NOTAIRE.BE</v>
          </cell>
          <cell r="R461">
            <v>925</v>
          </cell>
        </row>
        <row r="462">
          <cell r="A462">
            <v>461</v>
          </cell>
          <cell r="B462" t="str">
            <v>ERNEUX Pierre-Yves &amp; Denotte Th.</v>
          </cell>
          <cell r="C462" t="str">
            <v>Erneux Pierre-Yves</v>
          </cell>
          <cell r="D462" t="str">
            <v>Geassocieerd Notaris</v>
          </cell>
          <cell r="E462" t="str">
            <v>Rue Godefroid</v>
          </cell>
          <cell r="F462" t="str">
            <v>26</v>
          </cell>
          <cell r="G462" t="str">
            <v/>
          </cell>
          <cell r="H462" t="str">
            <v>5000</v>
          </cell>
          <cell r="I462" t="str">
            <v>Namur</v>
          </cell>
          <cell r="K462" t="str">
            <v>Namur</v>
          </cell>
          <cell r="M462" t="str">
            <v>M</v>
          </cell>
          <cell r="O462" t="str">
            <v>081.22.00.82</v>
          </cell>
          <cell r="P462" t="str">
            <v>081.23.07.59</v>
          </cell>
          <cell r="Q462" t="str">
            <v>PIERREYVES.ERNEUX@NOTAIRE.BE</v>
          </cell>
          <cell r="R462">
            <v>3538</v>
          </cell>
        </row>
        <row r="463">
          <cell r="A463">
            <v>462</v>
          </cell>
          <cell r="B463" t="str">
            <v>ESTIENNE Emmanuel</v>
          </cell>
          <cell r="C463" t="str">
            <v>ESTIENNE Emmanuel</v>
          </cell>
          <cell r="D463" t="str">
            <v>Notaris</v>
          </cell>
          <cell r="E463" t="str">
            <v>Rue de Charleroi</v>
          </cell>
          <cell r="F463" t="str">
            <v>31</v>
          </cell>
          <cell r="G463" t="str">
            <v/>
          </cell>
          <cell r="H463" t="str">
            <v>1470</v>
          </cell>
          <cell r="I463" t="str">
            <v>Brabant Wallon</v>
          </cell>
          <cell r="K463" t="str">
            <v>Genappe</v>
          </cell>
          <cell r="M463" t="str">
            <v>M</v>
          </cell>
          <cell r="O463" t="str">
            <v>067.77.20.38</v>
          </cell>
          <cell r="P463" t="str">
            <v>067.77.15.64</v>
          </cell>
          <cell r="Q463" t="str">
            <v>emmanuel.estienne@notaire.be</v>
          </cell>
          <cell r="R463">
            <v>802</v>
          </cell>
          <cell r="S463" t="str">
            <v>001-0600933-94</v>
          </cell>
          <cell r="T463" t="str">
            <v>*2004</v>
          </cell>
        </row>
        <row r="464">
          <cell r="A464">
            <v>463</v>
          </cell>
          <cell r="B464" t="str">
            <v>EVENEPOEL Ingrid</v>
          </cell>
          <cell r="C464" t="str">
            <v>EVENEPOEL Ingrid</v>
          </cell>
          <cell r="D464" t="str">
            <v>Notaris</v>
          </cell>
          <cell r="E464" t="str">
            <v>Centrumlaan</v>
          </cell>
          <cell r="F464" t="str">
            <v>48</v>
          </cell>
          <cell r="G464" t="str">
            <v/>
          </cell>
          <cell r="H464" t="str">
            <v>9400</v>
          </cell>
          <cell r="I464" t="str">
            <v>Oost-Vlaanderen</v>
          </cell>
          <cell r="K464" t="str">
            <v>Ninove</v>
          </cell>
          <cell r="M464" t="str">
            <v>Vr</v>
          </cell>
          <cell r="O464" t="str">
            <v>054.33.22.16</v>
          </cell>
          <cell r="P464" t="str">
            <v>054.32.78.40</v>
          </cell>
          <cell r="Q464" t="str">
            <v>INGRID.EVENEPOEL@NOTARIS.BE</v>
          </cell>
          <cell r="R464">
            <v>3184</v>
          </cell>
        </row>
        <row r="465">
          <cell r="A465">
            <v>464</v>
          </cell>
          <cell r="B465" t="str">
            <v>EYSKENS DEFLANDER EN VANBERGHEN</v>
          </cell>
          <cell r="C465" t="str">
            <v>Eyskens Michel</v>
          </cell>
          <cell r="D465" t="str">
            <v>Geassocieerd Notaris</v>
          </cell>
          <cell r="E465" t="str">
            <v>Steenweg op Turnhout</v>
          </cell>
          <cell r="F465" t="str">
            <v>106</v>
          </cell>
          <cell r="G465" t="str">
            <v/>
          </cell>
          <cell r="H465" t="str">
            <v>2360</v>
          </cell>
          <cell r="I465" t="str">
            <v>Antwerpen</v>
          </cell>
          <cell r="K465" t="str">
            <v>Oud-Turnhout</v>
          </cell>
          <cell r="M465" t="str">
            <v>M</v>
          </cell>
          <cell r="O465" t="str">
            <v>014.45.31.51</v>
          </cell>
          <cell r="P465" t="str">
            <v>014.45.31.03</v>
          </cell>
          <cell r="Q465" t="str">
            <v>MICHEL.EYSKENS@NOTARIS.BE</v>
          </cell>
          <cell r="R465">
            <v>3630</v>
          </cell>
        </row>
        <row r="466">
          <cell r="A466">
            <v>465</v>
          </cell>
          <cell r="B466" t="str">
            <v>FASOL Véronique</v>
          </cell>
          <cell r="C466" t="str">
            <v>FASOL Véronique</v>
          </cell>
          <cell r="D466" t="str">
            <v>Notaris</v>
          </cell>
          <cell r="E466" t="str">
            <v>Avenue de Broquevillelaan</v>
          </cell>
          <cell r="F466" t="str">
            <v>57</v>
          </cell>
          <cell r="G466" t="str">
            <v>bte 12</v>
          </cell>
          <cell r="H466" t="str">
            <v>1200</v>
          </cell>
          <cell r="I466" t="str">
            <v>Bruxelles</v>
          </cell>
          <cell r="K466" t="str">
            <v>Bruxelles</v>
          </cell>
          <cell r="M466" t="str">
            <v>Vr</v>
          </cell>
          <cell r="O466" t="str">
            <v>02.733.07.81</v>
          </cell>
          <cell r="P466" t="str">
            <v>02.734.42.44</v>
          </cell>
          <cell r="Q466" t="str">
            <v>VERONIQUE.FASOL@NOTAIRE.BE</v>
          </cell>
          <cell r="R466">
            <v>3571</v>
          </cell>
        </row>
        <row r="467">
          <cell r="A467">
            <v>466</v>
          </cell>
          <cell r="B467" t="str">
            <v>FASSIN Armand-Marc</v>
          </cell>
          <cell r="C467" t="str">
            <v>FASSIN Armand-Marc</v>
          </cell>
          <cell r="D467" t="str">
            <v>Notaris</v>
          </cell>
          <cell r="E467" t="str">
            <v>Rue Albin Body</v>
          </cell>
          <cell r="F467" t="str">
            <v>33</v>
          </cell>
          <cell r="G467" t="str">
            <v/>
          </cell>
          <cell r="H467" t="str">
            <v>4900</v>
          </cell>
          <cell r="I467" t="str">
            <v>Liège</v>
          </cell>
          <cell r="K467" t="str">
            <v>Spa</v>
          </cell>
          <cell r="M467" t="str">
            <v>M</v>
          </cell>
          <cell r="O467" t="str">
            <v>087.77.25.09</v>
          </cell>
          <cell r="P467" t="str">
            <v>087.77.06.42</v>
          </cell>
          <cell r="Q467" t="str">
            <v>ARMAND.FASSIN@NOTAIRE.BE</v>
          </cell>
          <cell r="R467">
            <v>2753</v>
          </cell>
        </row>
        <row r="468">
          <cell r="A468">
            <v>467</v>
          </cell>
          <cell r="B468" t="str">
            <v>FERMON Hilde</v>
          </cell>
          <cell r="C468" t="str">
            <v>FERMON Hilde</v>
          </cell>
          <cell r="D468" t="str">
            <v>Notaris</v>
          </cell>
          <cell r="E468" t="str">
            <v>Kloosterstraat</v>
          </cell>
          <cell r="F468" t="str">
            <v>1</v>
          </cell>
          <cell r="G468" t="str">
            <v/>
          </cell>
          <cell r="H468" t="str">
            <v>1745</v>
          </cell>
          <cell r="I468" t="str">
            <v>Vlaams Brabant</v>
          </cell>
          <cell r="K468" t="str">
            <v>Opwijk</v>
          </cell>
          <cell r="M468" t="str">
            <v>Vr</v>
          </cell>
          <cell r="O468" t="str">
            <v>052.35.28.80</v>
          </cell>
          <cell r="P468" t="str">
            <v>052.35.28.84</v>
          </cell>
          <cell r="Q468" t="str">
            <v>HILDE.FERMON@NOTARIS.BE</v>
          </cell>
          <cell r="R468">
            <v>3336</v>
          </cell>
        </row>
        <row r="469">
          <cell r="A469">
            <v>468</v>
          </cell>
          <cell r="B469" t="str">
            <v>FEVERY Fabienne</v>
          </cell>
          <cell r="C469" t="str">
            <v>FEVERY Fabienne</v>
          </cell>
          <cell r="D469" t="str">
            <v>Notaris</v>
          </cell>
          <cell r="E469" t="str">
            <v>Kortrijksesteenweg</v>
          </cell>
          <cell r="F469" t="str">
            <v>307</v>
          </cell>
          <cell r="G469" t="str">
            <v/>
          </cell>
          <cell r="H469" t="str">
            <v>9000</v>
          </cell>
          <cell r="I469" t="str">
            <v>Oost-Vlaanderen</v>
          </cell>
          <cell r="K469" t="str">
            <v>Gent</v>
          </cell>
          <cell r="M469" t="str">
            <v>Vr</v>
          </cell>
          <cell r="O469" t="str">
            <v>09.222.60.90</v>
          </cell>
          <cell r="P469" t="str">
            <v>09.220.10.09</v>
          </cell>
          <cell r="Q469" t="str">
            <v>FABIENNE.FEVERY@NOTARIS.BE</v>
          </cell>
          <cell r="R469">
            <v>3351</v>
          </cell>
        </row>
        <row r="470">
          <cell r="A470">
            <v>469</v>
          </cell>
          <cell r="B470" t="str">
            <v>FIEUWS Steven</v>
          </cell>
          <cell r="C470" t="str">
            <v>FIEUWS Steven</v>
          </cell>
          <cell r="D470" t="str">
            <v>Notaris</v>
          </cell>
          <cell r="E470" t="str">
            <v>Sint-Jorisstraat</v>
          </cell>
          <cell r="F470" t="str">
            <v>6</v>
          </cell>
          <cell r="G470" t="str">
            <v/>
          </cell>
          <cell r="H470" t="str">
            <v>8000</v>
          </cell>
          <cell r="I470" t="str">
            <v>West-Vlaanderen</v>
          </cell>
          <cell r="K470" t="str">
            <v>Brugge</v>
          </cell>
          <cell r="L470">
            <v>23209</v>
          </cell>
          <cell r="M470" t="str">
            <v>M</v>
          </cell>
          <cell r="O470" t="str">
            <v>050.33.65.36</v>
          </cell>
          <cell r="P470" t="str">
            <v>050.33.12.18</v>
          </cell>
          <cell r="Q470" t="str">
            <v>STEVEN.FIEUWS@NOTARIS.BE</v>
          </cell>
          <cell r="R470">
            <v>3540</v>
          </cell>
        </row>
        <row r="471">
          <cell r="A471">
            <v>470</v>
          </cell>
          <cell r="B471" t="str">
            <v>FLAMANT Philippe</v>
          </cell>
          <cell r="C471" t="str">
            <v>FLAMANT Philippe</v>
          </cell>
          <cell r="D471" t="str">
            <v>Notaris</v>
          </cell>
          <cell r="E471" t="str">
            <v>Karel Vandendoorenstraat</v>
          </cell>
          <cell r="F471" t="str">
            <v>12</v>
          </cell>
          <cell r="G471" t="str">
            <v/>
          </cell>
          <cell r="H471" t="str">
            <v>9600</v>
          </cell>
          <cell r="I471" t="str">
            <v>Oost-Vlaanderen</v>
          </cell>
          <cell r="K471" t="str">
            <v>Ronse</v>
          </cell>
          <cell r="M471" t="str">
            <v>M</v>
          </cell>
          <cell r="O471" t="str">
            <v>055.21.34.25</v>
          </cell>
          <cell r="P471" t="str">
            <v>055.21.49.33</v>
          </cell>
          <cell r="Q471" t="str">
            <v>PHILIPPE.FLAMANT@NOTARIS.BE</v>
          </cell>
          <cell r="R471">
            <v>2757</v>
          </cell>
        </row>
        <row r="472">
          <cell r="A472">
            <v>471</v>
          </cell>
          <cell r="B472" t="str">
            <v>FLAMENG Jean-Francis</v>
          </cell>
          <cell r="C472" t="str">
            <v>FLAMENG Jean-Francis</v>
          </cell>
          <cell r="D472" t="str">
            <v>Notaris</v>
          </cell>
          <cell r="E472" t="str">
            <v>Rue du Calvaire</v>
          </cell>
          <cell r="F472" t="str">
            <v>11</v>
          </cell>
          <cell r="G472" t="str">
            <v/>
          </cell>
          <cell r="H472" t="str">
            <v>6200</v>
          </cell>
          <cell r="I472" t="str">
            <v>Hainaut</v>
          </cell>
          <cell r="K472" t="str">
            <v>Châtelet</v>
          </cell>
          <cell r="M472" t="str">
            <v>M</v>
          </cell>
          <cell r="O472" t="str">
            <v>071.38.10.79</v>
          </cell>
          <cell r="P472" t="str">
            <v>071.24.33.49</v>
          </cell>
          <cell r="Q472" t="str">
            <v>JEANFRANCIS.FLAMENG@NOTAIRE.BE</v>
          </cell>
          <cell r="R472">
            <v>2950</v>
          </cell>
        </row>
        <row r="473">
          <cell r="A473">
            <v>472</v>
          </cell>
          <cell r="B473" t="str">
            <v>BV BVBA Paul Flies Notaris</v>
          </cell>
          <cell r="C473" t="str">
            <v>Flies Paul</v>
          </cell>
          <cell r="D473" t="str">
            <v>Notaris</v>
          </cell>
          <cell r="E473" t="str">
            <v>Stationsstraat</v>
          </cell>
          <cell r="F473" t="str">
            <v>41</v>
          </cell>
          <cell r="G473" t="str">
            <v/>
          </cell>
          <cell r="H473" t="str">
            <v>9220</v>
          </cell>
          <cell r="I473" t="str">
            <v>Oost-Vlaanderen</v>
          </cell>
          <cell r="K473" t="str">
            <v>Hamme O.-Vl.)</v>
          </cell>
          <cell r="M473" t="str">
            <v>M</v>
          </cell>
          <cell r="O473" t="str">
            <v>052.33.99.00</v>
          </cell>
          <cell r="P473" t="str">
            <v>052.47.87.89</v>
          </cell>
          <cell r="Q473" t="str">
            <v>PAUL.FLIES@NOTARIS.BE</v>
          </cell>
          <cell r="R473">
            <v>2941</v>
          </cell>
        </row>
        <row r="474">
          <cell r="A474">
            <v>473</v>
          </cell>
          <cell r="B474" t="str">
            <v>Serge Fortez Notaire SC SPRL</v>
          </cell>
          <cell r="C474" t="str">
            <v>Fortez Serge</v>
          </cell>
          <cell r="D474" t="str">
            <v>Notaris</v>
          </cell>
          <cell r="E474" t="str">
            <v>Rue de Valenciennes</v>
          </cell>
          <cell r="F474" t="str">
            <v>15</v>
          </cell>
          <cell r="G474" t="str">
            <v/>
          </cell>
          <cell r="H474" t="str">
            <v>7380</v>
          </cell>
          <cell r="I474" t="str">
            <v>Hainaut</v>
          </cell>
          <cell r="K474" t="str">
            <v>Quiévrain</v>
          </cell>
          <cell r="M474" t="str">
            <v>M</v>
          </cell>
          <cell r="O474" t="str">
            <v>065.45.70.46</v>
          </cell>
          <cell r="P474" t="str">
            <v>065.45.75.35</v>
          </cell>
          <cell r="Q474" t="str">
            <v>SERGE.FORTEZ@NOTAIRE.BE</v>
          </cell>
          <cell r="R474">
            <v>3094</v>
          </cell>
        </row>
        <row r="475">
          <cell r="A475">
            <v>474</v>
          </cell>
          <cell r="B475" t="str">
            <v>FOSSEPREZ Jean-Pierre</v>
          </cell>
          <cell r="C475" t="str">
            <v>FOSSEPREZ Jean-Pierre</v>
          </cell>
          <cell r="D475" t="str">
            <v>Notaris</v>
          </cell>
          <cell r="E475" t="str">
            <v>Rue du Serpont</v>
          </cell>
          <cell r="F475" t="str">
            <v>29 B</v>
          </cell>
          <cell r="G475" t="str">
            <v/>
          </cell>
          <cell r="H475" t="str">
            <v>6800</v>
          </cell>
          <cell r="I475" t="str">
            <v>Luxembourg</v>
          </cell>
          <cell r="K475" t="str">
            <v>Libramont-Chevigny</v>
          </cell>
          <cell r="M475" t="str">
            <v>M</v>
          </cell>
          <cell r="O475" t="str">
            <v>061.22.55.50</v>
          </cell>
          <cell r="P475" t="str">
            <v>061.22.55.52</v>
          </cell>
          <cell r="Q475" t="str">
            <v>JEANPIERRE.FOSSEPREZ@NOTAIRE.BE</v>
          </cell>
          <cell r="R475">
            <v>2574</v>
          </cell>
        </row>
        <row r="476">
          <cell r="A476">
            <v>475</v>
          </cell>
          <cell r="B476" t="str">
            <v>Alain FRANCE Notaire SPRL</v>
          </cell>
          <cell r="C476" t="str">
            <v>France Alain</v>
          </cell>
          <cell r="D476" t="str">
            <v>Notaris</v>
          </cell>
          <cell r="E476" t="str">
            <v>Chaussée de Montignies</v>
          </cell>
          <cell r="F476" t="str">
            <v>28</v>
          </cell>
          <cell r="G476" t="str">
            <v/>
          </cell>
          <cell r="H476" t="str">
            <v>6060</v>
          </cell>
          <cell r="I476" t="str">
            <v>Hainaut</v>
          </cell>
          <cell r="K476" t="str">
            <v>Gilly Charleroi)</v>
          </cell>
          <cell r="M476" t="str">
            <v>M</v>
          </cell>
          <cell r="O476" t="str">
            <v>071.41.45.34</v>
          </cell>
          <cell r="P476" t="str">
            <v>071.42.29.67</v>
          </cell>
          <cell r="Q476" t="str">
            <v>ALAIN.FRANCE@NOTAIRE.BE</v>
          </cell>
          <cell r="R476">
            <v>2762</v>
          </cell>
        </row>
        <row r="477">
          <cell r="A477">
            <v>476</v>
          </cell>
          <cell r="B477" t="str">
            <v>FRANEAU Adrien</v>
          </cell>
          <cell r="C477" t="str">
            <v>FRANEAU Adrien</v>
          </cell>
          <cell r="D477" t="str">
            <v>Notaris</v>
          </cell>
          <cell r="E477" t="str">
            <v>Rue d´Enghien</v>
          </cell>
          <cell r="F477" t="str">
            <v>19</v>
          </cell>
          <cell r="G477" t="str">
            <v/>
          </cell>
          <cell r="H477" t="str">
            <v>7000</v>
          </cell>
          <cell r="I477" t="str">
            <v>Hainaut</v>
          </cell>
          <cell r="K477" t="str">
            <v>Mons</v>
          </cell>
          <cell r="M477" t="str">
            <v>M</v>
          </cell>
          <cell r="O477" t="str">
            <v>065.33.52.12</v>
          </cell>
          <cell r="P477" t="str">
            <v>065.35.42.77</v>
          </cell>
          <cell r="Q477" t="str">
            <v>ADRIEN.FRANEAU@NOTAIRE.BE</v>
          </cell>
          <cell r="R477">
            <v>640</v>
          </cell>
        </row>
        <row r="478">
          <cell r="A478">
            <v>477</v>
          </cell>
          <cell r="B478" t="str">
            <v>FRANSMAN-DAELEMANS Myriam</v>
          </cell>
          <cell r="C478" t="str">
            <v>FransmanDaelemans Myriam</v>
          </cell>
          <cell r="D478" t="str">
            <v>Notaris</v>
          </cell>
          <cell r="E478" t="str">
            <v>Witte Torenwal</v>
          </cell>
          <cell r="F478" t="str">
            <v>26</v>
          </cell>
          <cell r="G478" t="str">
            <v/>
          </cell>
          <cell r="H478" t="str">
            <v>3960</v>
          </cell>
          <cell r="I478" t="str">
            <v>Limburg</v>
          </cell>
          <cell r="K478" t="str">
            <v>Bree</v>
          </cell>
          <cell r="M478" t="str">
            <v>Vr</v>
          </cell>
          <cell r="O478" t="str">
            <v>089.46.12.88</v>
          </cell>
          <cell r="P478" t="str">
            <v>089.46.05.99</v>
          </cell>
          <cell r="Q478" t="str">
            <v>MYRIAM.FRANSMANDAELEMANS@NOTARIS.BE</v>
          </cell>
          <cell r="R478">
            <v>2560</v>
          </cell>
        </row>
        <row r="479">
          <cell r="A479">
            <v>478</v>
          </cell>
          <cell r="B479" t="str">
            <v>FRANSOLET Françoise</v>
          </cell>
          <cell r="C479" t="str">
            <v>FRANSOLET Françoise</v>
          </cell>
          <cell r="D479" t="str">
            <v>Notaire</v>
          </cell>
          <cell r="E479" t="str">
            <v>Rue Général Jacques</v>
          </cell>
          <cell r="F479" t="str">
            <v>188</v>
          </cell>
          <cell r="G479" t="str">
            <v/>
          </cell>
          <cell r="H479" t="str">
            <v>4051</v>
          </cell>
          <cell r="I479" t="str">
            <v>Liège</v>
          </cell>
          <cell r="K479" t="str">
            <v>Vaux-sous-Chèvremont</v>
          </cell>
          <cell r="M479" t="str">
            <v>Vr</v>
          </cell>
          <cell r="O479" t="str">
            <v>04.365.10.16</v>
          </cell>
          <cell r="P479" t="str">
            <v>04.367.90.42</v>
          </cell>
          <cell r="Q479" t="str">
            <v>francoise.fransolet@notaire.be</v>
          </cell>
          <cell r="R479">
            <v>2444</v>
          </cell>
          <cell r="T479">
            <v>38679</v>
          </cell>
        </row>
        <row r="480">
          <cell r="A480">
            <v>479</v>
          </cell>
          <cell r="B480" t="str">
            <v>Coureaux J.F. &amp; Frippiat A.</v>
          </cell>
          <cell r="C480" t="str">
            <v>Frippiat Antoine</v>
          </cell>
          <cell r="D480" t="str">
            <v>Geassocieerd Notaris</v>
          </cell>
          <cell r="E480" t="str">
            <v>Rue du Tribois</v>
          </cell>
          <cell r="F480" t="str">
            <v>92</v>
          </cell>
          <cell r="G480" t="str">
            <v/>
          </cell>
          <cell r="H480" t="str">
            <v>6920</v>
          </cell>
          <cell r="I480" t="str">
            <v>Luxembourg</v>
          </cell>
          <cell r="K480" t="str">
            <v>Wellin</v>
          </cell>
          <cell r="M480" t="str">
            <v>M</v>
          </cell>
          <cell r="O480" t="str">
            <v>084.38.81.21</v>
          </cell>
          <cell r="P480" t="str">
            <v>084.38.92.12</v>
          </cell>
          <cell r="Q480" t="str">
            <v>JEANFRANCOIS.COUREAUX@NOTAIRE.BE</v>
          </cell>
          <cell r="R480">
            <v>583</v>
          </cell>
          <cell r="T480">
            <v>38646</v>
          </cell>
        </row>
        <row r="481">
          <cell r="A481">
            <v>480</v>
          </cell>
          <cell r="B481" t="str">
            <v>FURNEMONT &amp; LAGUESSE</v>
          </cell>
          <cell r="C481" t="str">
            <v>Furnemont Michel</v>
          </cell>
          <cell r="D481" t="str">
            <v>Geassocieerd Notaris</v>
          </cell>
          <cell r="E481" t="str">
            <v>Rue J.M. Maréchal</v>
          </cell>
          <cell r="F481" t="str">
            <v>32</v>
          </cell>
          <cell r="G481" t="str">
            <v/>
          </cell>
          <cell r="H481" t="str">
            <v>4800</v>
          </cell>
          <cell r="I481" t="str">
            <v>Liège</v>
          </cell>
          <cell r="K481" t="str">
            <v>Ensival</v>
          </cell>
          <cell r="M481" t="str">
            <v>M</v>
          </cell>
          <cell r="O481" t="str">
            <v>087.33.88.44</v>
          </cell>
          <cell r="P481" t="str">
            <v>087.34.06.45</v>
          </cell>
          <cell r="Q481" t="str">
            <v>MICHEL.FURNEMONT@NOTAIRE.BE</v>
          </cell>
          <cell r="R481">
            <v>3504</v>
          </cell>
        </row>
        <row r="482">
          <cell r="A482">
            <v>481</v>
          </cell>
          <cell r="B482" t="str">
            <v>FYON Fernand</v>
          </cell>
          <cell r="C482" t="str">
            <v>FYON Fernand</v>
          </cell>
          <cell r="D482" t="str">
            <v>Notaris</v>
          </cell>
          <cell r="E482" t="str">
            <v>rue Jean d´Outremeuse</v>
          </cell>
          <cell r="F482" t="str">
            <v>90</v>
          </cell>
          <cell r="G482" t="str">
            <v/>
          </cell>
          <cell r="H482" t="str">
            <v>4020</v>
          </cell>
          <cell r="I482" t="str">
            <v>Liège</v>
          </cell>
          <cell r="K482" t="str">
            <v>Liège</v>
          </cell>
          <cell r="M482" t="str">
            <v>M</v>
          </cell>
          <cell r="O482" t="str">
            <v>04.223.76.23</v>
          </cell>
          <cell r="P482" t="str">
            <v>04.221.26.53</v>
          </cell>
          <cell r="Q482" t="str">
            <v>FERNAND.FYON@NOTAIRE.BE</v>
          </cell>
          <cell r="R482">
            <v>3471</v>
          </cell>
        </row>
        <row r="483">
          <cell r="A483">
            <v>482</v>
          </cell>
          <cell r="B483" t="str">
            <v>ANNE ET GENEVIEVE GAHYLLE</v>
          </cell>
          <cell r="C483" t="str">
            <v>Gahylle Anne et Geneviève</v>
          </cell>
          <cell r="D483" t="str">
            <v>Geassocieerd Notaris</v>
          </cell>
          <cell r="E483" t="str">
            <v>rue Dorez</v>
          </cell>
          <cell r="F483" t="str">
            <v>2</v>
          </cell>
          <cell r="G483" t="str">
            <v/>
          </cell>
          <cell r="H483" t="str">
            <v>7500</v>
          </cell>
          <cell r="I483" t="str">
            <v>Hainaut</v>
          </cell>
          <cell r="K483" t="str">
            <v>Tournai</v>
          </cell>
          <cell r="M483" t="str">
            <v>Vr</v>
          </cell>
          <cell r="O483" t="str">
            <v>069.22.44.14</v>
          </cell>
          <cell r="P483" t="str">
            <v>069.21.23.50</v>
          </cell>
          <cell r="Q483" t="str">
            <v>ANNE.GAHYLLE@NOTAIRE.BE</v>
          </cell>
          <cell r="R483">
            <v>3499</v>
          </cell>
        </row>
        <row r="484">
          <cell r="A484">
            <v>483</v>
          </cell>
          <cell r="B484" t="str">
            <v>ANNE ET GENEVIEVE GAHYLLE</v>
          </cell>
          <cell r="C484" t="str">
            <v>Gahylle Geneviève et Anne</v>
          </cell>
          <cell r="D484" t="str">
            <v>Geassocieerd Notaris</v>
          </cell>
          <cell r="E484" t="str">
            <v>rue Dorez</v>
          </cell>
          <cell r="F484" t="str">
            <v>2</v>
          </cell>
          <cell r="G484" t="str">
            <v/>
          </cell>
          <cell r="H484" t="str">
            <v>7500</v>
          </cell>
          <cell r="I484" t="str">
            <v>Hainaut</v>
          </cell>
          <cell r="K484" t="str">
            <v>Tournai</v>
          </cell>
          <cell r="M484" t="str">
            <v>Vr</v>
          </cell>
          <cell r="O484" t="str">
            <v>069.22.44.14</v>
          </cell>
          <cell r="P484" t="str">
            <v>069.21.23.50</v>
          </cell>
          <cell r="Q484" t="str">
            <v>GENEVIEVE.GAHYLLE@NOTAIRE.BE</v>
          </cell>
          <cell r="R484">
            <v>3499</v>
          </cell>
        </row>
        <row r="485">
          <cell r="A485">
            <v>484</v>
          </cell>
          <cell r="B485" t="str">
            <v>GANTY Philippe</v>
          </cell>
          <cell r="C485" t="str">
            <v>GANTY Philippe</v>
          </cell>
          <cell r="D485" t="str">
            <v>Notaris</v>
          </cell>
          <cell r="E485" t="str">
            <v>Avenue Pastur</v>
          </cell>
          <cell r="F485" t="str">
            <v>155</v>
          </cell>
          <cell r="G485" t="str">
            <v/>
          </cell>
          <cell r="H485" t="str">
            <v>6032</v>
          </cell>
          <cell r="I485" t="str">
            <v>Hainaut</v>
          </cell>
          <cell r="K485" t="str">
            <v>Mont-sur-Marchienne</v>
          </cell>
          <cell r="M485" t="str">
            <v>M</v>
          </cell>
          <cell r="O485" t="str">
            <v>071.36.16.70</v>
          </cell>
          <cell r="P485" t="str">
            <v>071.43.91.53</v>
          </cell>
          <cell r="Q485" t="str">
            <v>PHILIPPE.GANTY@NOTAIRE.BE</v>
          </cell>
          <cell r="R485">
            <v>2654</v>
          </cell>
        </row>
        <row r="486">
          <cell r="A486">
            <v>485</v>
          </cell>
          <cell r="B486" t="str">
            <v>GARSOU Christian</v>
          </cell>
          <cell r="C486" t="str">
            <v>GARSOU Christian</v>
          </cell>
          <cell r="D486" t="str">
            <v>Notaris</v>
          </cell>
          <cell r="E486" t="str">
            <v>Rue le Marais</v>
          </cell>
          <cell r="F486" t="str">
            <v>7</v>
          </cell>
          <cell r="G486" t="str">
            <v/>
          </cell>
          <cell r="H486" t="str">
            <v>4530</v>
          </cell>
          <cell r="I486" t="str">
            <v>Liège</v>
          </cell>
          <cell r="K486" t="str">
            <v>Villers-le-Bouillet</v>
          </cell>
          <cell r="M486" t="str">
            <v>M</v>
          </cell>
          <cell r="O486" t="str">
            <v>085.21.43.15</v>
          </cell>
          <cell r="P486" t="str">
            <v>085.23.56.73</v>
          </cell>
          <cell r="Q486" t="str">
            <v>CHRISTIAN.GARSOU@NOTAIRE.BE</v>
          </cell>
          <cell r="R486">
            <v>3190</v>
          </cell>
        </row>
        <row r="487">
          <cell r="A487">
            <v>486</v>
          </cell>
          <cell r="B487" t="str">
            <v>DE BLOCK &amp; GAUTHY</v>
          </cell>
          <cell r="C487" t="str">
            <v>Gauthy Jean-Michel</v>
          </cell>
          <cell r="D487" t="str">
            <v>Geassocieerd Notaris</v>
          </cell>
          <cell r="E487" t="str">
            <v>Hoyoux</v>
          </cell>
          <cell r="F487" t="str">
            <v>87</v>
          </cell>
          <cell r="G487" t="str">
            <v/>
          </cell>
          <cell r="H487" t="str">
            <v>4040</v>
          </cell>
          <cell r="I487" t="str">
            <v>Liège</v>
          </cell>
          <cell r="K487" t="str">
            <v>Herstal</v>
          </cell>
          <cell r="M487" t="str">
            <v>M</v>
          </cell>
          <cell r="O487" t="str">
            <v>04/248.11.88</v>
          </cell>
          <cell r="P487" t="str">
            <v>04/248.05.12</v>
          </cell>
          <cell r="Q487" t="str">
            <v>JEANMICHEL.GAUTHY@NOTAIRE.BE</v>
          </cell>
          <cell r="R487">
            <v>3656</v>
          </cell>
        </row>
        <row r="488">
          <cell r="A488">
            <v>487</v>
          </cell>
          <cell r="B488" t="str">
            <v>CROLLA &amp; GEEBELEN BVBA</v>
          </cell>
          <cell r="C488" t="str">
            <v>Geebelen Paul</v>
          </cell>
          <cell r="D488" t="str">
            <v>Geassocieerd Notaris</v>
          </cell>
          <cell r="E488" t="str">
            <v>Kerkplein</v>
          </cell>
          <cell r="F488" t="str">
            <v>20-21-22</v>
          </cell>
          <cell r="G488" t="str">
            <v/>
          </cell>
          <cell r="H488" t="str">
            <v>3920</v>
          </cell>
          <cell r="I488" t="str">
            <v>Limburg</v>
          </cell>
          <cell r="K488" t="str">
            <v>Lommel</v>
          </cell>
          <cell r="M488" t="str">
            <v>M</v>
          </cell>
          <cell r="O488" t="str">
            <v>011.54.21.91</v>
          </cell>
          <cell r="P488" t="str">
            <v>011.54.16.72</v>
          </cell>
          <cell r="Q488" t="str">
            <v>PAUL.GEEBELEN@NOTARIS.BE</v>
          </cell>
          <cell r="R488">
            <v>3479</v>
          </cell>
        </row>
        <row r="489">
          <cell r="A489">
            <v>488</v>
          </cell>
          <cell r="B489" t="str">
            <v>Geerinckx Danny</v>
          </cell>
          <cell r="C489" t="str">
            <v>Geerinckx Danny</v>
          </cell>
          <cell r="D489" t="str">
            <v>Notaris</v>
          </cell>
          <cell r="E489" t="str">
            <v>T. De Beckerstraat</v>
          </cell>
          <cell r="F489">
            <v>42</v>
          </cell>
          <cell r="G489" t="str">
            <v/>
          </cell>
          <cell r="H489" t="str">
            <v>3200</v>
          </cell>
          <cell r="I489" t="str">
            <v>Vlaams Brabant</v>
          </cell>
          <cell r="K489" t="str">
            <v>Aarschot</v>
          </cell>
          <cell r="M489" t="str">
            <v>M</v>
          </cell>
          <cell r="O489" t="str">
            <v>016.56.63.61</v>
          </cell>
          <cell r="P489" t="str">
            <v>016.57.06.13</v>
          </cell>
          <cell r="Q489" t="str">
            <v>danny.geerinckx@notaris.be</v>
          </cell>
          <cell r="R489">
            <v>292</v>
          </cell>
        </row>
        <row r="490">
          <cell r="A490">
            <v>489</v>
          </cell>
          <cell r="B490" t="str">
            <v>GENIN Paul-Emile</v>
          </cell>
          <cell r="C490" t="str">
            <v>GENIN Paul-Emile</v>
          </cell>
          <cell r="D490" t="str">
            <v>Notaris</v>
          </cell>
          <cell r="E490" t="str">
            <v>Quai Saint-Brice</v>
          </cell>
          <cell r="F490" t="str">
            <v>31</v>
          </cell>
          <cell r="G490" t="str">
            <v/>
          </cell>
          <cell r="H490" t="str">
            <v>7500</v>
          </cell>
          <cell r="I490" t="str">
            <v>Hainaut</v>
          </cell>
          <cell r="K490" t="str">
            <v>Tournai</v>
          </cell>
          <cell r="M490" t="str">
            <v>M</v>
          </cell>
          <cell r="O490" t="str">
            <v>069.22.41.91</v>
          </cell>
          <cell r="P490" t="str">
            <v>069.84.40.33</v>
          </cell>
          <cell r="Q490" t="str">
            <v>PAULEMILE.GENIN@NOTAIRE.BE</v>
          </cell>
          <cell r="R490">
            <v>1261</v>
          </cell>
        </row>
        <row r="491">
          <cell r="A491">
            <v>490</v>
          </cell>
          <cell r="B491" t="str">
            <v>GEORGE Marie-France</v>
          </cell>
          <cell r="C491" t="str">
            <v>GEORGE Marie-France</v>
          </cell>
          <cell r="D491" t="str">
            <v>Notaris</v>
          </cell>
          <cell r="E491" t="str">
            <v>rue du Vigna</v>
          </cell>
          <cell r="F491" t="str">
            <v>83</v>
          </cell>
          <cell r="G491" t="str">
            <v/>
          </cell>
          <cell r="H491" t="str">
            <v>5300</v>
          </cell>
          <cell r="I491" t="str">
            <v>Namur</v>
          </cell>
          <cell r="K491" t="str">
            <v>Seilles</v>
          </cell>
          <cell r="M491" t="str">
            <v>Vr</v>
          </cell>
          <cell r="O491" t="str">
            <v>085.82.60.26</v>
          </cell>
          <cell r="P491" t="str">
            <v>085.82.79.80</v>
          </cell>
          <cell r="Q491" t="str">
            <v>MARIEFRANCE.GEORGE@NOTAIRE.BE</v>
          </cell>
          <cell r="R491">
            <v>3395</v>
          </cell>
        </row>
        <row r="492">
          <cell r="A492">
            <v>491</v>
          </cell>
          <cell r="B492" t="str">
            <v>GERIN Bruno</v>
          </cell>
          <cell r="C492" t="str">
            <v>GERIN Bruno</v>
          </cell>
          <cell r="D492" t="str">
            <v>Notaris</v>
          </cell>
          <cell r="E492" t="str">
            <v>Maalse Steenweg</v>
          </cell>
          <cell r="F492" t="str">
            <v>360</v>
          </cell>
          <cell r="G492" t="str">
            <v/>
          </cell>
          <cell r="H492" t="str">
            <v>8310</v>
          </cell>
          <cell r="I492" t="str">
            <v>West-Vlaanderen</v>
          </cell>
          <cell r="K492" t="str">
            <v>Sint-Kruis Brugge)</v>
          </cell>
          <cell r="L492">
            <v>21943</v>
          </cell>
          <cell r="M492" t="str">
            <v>M</v>
          </cell>
          <cell r="O492" t="str">
            <v>050.37.73.00</v>
          </cell>
          <cell r="P492" t="str">
            <v>050.37.73.02</v>
          </cell>
          <cell r="Q492" t="str">
            <v>BRUNO.GERIN@NOTARIS.BE</v>
          </cell>
          <cell r="R492">
            <v>2880</v>
          </cell>
        </row>
        <row r="493">
          <cell r="A493">
            <v>492</v>
          </cell>
          <cell r="B493" t="str">
            <v>GERMAY Pierre</v>
          </cell>
          <cell r="C493" t="str">
            <v>GERMAY Pierre</v>
          </cell>
          <cell r="D493" t="str">
            <v>Notaris</v>
          </cell>
          <cell r="E493" t="str">
            <v>Place de Bronckart</v>
          </cell>
          <cell r="F493" t="str">
            <v>2</v>
          </cell>
          <cell r="G493" t="str">
            <v/>
          </cell>
          <cell r="H493" t="str">
            <v>4000</v>
          </cell>
          <cell r="I493" t="str">
            <v>Liège</v>
          </cell>
          <cell r="K493" t="str">
            <v>Liège</v>
          </cell>
          <cell r="M493" t="str">
            <v>M</v>
          </cell>
          <cell r="O493" t="str">
            <v>04.252.41.01</v>
          </cell>
          <cell r="P493" t="str">
            <v>04.252.75.06</v>
          </cell>
          <cell r="Q493" t="str">
            <v>PIERRE.GERMAY@NOTAIRE.BE</v>
          </cell>
          <cell r="R493">
            <v>3393</v>
          </cell>
        </row>
        <row r="494">
          <cell r="A494">
            <v>493</v>
          </cell>
          <cell r="B494" t="str">
            <v>Raucq G. Macquet S. &amp; Gernaij M.</v>
          </cell>
          <cell r="C494" t="str">
            <v>Gernaij Michel</v>
          </cell>
          <cell r="D494" t="str">
            <v>Geassocieerd Notaris</v>
          </cell>
          <cell r="E494" t="str">
            <v>rue du Monastère</v>
          </cell>
          <cell r="F494" t="str">
            <v>22</v>
          </cell>
          <cell r="G494" t="str">
            <v/>
          </cell>
          <cell r="H494" t="str">
            <v>1000</v>
          </cell>
          <cell r="I494" t="str">
            <v>Bruxelles</v>
          </cell>
          <cell r="K494" t="str">
            <v>Bruxelles</v>
          </cell>
          <cell r="M494" t="str">
            <v>M</v>
          </cell>
          <cell r="O494" t="str">
            <v>02.649.71.36</v>
          </cell>
          <cell r="P494" t="str">
            <v>02.649.03.46</v>
          </cell>
          <cell r="Q494" t="str">
            <v>GILBERTE.RAUCQ@NOTAIRE.BE</v>
          </cell>
          <cell r="R494">
            <v>1228</v>
          </cell>
          <cell r="T494">
            <v>38525</v>
          </cell>
        </row>
        <row r="495">
          <cell r="A495">
            <v>494</v>
          </cell>
          <cell r="B495" t="str">
            <v>GEYSELS Kurt</v>
          </cell>
          <cell r="C495" t="str">
            <v>GEYSELS Kurt</v>
          </cell>
          <cell r="D495" t="str">
            <v>Notaris</v>
          </cell>
          <cell r="E495" t="str">
            <v>Sint-Niklaasberg</v>
          </cell>
          <cell r="F495" t="str">
            <v>5</v>
          </cell>
          <cell r="G495" t="str">
            <v/>
          </cell>
          <cell r="H495" t="str">
            <v>3200</v>
          </cell>
          <cell r="I495" t="str">
            <v>Vlaams Brabant</v>
          </cell>
          <cell r="K495" t="str">
            <v>Aarschot</v>
          </cell>
          <cell r="M495" t="str">
            <v>M</v>
          </cell>
          <cell r="O495" t="str">
            <v>016.56.60.68</v>
          </cell>
          <cell r="P495" t="str">
            <v>016.56.56.27</v>
          </cell>
          <cell r="Q495" t="str">
            <v>GEYSELS.KURT@NOTARIS.BE</v>
          </cell>
          <cell r="R495">
            <v>3304</v>
          </cell>
        </row>
        <row r="496">
          <cell r="A496">
            <v>495</v>
          </cell>
          <cell r="B496" t="str">
            <v>GHEERAERT Christof</v>
          </cell>
          <cell r="C496" t="str">
            <v>GHEERAERT Christof</v>
          </cell>
          <cell r="D496" t="str">
            <v>Notaris</v>
          </cell>
          <cell r="E496" t="str">
            <v>Antoon Catriestraat</v>
          </cell>
          <cell r="F496" t="str">
            <v>3</v>
          </cell>
          <cell r="G496" t="str">
            <v/>
          </cell>
          <cell r="H496" t="str">
            <v>9031</v>
          </cell>
          <cell r="I496" t="str">
            <v>Oost-Vlaanderen</v>
          </cell>
          <cell r="K496" t="str">
            <v>Drongen</v>
          </cell>
          <cell r="M496" t="str">
            <v>M</v>
          </cell>
          <cell r="O496" t="str">
            <v>09.216.65.10</v>
          </cell>
          <cell r="P496" t="str">
            <v>09.227.92.09</v>
          </cell>
          <cell r="Q496" t="str">
            <v>CHRISTOF.GHEERAERT@NOTARIS.BE</v>
          </cell>
          <cell r="R496">
            <v>3072</v>
          </cell>
        </row>
        <row r="497">
          <cell r="A497">
            <v>496</v>
          </cell>
          <cell r="B497" t="str">
            <v>GHESQUIERE Luc</v>
          </cell>
          <cell r="C497" t="str">
            <v>GHESQUIERE Luc</v>
          </cell>
          <cell r="D497" t="str">
            <v>Notaris</v>
          </cell>
          <cell r="E497" t="str">
            <v>Rijselsestraat</v>
          </cell>
          <cell r="F497" t="str">
            <v>62</v>
          </cell>
          <cell r="G497" t="str">
            <v/>
          </cell>
          <cell r="H497" t="str">
            <v>8900</v>
          </cell>
          <cell r="I497" t="str">
            <v>West-Vlaanderen</v>
          </cell>
          <cell r="K497" t="str">
            <v>Ieper</v>
          </cell>
          <cell r="L497">
            <v>18906</v>
          </cell>
          <cell r="M497" t="str">
            <v>M</v>
          </cell>
          <cell r="O497" t="str">
            <v>057.20.77.98</v>
          </cell>
          <cell r="P497" t="str">
            <v>057.21.96.81</v>
          </cell>
          <cell r="Q497" t="str">
            <v>LUC.GHESQUIERE@NOTARIS.BE</v>
          </cell>
          <cell r="R497">
            <v>2615</v>
          </cell>
          <cell r="S497" t="str">
            <v>000-1418929-13</v>
          </cell>
        </row>
        <row r="498">
          <cell r="A498">
            <v>497</v>
          </cell>
          <cell r="B498" t="str">
            <v>GHIGNY Marc</v>
          </cell>
          <cell r="C498" t="str">
            <v>GHIGNY Marc</v>
          </cell>
          <cell r="D498" t="str">
            <v>Notaris</v>
          </cell>
          <cell r="E498" t="str">
            <v>Rue du Collège</v>
          </cell>
          <cell r="F498" t="str">
            <v>26</v>
          </cell>
          <cell r="G498" t="str">
            <v/>
          </cell>
          <cell r="H498" t="str">
            <v>6220</v>
          </cell>
          <cell r="I498" t="str">
            <v>Hainaut</v>
          </cell>
          <cell r="K498" t="str">
            <v>Fleurus</v>
          </cell>
          <cell r="M498" t="str">
            <v>M</v>
          </cell>
          <cell r="O498" t="str">
            <v>071.81.10.43</v>
          </cell>
          <cell r="P498" t="str">
            <v>071.81.81.58</v>
          </cell>
          <cell r="Q498" t="str">
            <v>MARC.GHIGNY@NOTAIRE.BE</v>
          </cell>
          <cell r="R498">
            <v>888</v>
          </cell>
        </row>
        <row r="499">
          <cell r="A499">
            <v>498</v>
          </cell>
          <cell r="B499" t="str">
            <v>GHORAIN Emmanuel</v>
          </cell>
          <cell r="C499" t="str">
            <v>GHORAIN Emmanuel</v>
          </cell>
          <cell r="D499" t="str">
            <v>Notaris</v>
          </cell>
          <cell r="E499" t="str">
            <v>Grand´Place</v>
          </cell>
          <cell r="F499" t="str">
            <v>11</v>
          </cell>
          <cell r="G499" t="str">
            <v/>
          </cell>
          <cell r="H499" t="str">
            <v>7600</v>
          </cell>
          <cell r="I499" t="str">
            <v>Hainaut</v>
          </cell>
          <cell r="K499" t="str">
            <v>Péruwelz</v>
          </cell>
          <cell r="M499" t="str">
            <v>M</v>
          </cell>
          <cell r="O499" t="str">
            <v>069.77.90.50</v>
          </cell>
          <cell r="P499" t="str">
            <v>069.77.90.55</v>
          </cell>
          <cell r="Q499" t="str">
            <v>EMMANUEL.GHORAIN@NOTAIRE.BE</v>
          </cell>
          <cell r="R499">
            <v>2905</v>
          </cell>
        </row>
        <row r="500">
          <cell r="A500">
            <v>499</v>
          </cell>
          <cell r="B500" t="str">
            <v>GHYS Frank</v>
          </cell>
          <cell r="C500" t="str">
            <v>GHYS Frank</v>
          </cell>
          <cell r="D500" t="str">
            <v>Notaris</v>
          </cell>
          <cell r="E500" t="str">
            <v>Berchemstraat</v>
          </cell>
          <cell r="F500" t="str">
            <v>47</v>
          </cell>
          <cell r="G500" t="str">
            <v/>
          </cell>
          <cell r="H500" t="str">
            <v>9690</v>
          </cell>
          <cell r="I500" t="str">
            <v>Oost-Vlaanderen</v>
          </cell>
          <cell r="K500" t="str">
            <v>Kluisbergen</v>
          </cell>
          <cell r="M500" t="str">
            <v>M</v>
          </cell>
          <cell r="O500" t="str">
            <v>055.38.81.31</v>
          </cell>
          <cell r="P500" t="str">
            <v>055.38.76.34</v>
          </cell>
          <cell r="Q500" t="str">
            <v>FRANK.GHYS@NOTARIS.BE</v>
          </cell>
          <cell r="R500">
            <v>2653</v>
          </cell>
        </row>
        <row r="501">
          <cell r="A501">
            <v>500</v>
          </cell>
          <cell r="B501" t="str">
            <v>GIELEN Ludo</v>
          </cell>
          <cell r="C501" t="str">
            <v>GIELEN Ludo</v>
          </cell>
          <cell r="D501" t="str">
            <v>Notaris</v>
          </cell>
          <cell r="E501" t="str">
            <v>Prins Boudewijnlaan</v>
          </cell>
          <cell r="F501" t="str">
            <v>243</v>
          </cell>
          <cell r="G501" t="str">
            <v/>
          </cell>
          <cell r="H501" t="str">
            <v>2650</v>
          </cell>
          <cell r="I501" t="str">
            <v>Antwerpen</v>
          </cell>
          <cell r="K501" t="str">
            <v>Edegem</v>
          </cell>
          <cell r="M501" t="str">
            <v>M</v>
          </cell>
          <cell r="O501" t="str">
            <v>03.443.94.90</v>
          </cell>
          <cell r="P501" t="str">
            <v>03.443.94.99</v>
          </cell>
          <cell r="Q501" t="str">
            <v>LUDO.GIELEN@NOTARIS.BE</v>
          </cell>
          <cell r="R501">
            <v>2580</v>
          </cell>
        </row>
        <row r="502">
          <cell r="A502">
            <v>501</v>
          </cell>
          <cell r="B502" t="str">
            <v>GIGOT Geneviève</v>
          </cell>
          <cell r="C502" t="str">
            <v>GIGOT Geneviève</v>
          </cell>
          <cell r="D502" t="str">
            <v>Notaris</v>
          </cell>
          <cell r="E502" t="str">
            <v>rue de la Station</v>
          </cell>
          <cell r="F502" t="str">
            <v>67</v>
          </cell>
          <cell r="G502" t="str">
            <v/>
          </cell>
          <cell r="H502" t="str">
            <v>5650</v>
          </cell>
          <cell r="I502" t="str">
            <v>Namur</v>
          </cell>
          <cell r="K502" t="str">
            <v>Walcourt</v>
          </cell>
          <cell r="M502" t="str">
            <v>Vr</v>
          </cell>
          <cell r="O502" t="str">
            <v>071.61.10.03</v>
          </cell>
          <cell r="P502" t="str">
            <v>071.61.21.50</v>
          </cell>
          <cell r="Q502" t="str">
            <v>GENEVIEVE.GIGOT@NOTAIRE.BE</v>
          </cell>
          <cell r="R502">
            <v>3343</v>
          </cell>
        </row>
        <row r="503">
          <cell r="A503">
            <v>502</v>
          </cell>
          <cell r="B503" t="str">
            <v>GILBEAU Denis</v>
          </cell>
          <cell r="C503" t="str">
            <v>GILBEAU Denis</v>
          </cell>
          <cell r="D503" t="str">
            <v>Notaris</v>
          </cell>
          <cell r="E503" t="str">
            <v>Rue Brichant</v>
          </cell>
          <cell r="F503" t="str">
            <v>10</v>
          </cell>
          <cell r="G503" t="str">
            <v/>
          </cell>
          <cell r="H503" t="str">
            <v>7170</v>
          </cell>
          <cell r="I503" t="str">
            <v>Hainaut</v>
          </cell>
          <cell r="K503" t="str">
            <v>Manage</v>
          </cell>
          <cell r="M503" t="str">
            <v>M</v>
          </cell>
          <cell r="O503" t="str">
            <v>064.55.55.64</v>
          </cell>
          <cell r="P503" t="str">
            <v>064.55.57.92</v>
          </cell>
          <cell r="Q503" t="str">
            <v>denis.gilbeau@notaire.be</v>
          </cell>
          <cell r="R503">
            <v>3622</v>
          </cell>
        </row>
        <row r="504">
          <cell r="A504">
            <v>503</v>
          </cell>
          <cell r="B504" t="str">
            <v>GILISSEN Eric</v>
          </cell>
          <cell r="C504" t="str">
            <v>GILISSEN Eric</v>
          </cell>
          <cell r="D504" t="str">
            <v>Notaris</v>
          </cell>
          <cell r="E504" t="str">
            <v>Luikersteenweg</v>
          </cell>
          <cell r="F504" t="str">
            <v>23</v>
          </cell>
          <cell r="G504" t="str">
            <v/>
          </cell>
          <cell r="H504" t="str">
            <v>3500</v>
          </cell>
          <cell r="I504" t="str">
            <v>Limburg</v>
          </cell>
          <cell r="K504" t="str">
            <v>Hasselt</v>
          </cell>
          <cell r="M504" t="str">
            <v>M</v>
          </cell>
          <cell r="O504" t="str">
            <v>011.22.26.29</v>
          </cell>
          <cell r="P504" t="str">
            <v>011.22.35.78</v>
          </cell>
          <cell r="Q504" t="str">
            <v>ERIC.GILISSEN@NOTARIS.BE</v>
          </cell>
          <cell r="R504">
            <v>3346</v>
          </cell>
        </row>
        <row r="505">
          <cell r="A505">
            <v>504</v>
          </cell>
          <cell r="B505" t="str">
            <v>GILLIEAUX Olivier</v>
          </cell>
          <cell r="C505" t="str">
            <v>GILLIEAUX Olivier</v>
          </cell>
          <cell r="D505" t="str">
            <v>Notaris</v>
          </cell>
          <cell r="E505" t="str">
            <v>Rue Willy Ernst</v>
          </cell>
          <cell r="F505" t="str">
            <v>25</v>
          </cell>
          <cell r="G505" t="str">
            <v/>
          </cell>
          <cell r="H505" t="str">
            <v>6000</v>
          </cell>
          <cell r="I505" t="str">
            <v>Hainaut</v>
          </cell>
          <cell r="K505" t="str">
            <v>Charleroi</v>
          </cell>
          <cell r="M505" t="str">
            <v>M</v>
          </cell>
          <cell r="O505" t="str">
            <v>071.20.90.80</v>
          </cell>
          <cell r="P505" t="str">
            <v>071.33.41.59</v>
          </cell>
          <cell r="Q505" t="str">
            <v>OLIVIER.GILLIEAUX@NOTAIRE.BE</v>
          </cell>
          <cell r="R505">
            <v>3268</v>
          </cell>
        </row>
        <row r="506">
          <cell r="A506">
            <v>505</v>
          </cell>
          <cell r="B506" t="str">
            <v>GILMANT Frantz</v>
          </cell>
          <cell r="C506" t="str">
            <v>GILMANT Frantz</v>
          </cell>
          <cell r="D506" t="str">
            <v>Notaris</v>
          </cell>
          <cell r="E506" t="str">
            <v>Rue l´Apleit</v>
          </cell>
          <cell r="F506" t="str">
            <v>8</v>
          </cell>
          <cell r="G506" t="str">
            <v/>
          </cell>
          <cell r="H506" t="str">
            <v>4500</v>
          </cell>
          <cell r="I506" t="str">
            <v>Liège</v>
          </cell>
          <cell r="K506" t="str">
            <v>Huy</v>
          </cell>
          <cell r="M506" t="str">
            <v>M</v>
          </cell>
          <cell r="O506" t="str">
            <v>085.21.21.81</v>
          </cell>
          <cell r="P506" t="str">
            <v>085.23.51.12</v>
          </cell>
          <cell r="Q506" t="str">
            <v>FRANTZ.GILMANT@NOTAIRE.BE</v>
          </cell>
          <cell r="R506">
            <v>2970</v>
          </cell>
        </row>
        <row r="507">
          <cell r="A507">
            <v>506</v>
          </cell>
          <cell r="B507" t="str">
            <v>Gilson Fr.</v>
          </cell>
          <cell r="C507" t="str">
            <v>Gilson Fr.</v>
          </cell>
          <cell r="D507" t="str">
            <v>Notaris</v>
          </cell>
          <cell r="E507" t="str">
            <v>Rue des Chasseur Ardennais</v>
          </cell>
          <cell r="F507" t="str">
            <v>17</v>
          </cell>
          <cell r="G507" t="str">
            <v/>
          </cell>
          <cell r="H507" t="str">
            <v>6850</v>
          </cell>
          <cell r="I507" t="str">
            <v>Luxembourg</v>
          </cell>
          <cell r="K507" t="str">
            <v>Paliseul</v>
          </cell>
          <cell r="M507" t="str">
            <v>M</v>
          </cell>
          <cell r="O507" t="str">
            <v>061.53.31.90</v>
          </cell>
          <cell r="P507" t="str">
            <v>061.53.41.28</v>
          </cell>
          <cell r="R507">
            <v>877</v>
          </cell>
          <cell r="T507">
            <v>38621</v>
          </cell>
        </row>
        <row r="508">
          <cell r="A508">
            <v>507</v>
          </cell>
          <cell r="B508" t="str">
            <v>GLIBERT Philippe &amp; Benoit</v>
          </cell>
          <cell r="C508" t="str">
            <v>Glibert Benoit</v>
          </cell>
          <cell r="D508" t="str">
            <v>Geassocieerd Notaris</v>
          </cell>
          <cell r="E508" t="str">
            <v>Rue de la Déportation</v>
          </cell>
          <cell r="F508" t="str">
            <v>26</v>
          </cell>
          <cell r="G508" t="str">
            <v/>
          </cell>
          <cell r="H508" t="str">
            <v>6500</v>
          </cell>
          <cell r="I508" t="str">
            <v>Hainaut</v>
          </cell>
          <cell r="K508" t="str">
            <v>Beaumont</v>
          </cell>
          <cell r="M508" t="str">
            <v>M</v>
          </cell>
          <cell r="O508" t="str">
            <v>071.58.80.29</v>
          </cell>
          <cell r="P508" t="str">
            <v>071.58.82.31</v>
          </cell>
          <cell r="Q508" t="str">
            <v>PHILIPPE.GLIBERT@NOTAIRE.BE</v>
          </cell>
          <cell r="R508">
            <v>1247</v>
          </cell>
        </row>
        <row r="509">
          <cell r="A509">
            <v>508</v>
          </cell>
          <cell r="B509" t="str">
            <v>GLIBERT Philippe &amp; Benoit</v>
          </cell>
          <cell r="C509" t="str">
            <v>Glibert Philippe</v>
          </cell>
          <cell r="D509" t="str">
            <v>Geassocieerd Notaris</v>
          </cell>
          <cell r="E509" t="str">
            <v>Rue de la Déportation</v>
          </cell>
          <cell r="F509" t="str">
            <v>26</v>
          </cell>
          <cell r="G509" t="str">
            <v/>
          </cell>
          <cell r="H509" t="str">
            <v>6500</v>
          </cell>
          <cell r="I509" t="str">
            <v>Hainaut</v>
          </cell>
          <cell r="K509" t="str">
            <v>Beaumont</v>
          </cell>
          <cell r="M509" t="str">
            <v>M</v>
          </cell>
          <cell r="O509" t="str">
            <v>071.58.80.29</v>
          </cell>
          <cell r="P509" t="str">
            <v>071.58.82.31</v>
          </cell>
          <cell r="Q509" t="str">
            <v>PHILIPPE.GLIBERT@NOTAIRE.BE</v>
          </cell>
          <cell r="R509">
            <v>1247</v>
          </cell>
        </row>
        <row r="510">
          <cell r="A510">
            <v>509</v>
          </cell>
          <cell r="B510" t="str">
            <v>GLINEUR Pierre</v>
          </cell>
          <cell r="C510" t="str">
            <v>GLINEUR Pierre</v>
          </cell>
          <cell r="D510" t="str">
            <v>Notaris</v>
          </cell>
          <cell r="E510" t="str">
            <v>Rue d´Herchies</v>
          </cell>
          <cell r="F510" t="str">
            <v>16</v>
          </cell>
          <cell r="G510" t="str">
            <v/>
          </cell>
          <cell r="H510" t="str">
            <v>7331</v>
          </cell>
          <cell r="I510" t="str">
            <v>Hainaut</v>
          </cell>
          <cell r="K510" t="str">
            <v>Baudour</v>
          </cell>
          <cell r="M510" t="str">
            <v>M</v>
          </cell>
          <cell r="O510" t="str">
            <v>065.64.13.98</v>
          </cell>
          <cell r="P510" t="str">
            <v>065.64.29.84</v>
          </cell>
          <cell r="Q510" t="str">
            <v>pierre.glineur@notaire.be</v>
          </cell>
          <cell r="R510">
            <v>3473</v>
          </cell>
        </row>
        <row r="511">
          <cell r="A511">
            <v>510</v>
          </cell>
          <cell r="B511" t="str">
            <v>FREDDY GLORIE &amp; FRANK BUYSSENS</v>
          </cell>
          <cell r="C511" t="str">
            <v>Glorie Freddy</v>
          </cell>
          <cell r="D511" t="str">
            <v>Geassocieerd Notaris</v>
          </cell>
          <cell r="E511" t="str">
            <v>Melselestraat</v>
          </cell>
          <cell r="F511" t="str">
            <v>25</v>
          </cell>
          <cell r="G511" t="str">
            <v/>
          </cell>
          <cell r="H511" t="str">
            <v>2070</v>
          </cell>
          <cell r="I511" t="str">
            <v>Antwerpen</v>
          </cell>
          <cell r="K511" t="str">
            <v>Zwijndrecht</v>
          </cell>
          <cell r="M511" t="str">
            <v>M</v>
          </cell>
          <cell r="O511" t="str">
            <v>03.250.11.70</v>
          </cell>
          <cell r="P511" t="str">
            <v>03.250.11.79</v>
          </cell>
          <cell r="Q511" t="str">
            <v>FREDDY.GLORIE@NOTARIS.BE</v>
          </cell>
          <cell r="R511">
            <v>3551</v>
          </cell>
        </row>
        <row r="512">
          <cell r="A512">
            <v>511</v>
          </cell>
          <cell r="B512" t="str">
            <v>GODIN YVES &amp; DENIS ARIANE</v>
          </cell>
          <cell r="C512" t="str">
            <v>Godin Yves</v>
          </cell>
          <cell r="D512" t="str">
            <v>Geassocieerd Notaris</v>
          </cell>
          <cell r="E512" t="str">
            <v>Rue Bassenge</v>
          </cell>
          <cell r="F512" t="str">
            <v>47</v>
          </cell>
          <cell r="G512" t="str">
            <v/>
          </cell>
          <cell r="H512" t="str">
            <v>4000</v>
          </cell>
          <cell r="I512" t="str">
            <v>Liège</v>
          </cell>
          <cell r="K512" t="str">
            <v>Liège</v>
          </cell>
          <cell r="M512" t="str">
            <v>M</v>
          </cell>
          <cell r="O512" t="str">
            <v>04.223.69.44</v>
          </cell>
          <cell r="P512" t="str">
            <v>04.223.37.20</v>
          </cell>
          <cell r="Q512" t="str">
            <v>YVES.GODIN@NOTAIRE.BE</v>
          </cell>
          <cell r="R512">
            <v>3645</v>
          </cell>
        </row>
        <row r="513">
          <cell r="A513">
            <v>512</v>
          </cell>
          <cell r="B513" t="str">
            <v>Eric GOEDERTIER Notaris</v>
          </cell>
          <cell r="C513" t="str">
            <v>Goedertier Eric</v>
          </cell>
          <cell r="D513" t="str">
            <v>Notaris</v>
          </cell>
          <cell r="E513" t="str">
            <v>Meerlaan</v>
          </cell>
          <cell r="F513" t="str">
            <v>17</v>
          </cell>
          <cell r="G513" t="str">
            <v/>
          </cell>
          <cell r="H513" t="str">
            <v>9620</v>
          </cell>
          <cell r="I513" t="str">
            <v>Oost-Vlaanderen</v>
          </cell>
          <cell r="K513" t="str">
            <v>Zottegem</v>
          </cell>
          <cell r="M513" t="str">
            <v>M</v>
          </cell>
          <cell r="O513" t="str">
            <v>09.360.01.93</v>
          </cell>
          <cell r="P513" t="str">
            <v>09.360.96.41</v>
          </cell>
          <cell r="Q513" t="str">
            <v>ERIC.GOEDERTIER@NOTARIS.BE</v>
          </cell>
          <cell r="R513">
            <v>1342</v>
          </cell>
        </row>
        <row r="514">
          <cell r="A514">
            <v>513</v>
          </cell>
          <cell r="B514" t="str">
            <v>GOEMINNE Jan</v>
          </cell>
          <cell r="C514" t="str">
            <v>GOEMINNE Jan</v>
          </cell>
          <cell r="D514" t="str">
            <v>Notaris</v>
          </cell>
          <cell r="E514" t="str">
            <v>A. Delhayeplein</v>
          </cell>
          <cell r="F514" t="str">
            <v>2</v>
          </cell>
          <cell r="G514" t="str">
            <v/>
          </cell>
          <cell r="H514" t="str">
            <v>9600</v>
          </cell>
          <cell r="I514" t="str">
            <v>Oost-Vlaanderen</v>
          </cell>
          <cell r="K514" t="str">
            <v>Ronse</v>
          </cell>
          <cell r="M514" t="str">
            <v>M</v>
          </cell>
          <cell r="O514" t="str">
            <v>055.21.27.25</v>
          </cell>
          <cell r="P514" t="str">
            <v>055.21.09.65</v>
          </cell>
          <cell r="Q514" t="str">
            <v>JAN.GOEMINNE@NOTARIS.BE</v>
          </cell>
          <cell r="R514">
            <v>2755</v>
          </cell>
        </row>
        <row r="515">
          <cell r="A515">
            <v>514</v>
          </cell>
          <cell r="B515" t="str">
            <v>GOEMINNE Jean-Jacques</v>
          </cell>
          <cell r="C515" t="str">
            <v>GOEMINNE Jean-Jacques</v>
          </cell>
          <cell r="D515" t="str">
            <v>Notaris</v>
          </cell>
          <cell r="E515" t="str">
            <v>Bellemstraat</v>
          </cell>
          <cell r="F515" t="str">
            <v>57</v>
          </cell>
          <cell r="G515" t="str">
            <v/>
          </cell>
          <cell r="H515" t="str">
            <v>9880</v>
          </cell>
          <cell r="I515" t="str">
            <v>Oost-Vlaanderen</v>
          </cell>
          <cell r="K515" t="str">
            <v>Aalter</v>
          </cell>
          <cell r="M515" t="str">
            <v>M</v>
          </cell>
          <cell r="O515" t="str">
            <v>09.374.10.71</v>
          </cell>
          <cell r="P515" t="str">
            <v>09.374.25.58</v>
          </cell>
          <cell r="Q515" t="str">
            <v>JEANJACQUES.GOEMINNE@NOTARIS.BE</v>
          </cell>
          <cell r="R515">
            <v>2404</v>
          </cell>
        </row>
        <row r="516">
          <cell r="A516">
            <v>515</v>
          </cell>
          <cell r="B516" t="str">
            <v>GOOSSENS Philip</v>
          </cell>
          <cell r="C516" t="str">
            <v>GOOSSENS Philip</v>
          </cell>
          <cell r="D516" t="str">
            <v>Notaris</v>
          </cell>
          <cell r="E516" t="str">
            <v>Weg naar Zwartberg</v>
          </cell>
          <cell r="F516" t="str">
            <v>24</v>
          </cell>
          <cell r="G516" t="str">
            <v/>
          </cell>
          <cell r="H516" t="str">
            <v>3660</v>
          </cell>
          <cell r="I516" t="str">
            <v>Limburg</v>
          </cell>
          <cell r="K516" t="str">
            <v>Opglabbeek</v>
          </cell>
          <cell r="M516" t="str">
            <v>M</v>
          </cell>
          <cell r="O516" t="str">
            <v>089.85.72.77</v>
          </cell>
          <cell r="P516" t="str">
            <v>089.85.75.76</v>
          </cell>
          <cell r="Q516" t="str">
            <v>PHILIP.GOOSSENS@NOTARIS.BE</v>
          </cell>
          <cell r="R516">
            <v>2440</v>
          </cell>
          <cell r="S516" t="str">
            <v>335-0227089-58</v>
          </cell>
        </row>
        <row r="517">
          <cell r="A517">
            <v>516</v>
          </cell>
          <cell r="B517" t="str">
            <v>GOOSSENS Philippe</v>
          </cell>
          <cell r="C517" t="str">
            <v>GOOSSENS Philippe</v>
          </cell>
          <cell r="D517" t="str">
            <v>Notaris</v>
          </cell>
          <cell r="E517" t="str">
            <v>Wijngaardstraat</v>
          </cell>
          <cell r="F517" t="str">
            <v>40</v>
          </cell>
          <cell r="G517" t="str">
            <v/>
          </cell>
          <cell r="H517" t="str">
            <v>2280</v>
          </cell>
          <cell r="I517" t="str">
            <v>Antwerpen</v>
          </cell>
          <cell r="K517" t="str">
            <v>Grobbendonk</v>
          </cell>
          <cell r="M517" t="str">
            <v>M</v>
          </cell>
          <cell r="O517" t="str">
            <v>014.51.10.67</v>
          </cell>
          <cell r="P517" t="str">
            <v>014.51.45.00</v>
          </cell>
          <cell r="Q517" t="str">
            <v>PHILIPPE.GOOSSENS@NOTARIS.BE</v>
          </cell>
          <cell r="R517">
            <v>2861</v>
          </cell>
        </row>
        <row r="518">
          <cell r="A518">
            <v>517</v>
          </cell>
          <cell r="B518" t="str">
            <v>DELIEGE DORMAL &amp; GOVERS</v>
          </cell>
          <cell r="C518" t="str">
            <v>Govers Pierre</v>
          </cell>
          <cell r="D518" t="str">
            <v>Geassocieerd Notaris</v>
          </cell>
          <cell r="E518" t="str">
            <v>Rue Neuve</v>
          </cell>
          <cell r="F518" t="str">
            <v>6</v>
          </cell>
          <cell r="G518" t="str">
            <v/>
          </cell>
          <cell r="H518" t="str">
            <v>4032</v>
          </cell>
          <cell r="I518" t="str">
            <v>Liège</v>
          </cell>
          <cell r="K518" t="str">
            <v>Chênée</v>
          </cell>
          <cell r="M518" t="str">
            <v>M</v>
          </cell>
          <cell r="O518" t="str">
            <v>04.367.54.33</v>
          </cell>
          <cell r="P518" t="str">
            <v>04.367.56.90</v>
          </cell>
          <cell r="Q518" t="str">
            <v>PIERRE.GOVERS@NOTAIRE.BE</v>
          </cell>
          <cell r="R518">
            <v>3606</v>
          </cell>
        </row>
        <row r="519">
          <cell r="A519">
            <v>518</v>
          </cell>
          <cell r="B519" t="str">
            <v>GRANDJEAN Pierre-Henri</v>
          </cell>
          <cell r="C519" t="str">
            <v>GRANDJEAN Pierre-Henri</v>
          </cell>
          <cell r="D519" t="str">
            <v>Notaris</v>
          </cell>
          <cell r="E519" t="str">
            <v>Rue Daoust</v>
          </cell>
          <cell r="F519" t="str">
            <v>71</v>
          </cell>
          <cell r="G519" t="str">
            <v/>
          </cell>
          <cell r="H519" t="str">
            <v>5500</v>
          </cell>
          <cell r="I519" t="str">
            <v>Namur</v>
          </cell>
          <cell r="K519" t="str">
            <v>Dinant</v>
          </cell>
          <cell r="M519" t="str">
            <v>M</v>
          </cell>
          <cell r="O519" t="str">
            <v>082.22.21.11</v>
          </cell>
          <cell r="P519" t="str">
            <v>082.22.57.54</v>
          </cell>
          <cell r="Q519" t="str">
            <v>PIERREHENRI.GRANDJEAN@NOTAIRE.BE</v>
          </cell>
          <cell r="R519">
            <v>3600</v>
          </cell>
        </row>
        <row r="520">
          <cell r="A520">
            <v>519</v>
          </cell>
          <cell r="B520" t="str">
            <v>GREGOIRE Denis &amp; GREGOIRE Renaud</v>
          </cell>
          <cell r="C520" t="str">
            <v>Grégoire Denis</v>
          </cell>
          <cell r="D520" t="str">
            <v>Geassocieerd Notaris</v>
          </cell>
          <cell r="E520" t="str">
            <v>Rue de Bas-Oha</v>
          </cell>
          <cell r="F520" t="str">
            <v>252</v>
          </cell>
          <cell r="G520" t="str">
            <v>bte A</v>
          </cell>
          <cell r="H520" t="str">
            <v>4520</v>
          </cell>
          <cell r="I520" t="str">
            <v>Liège</v>
          </cell>
          <cell r="K520" t="str">
            <v>Moha</v>
          </cell>
          <cell r="M520" t="str">
            <v>M</v>
          </cell>
          <cell r="O520" t="str">
            <v>085/212223</v>
          </cell>
          <cell r="P520" t="str">
            <v>085/215866</v>
          </cell>
          <cell r="Q520" t="str">
            <v>DENIS.GREGOIRE@NOTAIRE.BE</v>
          </cell>
          <cell r="R520">
            <v>3661</v>
          </cell>
        </row>
        <row r="521">
          <cell r="A521">
            <v>520</v>
          </cell>
          <cell r="B521" t="str">
            <v>GREGOIRE Denis &amp; GREGOIRE Renaud</v>
          </cell>
          <cell r="C521" t="str">
            <v>Grégoire Renaud</v>
          </cell>
          <cell r="D521" t="str">
            <v>Geassocieerd Notaris</v>
          </cell>
          <cell r="E521" t="str">
            <v>Rue de Bas-Oha</v>
          </cell>
          <cell r="F521" t="str">
            <v>252</v>
          </cell>
          <cell r="G521" t="str">
            <v>bte A</v>
          </cell>
          <cell r="H521" t="str">
            <v>4520</v>
          </cell>
          <cell r="I521" t="str">
            <v>Liège</v>
          </cell>
          <cell r="K521" t="str">
            <v>Moha</v>
          </cell>
          <cell r="M521" t="str">
            <v>M</v>
          </cell>
          <cell r="O521" t="str">
            <v>085/212223</v>
          </cell>
          <cell r="P521" t="str">
            <v>085/215866</v>
          </cell>
          <cell r="Q521" t="str">
            <v>renaud.gregoire@notaire.be</v>
          </cell>
          <cell r="R521">
            <v>3661</v>
          </cell>
        </row>
        <row r="522">
          <cell r="A522">
            <v>521</v>
          </cell>
          <cell r="B522" t="str">
            <v>HACHEZ Jean-Luc &amp; GRIBOMONT Véronique</v>
          </cell>
          <cell r="C522" t="str">
            <v>Gribomont Véronique</v>
          </cell>
          <cell r="D522" t="str">
            <v>Geassocieerd Notaris</v>
          </cell>
          <cell r="E522" t="str">
            <v>Boulevard du Roi Albert</v>
          </cell>
          <cell r="F522" t="str">
            <v>8</v>
          </cell>
          <cell r="G522" t="str">
            <v/>
          </cell>
          <cell r="H522" t="str">
            <v>7500</v>
          </cell>
          <cell r="I522" t="str">
            <v>Hainaut</v>
          </cell>
          <cell r="K522" t="str">
            <v>Tournai</v>
          </cell>
          <cell r="M522" t="str">
            <v>Vr</v>
          </cell>
          <cell r="O522" t="str">
            <v>069/22,31,49</v>
          </cell>
          <cell r="P522" t="str">
            <v>069/84,17,22</v>
          </cell>
          <cell r="Q522" t="str">
            <v>veronique.gribomont@notaire.be</v>
          </cell>
          <cell r="R522">
            <v>3664</v>
          </cell>
        </row>
        <row r="523">
          <cell r="A523">
            <v>522</v>
          </cell>
          <cell r="B523" t="str">
            <v>Yves Gribomont Notaire SPRL</v>
          </cell>
          <cell r="C523" t="str">
            <v>Gribomont Yves</v>
          </cell>
          <cell r="D523" t="str">
            <v>Notaris</v>
          </cell>
          <cell r="E523" t="str">
            <v>Avenue de la Motte Baraffe</v>
          </cell>
          <cell r="F523" t="str">
            <v>20</v>
          </cell>
          <cell r="G523" t="str">
            <v/>
          </cell>
          <cell r="H523" t="str">
            <v>7180</v>
          </cell>
          <cell r="I523" t="str">
            <v>Hainaut</v>
          </cell>
          <cell r="K523" t="str">
            <v>Seneffe</v>
          </cell>
          <cell r="M523" t="str">
            <v>M</v>
          </cell>
          <cell r="O523" t="str">
            <v>064.31.18.00</v>
          </cell>
          <cell r="P523" t="str">
            <v>064.57.03.45</v>
          </cell>
          <cell r="Q523" t="str">
            <v>YVES.GRIBOMONT@NOTAIRE.BE</v>
          </cell>
          <cell r="R523">
            <v>2960</v>
          </cell>
        </row>
        <row r="524">
          <cell r="A524">
            <v>523</v>
          </cell>
          <cell r="B524" t="str">
            <v>GRIMAR Georges</v>
          </cell>
          <cell r="C524" t="str">
            <v>GRIMAR Georges</v>
          </cell>
          <cell r="D524" t="str">
            <v>Notaris</v>
          </cell>
          <cell r="E524" t="str">
            <v>Rue Chapuis</v>
          </cell>
          <cell r="F524" t="str">
            <v>3</v>
          </cell>
          <cell r="G524" t="str">
            <v/>
          </cell>
          <cell r="H524" t="str">
            <v>4140</v>
          </cell>
          <cell r="I524" t="str">
            <v>Liège</v>
          </cell>
          <cell r="K524" t="str">
            <v>Sprimont</v>
          </cell>
          <cell r="M524" t="str">
            <v>M</v>
          </cell>
          <cell r="O524" t="str">
            <v>04.382.10.05</v>
          </cell>
          <cell r="P524" t="str">
            <v>04.382.28.76</v>
          </cell>
          <cell r="Q524" t="str">
            <v>GEORGES.GRIMAR@NOTAIRE.BE</v>
          </cell>
          <cell r="R524">
            <v>2758</v>
          </cell>
        </row>
        <row r="525">
          <cell r="A525">
            <v>524</v>
          </cell>
          <cell r="B525" t="str">
            <v>GROOTEN Marc</v>
          </cell>
          <cell r="C525" t="str">
            <v>GROOTEN Marc</v>
          </cell>
          <cell r="D525" t="str">
            <v>Notaris</v>
          </cell>
          <cell r="E525" t="str">
            <v>Kerkstraat</v>
          </cell>
          <cell r="F525" t="str">
            <v>255</v>
          </cell>
          <cell r="G525" t="str">
            <v/>
          </cell>
          <cell r="H525" t="str">
            <v>1851</v>
          </cell>
          <cell r="I525" t="str">
            <v>Vlaams Brabant</v>
          </cell>
          <cell r="K525" t="str">
            <v>Humbeek</v>
          </cell>
          <cell r="M525" t="str">
            <v>M</v>
          </cell>
          <cell r="O525" t="str">
            <v>02.269.15.04</v>
          </cell>
          <cell r="P525" t="str">
            <v>02.269.13.16</v>
          </cell>
          <cell r="Q525" t="str">
            <v>MARC.GROOTEN@NOTARIS.BE</v>
          </cell>
          <cell r="R525">
            <v>3270</v>
          </cell>
        </row>
        <row r="526">
          <cell r="A526">
            <v>525</v>
          </cell>
          <cell r="B526" t="str">
            <v>GROSFILS Bernard</v>
          </cell>
          <cell r="C526" t="str">
            <v>GROSFILS Bernard</v>
          </cell>
          <cell r="D526" t="str">
            <v>Notaris</v>
          </cell>
          <cell r="E526" t="str">
            <v>Chaussée de Bruxelles</v>
          </cell>
          <cell r="F526" t="str">
            <v>94</v>
          </cell>
          <cell r="G526" t="str">
            <v/>
          </cell>
          <cell r="H526" t="str">
            <v>6042</v>
          </cell>
          <cell r="I526" t="str">
            <v>Hainaut</v>
          </cell>
          <cell r="K526" t="str">
            <v>Lodelinsart</v>
          </cell>
          <cell r="M526" t="str">
            <v>M</v>
          </cell>
          <cell r="O526" t="str">
            <v>071.31.40.28</v>
          </cell>
          <cell r="P526" t="str">
            <v>071.31.39.58</v>
          </cell>
          <cell r="Q526" t="str">
            <v>BERNARD.GROSFILS@NOTAIRE.BE</v>
          </cell>
          <cell r="R526">
            <v>3085</v>
          </cell>
        </row>
        <row r="527">
          <cell r="A527">
            <v>526</v>
          </cell>
          <cell r="B527" t="str">
            <v>GROSFILS Stéphane</v>
          </cell>
          <cell r="C527" t="str">
            <v>GROSFILS Stéphane</v>
          </cell>
          <cell r="D527" t="str">
            <v>Notaris</v>
          </cell>
          <cell r="E527" t="str">
            <v>Rue de Ciney</v>
          </cell>
          <cell r="F527" t="str">
            <v>53 A</v>
          </cell>
          <cell r="G527" t="str">
            <v/>
          </cell>
          <cell r="H527" t="str">
            <v>5350</v>
          </cell>
          <cell r="I527" t="str">
            <v>Namur</v>
          </cell>
          <cell r="K527" t="str">
            <v>Ohey</v>
          </cell>
          <cell r="M527" t="str">
            <v>M</v>
          </cell>
          <cell r="O527" t="str">
            <v>085.61.13.07</v>
          </cell>
          <cell r="P527" t="str">
            <v>085.61.13.17</v>
          </cell>
          <cell r="Q527" t="str">
            <v>STEPHANE.GROSFILS@NOTAIRE.BE</v>
          </cell>
          <cell r="R527">
            <v>3192</v>
          </cell>
        </row>
        <row r="528">
          <cell r="A528">
            <v>527</v>
          </cell>
          <cell r="B528" t="str">
            <v>GUILLAUME Yves</v>
          </cell>
          <cell r="C528" t="str">
            <v>GUILLAUME Yves</v>
          </cell>
          <cell r="D528" t="str">
            <v>Notaris</v>
          </cell>
          <cell r="E528" t="str">
            <v>Quai Godefroid Kurth</v>
          </cell>
          <cell r="F528" t="str">
            <v>10</v>
          </cell>
          <cell r="G528" t="str">
            <v/>
          </cell>
          <cell r="H528" t="str">
            <v>4020</v>
          </cell>
          <cell r="I528" t="str">
            <v>Liège</v>
          </cell>
          <cell r="K528" t="str">
            <v>Liège</v>
          </cell>
          <cell r="M528" t="str">
            <v>M</v>
          </cell>
          <cell r="O528" t="str">
            <v>04.343.98.58</v>
          </cell>
          <cell r="P528" t="str">
            <v>04.341.19.34</v>
          </cell>
          <cell r="Q528" t="str">
            <v>YVES.GUILLAUME@NOTAIRE.BE</v>
          </cell>
          <cell r="R528">
            <v>17</v>
          </cell>
        </row>
        <row r="529">
          <cell r="A529">
            <v>528</v>
          </cell>
          <cell r="B529" t="str">
            <v>VAN DE VELDE &amp; GUILLEMYN</v>
          </cell>
          <cell r="C529" t="str">
            <v>Guillemyn Carole</v>
          </cell>
          <cell r="D529" t="str">
            <v>Geassocieerd Notaris</v>
          </cell>
          <cell r="E529" t="str">
            <v>rue aux Laines</v>
          </cell>
          <cell r="F529" t="str">
            <v>56</v>
          </cell>
          <cell r="G529" t="str">
            <v/>
          </cell>
          <cell r="H529" t="str">
            <v>1000</v>
          </cell>
          <cell r="I529" t="str">
            <v>Bruxelles</v>
          </cell>
          <cell r="K529" t="str">
            <v>Bruxelles</v>
          </cell>
          <cell r="M529" t="str">
            <v>Vr</v>
          </cell>
          <cell r="O529" t="str">
            <v>02.511.82.81</v>
          </cell>
          <cell r="P529" t="str">
            <v>02.511.18.11</v>
          </cell>
          <cell r="Q529" t="str">
            <v>carole.guillemyn@notaris.be</v>
          </cell>
          <cell r="R529">
            <v>3492</v>
          </cell>
        </row>
        <row r="530">
          <cell r="A530">
            <v>529</v>
          </cell>
          <cell r="B530" t="str">
            <v>GUILLEMYN Vincent</v>
          </cell>
          <cell r="C530" t="str">
            <v>GUILLEMYN Vincent</v>
          </cell>
          <cell r="D530" t="str">
            <v>Notaris</v>
          </cell>
          <cell r="E530" t="str">
            <v>Hospitaalstraat</v>
          </cell>
          <cell r="F530" t="str">
            <v>10</v>
          </cell>
          <cell r="G530" t="str">
            <v/>
          </cell>
          <cell r="H530" t="str">
            <v>8930</v>
          </cell>
          <cell r="I530" t="str">
            <v>West-Vlaanderen</v>
          </cell>
          <cell r="K530" t="str">
            <v>Lauwe</v>
          </cell>
          <cell r="L530">
            <v>24144</v>
          </cell>
          <cell r="M530" t="str">
            <v>M</v>
          </cell>
          <cell r="O530" t="str">
            <v>056.41.21.66</v>
          </cell>
          <cell r="P530" t="str">
            <v>056.40.34.09</v>
          </cell>
          <cell r="Q530" t="str">
            <v>VINCENT.GUILLEMYN@NOTARIS.BE</v>
          </cell>
          <cell r="R530">
            <v>3309</v>
          </cell>
        </row>
        <row r="531">
          <cell r="A531">
            <v>530</v>
          </cell>
          <cell r="B531" t="str">
            <v>GUSTIN Patrick</v>
          </cell>
          <cell r="C531" t="str">
            <v>GUSTIN Patrick</v>
          </cell>
          <cell r="D531" t="str">
            <v>Notaris</v>
          </cell>
          <cell r="E531" t="str">
            <v>Av. J. Van Horenbeecklaan</v>
          </cell>
          <cell r="F531" t="str">
            <v>40/42</v>
          </cell>
          <cell r="G531" t="str">
            <v/>
          </cell>
          <cell r="H531" t="str">
            <v>1160</v>
          </cell>
          <cell r="I531" t="str">
            <v>Bruxelles</v>
          </cell>
          <cell r="K531" t="str">
            <v>Bruxelles</v>
          </cell>
          <cell r="M531" t="str">
            <v>M</v>
          </cell>
          <cell r="O531" t="str">
            <v>02.672.40.00</v>
          </cell>
          <cell r="P531" t="str">
            <v>02.673.75.14</v>
          </cell>
          <cell r="Q531" t="str">
            <v>PATRICK.GUSTIN@NOTAIRE.BE</v>
          </cell>
          <cell r="R531">
            <v>3220</v>
          </cell>
        </row>
        <row r="532">
          <cell r="A532">
            <v>531</v>
          </cell>
          <cell r="B532" t="str">
            <v>GUYOT Louis-Philippe</v>
          </cell>
          <cell r="C532" t="str">
            <v>GUYOT Louis-Philippe</v>
          </cell>
          <cell r="D532" t="str">
            <v>Notaris</v>
          </cell>
          <cell r="E532" t="str">
            <v>Rue Xhrouet</v>
          </cell>
          <cell r="F532" t="str">
            <v>47</v>
          </cell>
          <cell r="G532" t="str">
            <v/>
          </cell>
          <cell r="H532" t="str">
            <v>4900</v>
          </cell>
          <cell r="I532" t="str">
            <v>Liège</v>
          </cell>
          <cell r="K532" t="str">
            <v>Spa</v>
          </cell>
          <cell r="M532" t="str">
            <v>M</v>
          </cell>
          <cell r="O532" t="str">
            <v>087.77.10.72</v>
          </cell>
          <cell r="P532" t="str">
            <v>087.77.44.38</v>
          </cell>
          <cell r="Q532" t="str">
            <v>LOUISPHILIPPE.GUYOT@NOTAIRE.BE</v>
          </cell>
          <cell r="R532">
            <v>2716</v>
          </cell>
        </row>
        <row r="533">
          <cell r="A533">
            <v>532</v>
          </cell>
          <cell r="B533" t="str">
            <v>Gypens Sandy</v>
          </cell>
          <cell r="C533" t="str">
            <v>Gypens Sandy</v>
          </cell>
          <cell r="D533" t="str">
            <v>Notaris</v>
          </cell>
          <cell r="E533" t="str">
            <v>Mutsaardplein</v>
          </cell>
          <cell r="F533" t="str">
            <v>2 A</v>
          </cell>
          <cell r="G533" t="str">
            <v/>
          </cell>
          <cell r="H533" t="str">
            <v>1853</v>
          </cell>
          <cell r="I533" t="str">
            <v>Vlaams Brabant</v>
          </cell>
          <cell r="K533" t="str">
            <v>Strombeek-Bever</v>
          </cell>
          <cell r="M533" t="str">
            <v>Vr</v>
          </cell>
          <cell r="O533" t="str">
            <v>02.267.06.54</v>
          </cell>
          <cell r="P533" t="str">
            <v>02.267.08.33</v>
          </cell>
          <cell r="Q533" t="str">
            <v>SANDY.GYPENS@NOTARIS.BE</v>
          </cell>
          <cell r="R533">
            <v>2557</v>
          </cell>
          <cell r="T533">
            <v>38441</v>
          </cell>
        </row>
        <row r="534">
          <cell r="A534">
            <v>533</v>
          </cell>
          <cell r="B534" t="str">
            <v>GYSELINCK Didier</v>
          </cell>
          <cell r="C534" t="str">
            <v>GYSELINCK Didier</v>
          </cell>
          <cell r="D534" t="str">
            <v>Notaris</v>
          </cell>
          <cell r="E534" t="str">
            <v>Avenue Louise</v>
          </cell>
          <cell r="F534" t="str">
            <v>422</v>
          </cell>
          <cell r="G534" t="str">
            <v/>
          </cell>
          <cell r="H534" t="str">
            <v>1050</v>
          </cell>
          <cell r="I534" t="str">
            <v>Bruxelles</v>
          </cell>
          <cell r="K534" t="str">
            <v>Bruxelles</v>
          </cell>
          <cell r="M534" t="str">
            <v>M</v>
          </cell>
          <cell r="O534" t="str">
            <v>02.649.61.05</v>
          </cell>
          <cell r="P534" t="str">
            <v>02.647.85.89</v>
          </cell>
          <cell r="Q534" t="str">
            <v>DIDIER.GYSELINCK@NOTAIRE.BE</v>
          </cell>
          <cell r="R534">
            <v>2658</v>
          </cell>
        </row>
        <row r="535">
          <cell r="A535">
            <v>534</v>
          </cell>
          <cell r="B535" t="str">
            <v>HAC Vorac</v>
          </cell>
          <cell r="C535" t="str">
            <v>HAC Vorac</v>
          </cell>
          <cell r="D535" t="str">
            <v>Notaris</v>
          </cell>
          <cell r="E535" t="str">
            <v>Boulevard Kleyer</v>
          </cell>
          <cell r="F535" t="str">
            <v>104</v>
          </cell>
          <cell r="G535" t="str">
            <v/>
          </cell>
          <cell r="H535" t="str">
            <v>4000</v>
          </cell>
          <cell r="I535" t="str">
            <v>Liège</v>
          </cell>
          <cell r="K535" t="str">
            <v>Liège</v>
          </cell>
          <cell r="M535" t="str">
            <v>M</v>
          </cell>
          <cell r="O535" t="str">
            <v>04.223.25.27</v>
          </cell>
          <cell r="P535" t="str">
            <v>04.222.04.65</v>
          </cell>
          <cell r="Q535" t="str">
            <v>VORAC.HAC@NOTAIRE.BE</v>
          </cell>
          <cell r="R535">
            <v>3574</v>
          </cell>
        </row>
        <row r="536">
          <cell r="A536">
            <v>535</v>
          </cell>
          <cell r="B536" t="str">
            <v>HACHEZ Etienne</v>
          </cell>
          <cell r="C536" t="str">
            <v>HACHEZ Etienne</v>
          </cell>
          <cell r="D536" t="str">
            <v>Notaris</v>
          </cell>
          <cell r="E536" t="str">
            <v>Chemin St. Landry</v>
          </cell>
          <cell r="F536" t="str">
            <v>8</v>
          </cell>
          <cell r="G536" t="str">
            <v/>
          </cell>
          <cell r="H536" t="str">
            <v>7060</v>
          </cell>
          <cell r="I536" t="str">
            <v>Hainaut</v>
          </cell>
          <cell r="K536" t="str">
            <v>Soignies</v>
          </cell>
          <cell r="M536" t="str">
            <v>M</v>
          </cell>
          <cell r="O536" t="str">
            <v>067.33.26.22</v>
          </cell>
          <cell r="P536" t="str">
            <v>067.33.34.25</v>
          </cell>
          <cell r="Q536" t="str">
            <v>ETIENNE.HACHEZ@NOTAIRE.BE</v>
          </cell>
          <cell r="R536">
            <v>2432</v>
          </cell>
        </row>
        <row r="537">
          <cell r="A537">
            <v>536</v>
          </cell>
          <cell r="B537" t="str">
            <v>HACHEZ Jean-Luc &amp; GRIBOMONT Véronique</v>
          </cell>
          <cell r="C537" t="str">
            <v>Hachez Jean-Luc</v>
          </cell>
          <cell r="D537" t="str">
            <v>Geassocieerd Notaris</v>
          </cell>
          <cell r="E537" t="str">
            <v>Boulevard du Roi Albert</v>
          </cell>
          <cell r="F537" t="str">
            <v>8</v>
          </cell>
          <cell r="G537" t="str">
            <v/>
          </cell>
          <cell r="H537" t="str">
            <v>7500</v>
          </cell>
          <cell r="I537" t="str">
            <v>Hainaut</v>
          </cell>
          <cell r="K537" t="str">
            <v>Tournai</v>
          </cell>
          <cell r="M537" t="str">
            <v>M</v>
          </cell>
          <cell r="O537" t="str">
            <v>069/22,31,49</v>
          </cell>
          <cell r="P537" t="str">
            <v>069/84,17,22</v>
          </cell>
          <cell r="Q537" t="str">
            <v>JEANLUC.HACHEZ@NOTAIRE.BE</v>
          </cell>
          <cell r="R537">
            <v>3664</v>
          </cell>
        </row>
        <row r="538">
          <cell r="A538">
            <v>537</v>
          </cell>
          <cell r="B538" t="str">
            <v>HACKIER Monique</v>
          </cell>
          <cell r="C538" t="str">
            <v>HACKIER Monique</v>
          </cell>
          <cell r="D538" t="str">
            <v>Notaris</v>
          </cell>
          <cell r="E538" t="str">
            <v>Rue Sous-le-Bois</v>
          </cell>
          <cell r="F538" t="str">
            <v>23</v>
          </cell>
          <cell r="G538" t="str">
            <v/>
          </cell>
          <cell r="H538" t="str">
            <v>4031</v>
          </cell>
          <cell r="I538" t="str">
            <v>Liège</v>
          </cell>
          <cell r="K538" t="str">
            <v>Angleur</v>
          </cell>
          <cell r="M538" t="str">
            <v>Vr</v>
          </cell>
          <cell r="O538" t="str">
            <v>04.343.21.00</v>
          </cell>
          <cell r="P538" t="str">
            <v/>
          </cell>
          <cell r="Q538" t="str">
            <v>monique.hackier@notaire.be</v>
          </cell>
          <cell r="R538">
            <v>2559</v>
          </cell>
        </row>
        <row r="539">
          <cell r="A539">
            <v>538</v>
          </cell>
          <cell r="B539" t="str">
            <v>HAGE GOETSBLOETS Reginald</v>
          </cell>
          <cell r="C539" t="str">
            <v>HageGoetbloets Reginald</v>
          </cell>
          <cell r="D539" t="str">
            <v>Notaris</v>
          </cell>
          <cell r="E539" t="str">
            <v>Kapelstraat</v>
          </cell>
          <cell r="F539" t="str">
            <v>49</v>
          </cell>
          <cell r="G539" t="str">
            <v/>
          </cell>
          <cell r="H539" t="str">
            <v>3500</v>
          </cell>
          <cell r="I539" t="str">
            <v>Limburg</v>
          </cell>
          <cell r="K539" t="str">
            <v>Hasselt</v>
          </cell>
          <cell r="M539" t="str">
            <v>M</v>
          </cell>
          <cell r="O539" t="str">
            <v>011.22.30.28</v>
          </cell>
          <cell r="P539" t="str">
            <v>011.22.74.08</v>
          </cell>
          <cell r="Q539" t="str">
            <v>REGINALD.HAGEGOETSBLOETS@NOTARIS.BE</v>
          </cell>
          <cell r="R539">
            <v>3117</v>
          </cell>
          <cell r="S539" t="str">
            <v>000-0206642-32</v>
          </cell>
        </row>
        <row r="540">
          <cell r="A540">
            <v>539</v>
          </cell>
          <cell r="B540" t="str">
            <v>HALFLANTS Jean</v>
          </cell>
          <cell r="C540" t="str">
            <v>HALFLANTS Jean</v>
          </cell>
          <cell r="D540" t="str">
            <v>Notaris</v>
          </cell>
          <cell r="E540" t="str">
            <v>Bollenbergstraat</v>
          </cell>
          <cell r="F540" t="str">
            <v>39</v>
          </cell>
          <cell r="G540" t="str">
            <v/>
          </cell>
          <cell r="H540" t="str">
            <v>3210</v>
          </cell>
          <cell r="I540" t="str">
            <v>Vlaams Brabant</v>
          </cell>
          <cell r="K540" t="str">
            <v>Lubbeek</v>
          </cell>
          <cell r="M540" t="str">
            <v>M</v>
          </cell>
          <cell r="O540" t="str">
            <v>016.63.33.43</v>
          </cell>
          <cell r="P540" t="str">
            <v>016.63.31.97</v>
          </cell>
          <cell r="Q540" t="str">
            <v>JEAN.HALFLANTS@NOTARIS.BE</v>
          </cell>
          <cell r="R540">
            <v>2948</v>
          </cell>
        </row>
        <row r="541">
          <cell r="A541">
            <v>540</v>
          </cell>
          <cell r="B541" t="str">
            <v>HAMAIDE Antoine</v>
          </cell>
          <cell r="C541" t="str">
            <v>HAMAIDE Antoine</v>
          </cell>
          <cell r="D541" t="str">
            <v>Notaris</v>
          </cell>
          <cell r="E541" t="str">
            <v>Rue des Telliers</v>
          </cell>
          <cell r="F541" t="str">
            <v>4</v>
          </cell>
          <cell r="G541" t="str">
            <v/>
          </cell>
          <cell r="H541" t="str">
            <v>7000</v>
          </cell>
          <cell r="I541" t="str">
            <v>Hainaut</v>
          </cell>
          <cell r="K541" t="str">
            <v>Mons</v>
          </cell>
          <cell r="M541" t="str">
            <v>M</v>
          </cell>
          <cell r="O541" t="str">
            <v>065.35.13.64</v>
          </cell>
          <cell r="P541" t="str">
            <v>065.36.02.41</v>
          </cell>
          <cell r="Q541" t="str">
            <v>ANTOINE.HAMAIDE@NOTAIRE.BE</v>
          </cell>
          <cell r="R541">
            <v>3223</v>
          </cell>
        </row>
        <row r="542">
          <cell r="A542">
            <v>541</v>
          </cell>
          <cell r="B542" t="str">
            <v>HAMBYE Guillaume</v>
          </cell>
          <cell r="C542" t="str">
            <v>HAMBYE Guillaume</v>
          </cell>
          <cell r="D542" t="str">
            <v>Notaris</v>
          </cell>
          <cell r="E542" t="str">
            <v>rue du Gouvernement</v>
          </cell>
          <cell r="F542" t="str">
            <v>29</v>
          </cell>
          <cell r="G542" t="str">
            <v/>
          </cell>
          <cell r="H542" t="str">
            <v>7000</v>
          </cell>
          <cell r="I542" t="str">
            <v>Hainaut</v>
          </cell>
          <cell r="K542" t="str">
            <v>Mons</v>
          </cell>
          <cell r="M542" t="str">
            <v>M</v>
          </cell>
          <cell r="O542" t="str">
            <v>065.35.12.48</v>
          </cell>
          <cell r="P542" t="str">
            <v>065.31.37.74</v>
          </cell>
          <cell r="Q542" t="str">
            <v>GUILLAUME.HAMBYE@NOTAIRE.BE</v>
          </cell>
          <cell r="R542">
            <v>3372</v>
          </cell>
        </row>
        <row r="543">
          <cell r="A543">
            <v>542</v>
          </cell>
          <cell r="B543" t="str">
            <v>STEPHANE WATILLON &amp; PIERRE HAMES</v>
          </cell>
          <cell r="C543" t="str">
            <v>Hames Pierre</v>
          </cell>
          <cell r="D543" t="str">
            <v>Geassocieerd Notaris</v>
          </cell>
          <cell r="E543" t="str">
            <v>Joseph Saintraint</v>
          </cell>
          <cell r="F543" t="str">
            <v>8</v>
          </cell>
          <cell r="G543" t="str">
            <v/>
          </cell>
          <cell r="H543" t="str">
            <v>5000</v>
          </cell>
          <cell r="I543" t="str">
            <v>Namur</v>
          </cell>
          <cell r="K543" t="str">
            <v>Namur</v>
          </cell>
          <cell r="M543" t="str">
            <v>M</v>
          </cell>
          <cell r="O543" t="str">
            <v>081/22.91.23</v>
          </cell>
          <cell r="P543" t="str">
            <v>081/23.06.72</v>
          </cell>
          <cell r="Q543" t="str">
            <v>pierre.hames@notaire.be</v>
          </cell>
          <cell r="R543">
            <v>3653</v>
          </cell>
        </row>
        <row r="544">
          <cell r="A544">
            <v>543</v>
          </cell>
          <cell r="B544" t="str">
            <v>HANSEN Eric</v>
          </cell>
          <cell r="C544" t="str">
            <v>HANSEN Eric</v>
          </cell>
          <cell r="D544" t="str">
            <v>Notaris</v>
          </cell>
          <cell r="E544" t="str">
            <v>Place de l´Hôtel de Ville</v>
          </cell>
          <cell r="F544" t="str">
            <v>4-6</v>
          </cell>
          <cell r="G544" t="str">
            <v/>
          </cell>
          <cell r="H544" t="str">
            <v>4650</v>
          </cell>
          <cell r="I544" t="str">
            <v>Liège</v>
          </cell>
          <cell r="K544" t="str">
            <v>Herve</v>
          </cell>
          <cell r="M544" t="str">
            <v>M</v>
          </cell>
          <cell r="O544" t="str">
            <v>087.69.20.90</v>
          </cell>
          <cell r="P544" t="str">
            <v>087.69.20.92</v>
          </cell>
          <cell r="Q544" t="str">
            <v>ERIC.HANSEN@NOTAIRE.BE</v>
          </cell>
          <cell r="R544">
            <v>2703</v>
          </cell>
        </row>
        <row r="545">
          <cell r="A545">
            <v>544</v>
          </cell>
          <cell r="B545" t="str">
            <v>HANTSON Frederik</v>
          </cell>
          <cell r="C545" t="str">
            <v>HANTSON Frederik</v>
          </cell>
          <cell r="D545" t="str">
            <v>Notaris</v>
          </cell>
          <cell r="E545" t="str">
            <v>Wijngaardstraat</v>
          </cell>
          <cell r="F545" t="str">
            <v>55</v>
          </cell>
          <cell r="G545" t="str">
            <v/>
          </cell>
          <cell r="H545" t="str">
            <v>1755</v>
          </cell>
          <cell r="I545" t="str">
            <v>Vlaams Brabant</v>
          </cell>
          <cell r="K545" t="str">
            <v>Gooik</v>
          </cell>
          <cell r="M545" t="str">
            <v>M</v>
          </cell>
          <cell r="O545" t="str">
            <v>02.532.40.93</v>
          </cell>
          <cell r="P545" t="str">
            <v>02.532.18.37</v>
          </cell>
          <cell r="Q545" t="str">
            <v>FREDERIK.HANTSON@NOTARIS.BE</v>
          </cell>
          <cell r="R545">
            <v>3232</v>
          </cell>
        </row>
        <row r="546">
          <cell r="A546">
            <v>545</v>
          </cell>
          <cell r="B546" t="str">
            <v>HAYOT Jean</v>
          </cell>
          <cell r="C546" t="str">
            <v>HAYOT Jean</v>
          </cell>
          <cell r="D546" t="str">
            <v>Notaris</v>
          </cell>
          <cell r="E546" t="str">
            <v>Chaussée de Mons</v>
          </cell>
          <cell r="F546" t="str">
            <v>2</v>
          </cell>
          <cell r="G546" t="str">
            <v/>
          </cell>
          <cell r="H546" t="str">
            <v>6150</v>
          </cell>
          <cell r="I546" t="str">
            <v>Hainaut</v>
          </cell>
          <cell r="K546" t="str">
            <v>Anderlues</v>
          </cell>
          <cell r="M546" t="str">
            <v>M</v>
          </cell>
          <cell r="O546" t="str">
            <v>071.52.31.31</v>
          </cell>
          <cell r="P546" t="str">
            <v>071.54.08.84</v>
          </cell>
          <cell r="Q546" t="str">
            <v>JEAN.HAYOT@NOTAIRE.BE</v>
          </cell>
          <cell r="R546">
            <v>1269</v>
          </cell>
        </row>
        <row r="547">
          <cell r="A547">
            <v>546</v>
          </cell>
          <cell r="B547" t="str">
            <v>HEBETTE Michèle</v>
          </cell>
          <cell r="C547" t="str">
            <v>HEBETTE Michèle</v>
          </cell>
          <cell r="D547" t="str">
            <v>Notaris</v>
          </cell>
          <cell r="E547" t="str">
            <v>Rue de Liège</v>
          </cell>
          <cell r="F547" t="str">
            <v>28</v>
          </cell>
          <cell r="G547" t="str">
            <v/>
          </cell>
          <cell r="H547" t="str">
            <v>6660</v>
          </cell>
          <cell r="I547" t="str">
            <v>Luxembourg</v>
          </cell>
          <cell r="K547" t="str">
            <v>Houffalize</v>
          </cell>
          <cell r="M547" t="str">
            <v>Vr</v>
          </cell>
          <cell r="O547" t="str">
            <v>061.28.80.77</v>
          </cell>
          <cell r="P547" t="str">
            <v>061.28.93.18</v>
          </cell>
          <cell r="Q547" t="str">
            <v>MICHELE.HEBETTE@NOTAIRE.BE</v>
          </cell>
          <cell r="R547">
            <v>3035</v>
          </cell>
        </row>
        <row r="548">
          <cell r="A548">
            <v>547</v>
          </cell>
          <cell r="B548" t="str">
            <v>HEIREMANS Caroline</v>
          </cell>
          <cell r="C548" t="str">
            <v>HEIREMANS Caroline</v>
          </cell>
          <cell r="D548" t="str">
            <v>Notaris</v>
          </cell>
          <cell r="E548" t="str">
            <v>Alois De Beulelaan</v>
          </cell>
          <cell r="F548" t="str">
            <v>34</v>
          </cell>
          <cell r="G548" t="str">
            <v/>
          </cell>
          <cell r="H548" t="str">
            <v>9240</v>
          </cell>
          <cell r="I548" t="str">
            <v>Oost-Vlaanderen</v>
          </cell>
          <cell r="K548" t="str">
            <v>Zele</v>
          </cell>
          <cell r="M548" t="str">
            <v>Vr</v>
          </cell>
          <cell r="O548" t="str">
            <v>052.44.63.32</v>
          </cell>
          <cell r="P548" t="str">
            <v>052.45.07.01</v>
          </cell>
          <cell r="Q548" t="str">
            <v>CAROLINE.HEIREMANS@NOTARIS.BE</v>
          </cell>
          <cell r="R548">
            <v>3225</v>
          </cell>
        </row>
        <row r="549">
          <cell r="A549">
            <v>548</v>
          </cell>
          <cell r="B549" t="str">
            <v>HELDERWEIRT Jacqueline</v>
          </cell>
          <cell r="C549" t="str">
            <v>HELDERWEIRT Jacqueline</v>
          </cell>
          <cell r="D549" t="str">
            <v>Notaris</v>
          </cell>
          <cell r="E549" t="str">
            <v>Grote Steenweg</v>
          </cell>
          <cell r="F549" t="str">
            <v>525</v>
          </cell>
          <cell r="G549" t="str">
            <v/>
          </cell>
          <cell r="H549" t="str">
            <v>2600</v>
          </cell>
          <cell r="I549" t="str">
            <v>Antwerpen</v>
          </cell>
          <cell r="K549" t="str">
            <v>Berchem Antwerpen)</v>
          </cell>
          <cell r="M549" t="str">
            <v>Vr</v>
          </cell>
          <cell r="O549" t="str">
            <v>03.230.55.30</v>
          </cell>
          <cell r="P549" t="str">
            <v>03.239.50.20</v>
          </cell>
          <cell r="Q549" t="str">
            <v>JACQUELINE.HELDERWEIRT@NOTARIS.BE</v>
          </cell>
          <cell r="R549">
            <v>3041</v>
          </cell>
        </row>
        <row r="550">
          <cell r="A550">
            <v>549</v>
          </cell>
          <cell r="B550" t="str">
            <v>HELLEMANS Hilde</v>
          </cell>
          <cell r="C550" t="str">
            <v>HELLEMANS Hilde</v>
          </cell>
          <cell r="D550" t="str">
            <v>Notaris</v>
          </cell>
          <cell r="E550" t="str">
            <v>St. Bernardsesteenweg</v>
          </cell>
          <cell r="F550" t="str">
            <v>100</v>
          </cell>
          <cell r="G550" t="str">
            <v/>
          </cell>
          <cell r="H550" t="str">
            <v>2620</v>
          </cell>
          <cell r="I550" t="str">
            <v>Antwerpen</v>
          </cell>
          <cell r="K550" t="str">
            <v>Hemiksem</v>
          </cell>
          <cell r="M550" t="str">
            <v>Vr</v>
          </cell>
          <cell r="O550" t="str">
            <v>03.887.45.09</v>
          </cell>
          <cell r="P550" t="str">
            <v>03.877.05.42</v>
          </cell>
          <cell r="Q550" t="str">
            <v>HILDE.HELLEMANS@NOTARIS.BE</v>
          </cell>
          <cell r="R550">
            <v>3135</v>
          </cell>
        </row>
        <row r="551">
          <cell r="A551">
            <v>550</v>
          </cell>
          <cell r="B551" t="str">
            <v>HENDRICKX FABIENNE en ANDRE</v>
          </cell>
          <cell r="C551" t="str">
            <v>Hendrickx André</v>
          </cell>
          <cell r="D551" t="str">
            <v>Geassocieerd Notaris</v>
          </cell>
          <cell r="E551" t="str">
            <v>Harmoniestraat</v>
          </cell>
          <cell r="F551" t="str">
            <v>2</v>
          </cell>
          <cell r="G551" t="str">
            <v>bus 1</v>
          </cell>
          <cell r="H551" t="str">
            <v>3580</v>
          </cell>
          <cell r="I551" t="str">
            <v>Limburg</v>
          </cell>
          <cell r="K551" t="str">
            <v>Beringen</v>
          </cell>
          <cell r="M551" t="str">
            <v>M</v>
          </cell>
          <cell r="O551" t="str">
            <v>011)45.85.70</v>
          </cell>
          <cell r="P551" t="str">
            <v>011)45.85.75</v>
          </cell>
          <cell r="Q551" t="str">
            <v>ANDRE.HENDRICKX@NOTARIS.BE</v>
          </cell>
          <cell r="R551">
            <v>3550</v>
          </cell>
        </row>
        <row r="552">
          <cell r="A552">
            <v>551</v>
          </cell>
          <cell r="B552" t="str">
            <v>Hendrickx Dirk</v>
          </cell>
          <cell r="C552" t="str">
            <v>Hendrickx Dirk</v>
          </cell>
          <cell r="D552" t="str">
            <v>Notaris</v>
          </cell>
          <cell r="E552" t="str">
            <v>Koning Albert I-laan</v>
          </cell>
          <cell r="F552" t="str">
            <v>201</v>
          </cell>
          <cell r="G552" t="str">
            <v/>
          </cell>
          <cell r="H552" t="str">
            <v>8200</v>
          </cell>
          <cell r="I552" t="str">
            <v>West-Vlaanderen</v>
          </cell>
          <cell r="K552" t="str">
            <v>Brugge (Sint-Michiels)</v>
          </cell>
          <cell r="M552" t="str">
            <v>M</v>
          </cell>
          <cell r="O552" t="str">
            <v>050.38.21.36</v>
          </cell>
          <cell r="P552" t="str">
            <v>050.38.07.93</v>
          </cell>
          <cell r="Q552" t="str">
            <v>Dirk.Hendrickx@notaris.be</v>
          </cell>
          <cell r="R552">
            <v>702649</v>
          </cell>
          <cell r="S552" t="str">
            <v>738-0169997-75</v>
          </cell>
          <cell r="T552">
            <v>38694</v>
          </cell>
        </row>
        <row r="553">
          <cell r="A553">
            <v>552</v>
          </cell>
          <cell r="B553" t="str">
            <v>HENDRICKX FABIENNE en ANDRE</v>
          </cell>
          <cell r="C553" t="str">
            <v>Hendrickx Fabienne</v>
          </cell>
          <cell r="D553" t="str">
            <v>Geassocieerd Notaris</v>
          </cell>
          <cell r="E553" t="str">
            <v>Harmoniestraat</v>
          </cell>
          <cell r="F553" t="str">
            <v>2</v>
          </cell>
          <cell r="G553" t="str">
            <v>bus 1</v>
          </cell>
          <cell r="H553" t="str">
            <v>3580</v>
          </cell>
          <cell r="I553" t="str">
            <v>Limburg</v>
          </cell>
          <cell r="K553" t="str">
            <v>Beringen</v>
          </cell>
          <cell r="M553" t="str">
            <v>Vr</v>
          </cell>
          <cell r="O553" t="str">
            <v>011)45.85.70</v>
          </cell>
          <cell r="P553" t="str">
            <v>011)45.85.75</v>
          </cell>
          <cell r="Q553" t="str">
            <v>FABIENNE.HENDRICKX@NOTARIS.BE</v>
          </cell>
          <cell r="R553">
            <v>3550</v>
          </cell>
        </row>
        <row r="554">
          <cell r="A554">
            <v>553</v>
          </cell>
          <cell r="B554" t="str">
            <v>HENDRICKX Marij</v>
          </cell>
          <cell r="C554" t="str">
            <v>HENDRICKX Marij</v>
          </cell>
          <cell r="D554" t="str">
            <v>Notaris</v>
          </cell>
          <cell r="E554" t="str">
            <v>Koeltorenlaan</v>
          </cell>
          <cell r="F554" t="str">
            <v>11</v>
          </cell>
          <cell r="G554" t="str">
            <v/>
          </cell>
          <cell r="H554" t="str">
            <v>3550</v>
          </cell>
          <cell r="I554" t="str">
            <v>Limburg</v>
          </cell>
          <cell r="K554" t="str">
            <v>Heusden-Zolder</v>
          </cell>
          <cell r="M554" t="str">
            <v>Vr</v>
          </cell>
          <cell r="O554" t="str">
            <v>011.53.70.70</v>
          </cell>
          <cell r="P554" t="str">
            <v>011.53.82.57</v>
          </cell>
          <cell r="Q554" t="str">
            <v>MARIJ.HENDRICKX@NOTARIS.BE</v>
          </cell>
          <cell r="R554">
            <v>3398</v>
          </cell>
        </row>
        <row r="555">
          <cell r="A555">
            <v>554</v>
          </cell>
          <cell r="B555" t="str">
            <v>BVBA DEVELTER &amp; HENDRYCKX</v>
          </cell>
          <cell r="C555" t="str">
            <v>Hendryckx Dominique</v>
          </cell>
          <cell r="D555" t="str">
            <v>Geassocieerd Notaris</v>
          </cell>
          <cell r="E555" t="str">
            <v>Kortrijkstraat</v>
          </cell>
          <cell r="F555" t="str">
            <v>81</v>
          </cell>
          <cell r="G555" t="str">
            <v/>
          </cell>
          <cell r="H555" t="str">
            <v>8930</v>
          </cell>
          <cell r="I555" t="str">
            <v>West-Vlaanderen</v>
          </cell>
          <cell r="K555" t="str">
            <v>Menen</v>
          </cell>
          <cell r="L555">
            <v>23367</v>
          </cell>
          <cell r="M555" t="str">
            <v>Vr</v>
          </cell>
          <cell r="O555" t="str">
            <v>056.53.21.76</v>
          </cell>
          <cell r="P555" t="str">
            <v>056.53.21.77</v>
          </cell>
          <cell r="Q555" t="str">
            <v>dominique.hendryckx@notaris.be</v>
          </cell>
          <cell r="R555">
            <v>3644</v>
          </cell>
        </row>
        <row r="556">
          <cell r="A556">
            <v>555</v>
          </cell>
          <cell r="B556" t="str">
            <v>HENRIST Philippe</v>
          </cell>
          <cell r="C556" t="str">
            <v>HENRIST Philippe</v>
          </cell>
          <cell r="D556" t="str">
            <v>Notaris</v>
          </cell>
          <cell r="E556" t="str">
            <v>Glorieuxlaan</v>
          </cell>
          <cell r="F556" t="str">
            <v>5</v>
          </cell>
          <cell r="G556" t="str">
            <v/>
          </cell>
          <cell r="H556" t="str">
            <v>9600</v>
          </cell>
          <cell r="I556" t="str">
            <v>Oost-Vlaanderen</v>
          </cell>
          <cell r="K556" t="str">
            <v>Ronse</v>
          </cell>
          <cell r="M556" t="str">
            <v>M</v>
          </cell>
          <cell r="O556" t="str">
            <v>055.21.89.06</v>
          </cell>
          <cell r="P556" t="str">
            <v>055.20.95.06</v>
          </cell>
          <cell r="Q556" t="str">
            <v>PHILIPPE.HENRIST@NOTARIS.BE</v>
          </cell>
          <cell r="R556">
            <v>2575</v>
          </cell>
        </row>
        <row r="557">
          <cell r="A557">
            <v>556</v>
          </cell>
          <cell r="B557" t="str">
            <v>HENRY - COLIN - VAN ROY</v>
          </cell>
          <cell r="C557" t="str">
            <v>Henry Alain</v>
          </cell>
          <cell r="D557" t="str">
            <v>Geassocieerd Notaris</v>
          </cell>
          <cell r="E557" t="str">
            <v>Rue des Tanneurs</v>
          </cell>
          <cell r="F557" t="str">
            <v>29</v>
          </cell>
          <cell r="G557" t="str">
            <v/>
          </cell>
          <cell r="H557" t="str">
            <v>7730</v>
          </cell>
          <cell r="I557" t="str">
            <v>Hainaut</v>
          </cell>
          <cell r="K557" t="str">
            <v>Estaimbourg</v>
          </cell>
          <cell r="M557" t="str">
            <v>M</v>
          </cell>
          <cell r="O557" t="str">
            <v>069.55.60.00</v>
          </cell>
          <cell r="P557" t="str">
            <v>069.55.60.01</v>
          </cell>
          <cell r="Q557" t="str">
            <v>ALAIN.HENRY@NOTAIRE.BE</v>
          </cell>
          <cell r="R557">
            <v>3608</v>
          </cell>
        </row>
        <row r="558">
          <cell r="A558">
            <v>557</v>
          </cell>
          <cell r="B558" t="str">
            <v>HENRY Marc</v>
          </cell>
          <cell r="C558" t="str">
            <v>HENRY Marc</v>
          </cell>
          <cell r="D558" t="str">
            <v>Notaris</v>
          </cell>
          <cell r="E558" t="str">
            <v>Avenue du Roi Albert</v>
          </cell>
          <cell r="F558" t="str">
            <v>88</v>
          </cell>
          <cell r="G558" t="str">
            <v/>
          </cell>
          <cell r="H558" t="str">
            <v>5300</v>
          </cell>
          <cell r="I558" t="str">
            <v>Namur</v>
          </cell>
          <cell r="K558" t="str">
            <v>Andenne</v>
          </cell>
          <cell r="M558" t="str">
            <v>M</v>
          </cell>
          <cell r="O558" t="str">
            <v>085.84.10.80</v>
          </cell>
          <cell r="P558" t="str">
            <v>085.84.31.28</v>
          </cell>
          <cell r="Q558" t="str">
            <v>MARC.HENRY@NOTAIRE.BE</v>
          </cell>
          <cell r="R558">
            <v>3277</v>
          </cell>
        </row>
        <row r="559">
          <cell r="A559">
            <v>558</v>
          </cell>
          <cell r="B559" t="str">
            <v>HERBAY Michel</v>
          </cell>
          <cell r="C559" t="str">
            <v>HERBAY Michel</v>
          </cell>
          <cell r="D559" t="str">
            <v>Notaris</v>
          </cell>
          <cell r="E559" t="str">
            <v>Chaussée de Namur</v>
          </cell>
          <cell r="F559" t="str">
            <v>71</v>
          </cell>
          <cell r="G559" t="str">
            <v/>
          </cell>
          <cell r="H559" t="str">
            <v>5310</v>
          </cell>
          <cell r="I559" t="str">
            <v>Namur</v>
          </cell>
          <cell r="K559" t="str">
            <v>Eghezée</v>
          </cell>
          <cell r="M559" t="str">
            <v>M</v>
          </cell>
          <cell r="O559" t="str">
            <v>081.51.06.10</v>
          </cell>
          <cell r="P559" t="str">
            <v>081.81.27.11</v>
          </cell>
          <cell r="Q559" t="str">
            <v>MICHEL.HERBAY@NOTAIRE.BE</v>
          </cell>
          <cell r="R559">
            <v>3420</v>
          </cell>
        </row>
        <row r="560">
          <cell r="A560">
            <v>559</v>
          </cell>
          <cell r="B560" t="str">
            <v>HERINCKX François</v>
          </cell>
          <cell r="C560" t="str">
            <v>HERINCKX François</v>
          </cell>
          <cell r="D560" t="str">
            <v>Notaris</v>
          </cell>
          <cell r="E560" t="str">
            <v>Rue du Midi</v>
          </cell>
          <cell r="F560" t="str">
            <v>146</v>
          </cell>
          <cell r="G560" t="str">
            <v/>
          </cell>
          <cell r="H560" t="str">
            <v>1000</v>
          </cell>
          <cell r="I560" t="str">
            <v>Bruxelles</v>
          </cell>
          <cell r="K560" t="str">
            <v>Bruxelles</v>
          </cell>
          <cell r="M560" t="str">
            <v>M</v>
          </cell>
          <cell r="O560" t="str">
            <v>02.512.01.40</v>
          </cell>
          <cell r="P560" t="str">
            <v>02.512.61.66</v>
          </cell>
          <cell r="Q560" t="str">
            <v>FRANCOIS.HERINCKX@NOTAIRE.BE</v>
          </cell>
          <cell r="R560">
            <v>3104</v>
          </cell>
        </row>
        <row r="561">
          <cell r="A561">
            <v>560</v>
          </cell>
          <cell r="B561" t="str">
            <v>HERTECANT Luc</v>
          </cell>
          <cell r="C561" t="str">
            <v>HERTECANT Luc</v>
          </cell>
          <cell r="D561" t="str">
            <v>Notaris</v>
          </cell>
          <cell r="E561" t="str">
            <v>Kamstraat</v>
          </cell>
          <cell r="F561" t="str">
            <v>18</v>
          </cell>
          <cell r="G561" t="str">
            <v>bus 1</v>
          </cell>
          <cell r="H561" t="str">
            <v>3040</v>
          </cell>
          <cell r="I561" t="str">
            <v>Vlaams Brabant</v>
          </cell>
          <cell r="K561" t="str">
            <v>Neerijse</v>
          </cell>
          <cell r="M561" t="str">
            <v>M</v>
          </cell>
          <cell r="O561" t="str">
            <v>016.47.41.10</v>
          </cell>
          <cell r="P561" t="str">
            <v>016.47.41.12</v>
          </cell>
          <cell r="Q561" t="str">
            <v>LUC.HERTECANT@NOTARIS.BE</v>
          </cell>
          <cell r="R561">
            <v>3405</v>
          </cell>
        </row>
        <row r="562">
          <cell r="A562">
            <v>561</v>
          </cell>
          <cell r="B562" t="str">
            <v>HERTECANT Lutgard</v>
          </cell>
          <cell r="C562" t="str">
            <v>HERTECANT Lutgard</v>
          </cell>
          <cell r="D562" t="str">
            <v>Notaris</v>
          </cell>
          <cell r="E562" t="str">
            <v>Burgemeester de Lausnaystraat</v>
          </cell>
          <cell r="F562" t="str">
            <v>38</v>
          </cell>
          <cell r="G562" t="str">
            <v/>
          </cell>
          <cell r="H562" t="str">
            <v>9290</v>
          </cell>
          <cell r="I562" t="str">
            <v>Oost-Vlaanderen</v>
          </cell>
          <cell r="K562" t="str">
            <v>Overmere</v>
          </cell>
          <cell r="M562" t="str">
            <v>Vr</v>
          </cell>
          <cell r="O562" t="str">
            <v>09.367.60.11</v>
          </cell>
          <cell r="P562" t="str">
            <v>09.367.51.08</v>
          </cell>
          <cell r="Q562" t="str">
            <v>lutgard.hertecant@notaris.be</v>
          </cell>
          <cell r="R562">
            <v>3632</v>
          </cell>
        </row>
        <row r="563">
          <cell r="A563">
            <v>562</v>
          </cell>
          <cell r="B563" t="str">
            <v>HEUNINCKX Réginald</v>
          </cell>
          <cell r="C563" t="str">
            <v>HEUNINCKX Réginald</v>
          </cell>
          <cell r="D563" t="str">
            <v>Notaris</v>
          </cell>
          <cell r="E563" t="str">
            <v>Rue Joseph Berger</v>
          </cell>
          <cell r="F563" t="str">
            <v>110</v>
          </cell>
          <cell r="G563" t="str">
            <v/>
          </cell>
          <cell r="H563" t="str">
            <v>1470</v>
          </cell>
          <cell r="I563" t="str">
            <v>Brabant Wallon</v>
          </cell>
          <cell r="K563" t="str">
            <v>Genappe</v>
          </cell>
          <cell r="M563" t="str">
            <v>M</v>
          </cell>
          <cell r="O563" t="str">
            <v>067.78.01.99</v>
          </cell>
          <cell r="P563" t="str">
            <v>067.78.02.08</v>
          </cell>
          <cell r="Q563" t="str">
            <v>REGINALD.HEUNINCKX@NOTAIRE.BE</v>
          </cell>
          <cell r="R563">
            <v>2595</v>
          </cell>
        </row>
        <row r="564">
          <cell r="A564">
            <v>563</v>
          </cell>
          <cell r="B564" t="str">
            <v>HEYLEN Rita</v>
          </cell>
          <cell r="C564" t="str">
            <v>HEYLEN Rita</v>
          </cell>
          <cell r="D564" t="str">
            <v>Notaris</v>
          </cell>
          <cell r="E564" t="str">
            <v>Bergstraat</v>
          </cell>
          <cell r="F564" t="str">
            <v>118</v>
          </cell>
          <cell r="G564" t="str">
            <v/>
          </cell>
          <cell r="H564" t="str">
            <v>2220</v>
          </cell>
          <cell r="I564" t="str">
            <v>Antwerpen</v>
          </cell>
          <cell r="K564" t="str">
            <v>Heist-op-den-Berg</v>
          </cell>
          <cell r="M564" t="str">
            <v>Vr</v>
          </cell>
          <cell r="O564" t="str">
            <v>015.23.03.30</v>
          </cell>
          <cell r="P564" t="str">
            <v>015.23.03.31</v>
          </cell>
          <cell r="Q564" t="str">
            <v>RITA.HEYLEN@NOTARIS.BE</v>
          </cell>
          <cell r="R564">
            <v>3581</v>
          </cell>
        </row>
        <row r="565">
          <cell r="A565">
            <v>564</v>
          </cell>
          <cell r="B565" t="str">
            <v>HEYMANS Benoit</v>
          </cell>
          <cell r="C565" t="str">
            <v>HEYMANS Benoit</v>
          </cell>
          <cell r="D565" t="str">
            <v>Notaris</v>
          </cell>
          <cell r="E565" t="str">
            <v>Avenue de l´Echévinage</v>
          </cell>
          <cell r="F565" t="str">
            <v>1A</v>
          </cell>
          <cell r="G565" t="str">
            <v/>
          </cell>
          <cell r="H565" t="str">
            <v>1180</v>
          </cell>
          <cell r="I565" t="str">
            <v>Bruxelles</v>
          </cell>
          <cell r="K565" t="str">
            <v>Bruxelles</v>
          </cell>
          <cell r="M565" t="str">
            <v>M</v>
          </cell>
          <cell r="O565" t="str">
            <v>02.374.59.70</v>
          </cell>
          <cell r="P565" t="str">
            <v>02.375.51.42</v>
          </cell>
          <cell r="Q565" t="str">
            <v>BENOIT.HEYMANS@NOTAIRE.BE</v>
          </cell>
          <cell r="R565">
            <v>3531</v>
          </cell>
        </row>
        <row r="566">
          <cell r="A566">
            <v>565</v>
          </cell>
          <cell r="B566" t="str">
            <v>HEYVAERT Frank</v>
          </cell>
          <cell r="C566" t="str">
            <v>HEYVAERT Frank</v>
          </cell>
          <cell r="D566" t="str">
            <v>Notaris</v>
          </cell>
          <cell r="E566" t="str">
            <v>Lindendreef</v>
          </cell>
          <cell r="F566" t="str">
            <v>6</v>
          </cell>
          <cell r="G566" t="str">
            <v/>
          </cell>
          <cell r="H566" t="str">
            <v>8630</v>
          </cell>
          <cell r="I566" t="str">
            <v>West-Vlaanderen</v>
          </cell>
          <cell r="K566" t="str">
            <v>Veurne</v>
          </cell>
          <cell r="L566">
            <v>20912</v>
          </cell>
          <cell r="M566" t="str">
            <v>M</v>
          </cell>
          <cell r="O566" t="str">
            <v>058.31.12.52</v>
          </cell>
          <cell r="P566" t="str">
            <v>058.31.27.55</v>
          </cell>
          <cell r="Q566" t="str">
            <v>FRANK.HEYVAERT@NOTARIS.BE</v>
          </cell>
          <cell r="R566">
            <v>2869</v>
          </cell>
        </row>
        <row r="567">
          <cell r="A567">
            <v>566</v>
          </cell>
          <cell r="B567" t="str">
            <v>HIMPE Eric</v>
          </cell>
          <cell r="C567" t="str">
            <v>HIMPE Eric</v>
          </cell>
          <cell r="D567" t="str">
            <v>Notaris</v>
          </cell>
          <cell r="E567" t="str">
            <v>Maarschalk Haiglaan</v>
          </cell>
          <cell r="F567" t="str">
            <v>25</v>
          </cell>
          <cell r="G567" t="str">
            <v/>
          </cell>
          <cell r="H567" t="str">
            <v>8900</v>
          </cell>
          <cell r="I567" t="str">
            <v>West-Vlaanderen</v>
          </cell>
          <cell r="K567" t="str">
            <v>Ieper</v>
          </cell>
          <cell r="L567">
            <v>19425</v>
          </cell>
          <cell r="M567" t="str">
            <v>M</v>
          </cell>
          <cell r="O567" t="str">
            <v>057.20.14.46</v>
          </cell>
          <cell r="P567" t="str">
            <v>057.21.64.46</v>
          </cell>
          <cell r="Q567" t="str">
            <v>ERIC.HIMPE@NOTARIS.BE</v>
          </cell>
          <cell r="R567">
            <v>2936</v>
          </cell>
        </row>
        <row r="568">
          <cell r="A568">
            <v>567</v>
          </cell>
          <cell r="B568" t="str">
            <v>HISETTE Damien</v>
          </cell>
          <cell r="C568" t="str">
            <v>HISETTE Damien</v>
          </cell>
          <cell r="D568" t="str">
            <v>Notaris</v>
          </cell>
          <cell r="E568" t="str">
            <v>Avenue Franklin Rooseveltlaan</v>
          </cell>
          <cell r="F568" t="str">
            <v>148</v>
          </cell>
          <cell r="G568" t="str">
            <v/>
          </cell>
          <cell r="H568" t="str">
            <v>1050</v>
          </cell>
          <cell r="I568" t="str">
            <v>Bruxelles</v>
          </cell>
          <cell r="K568" t="str">
            <v>Bruxelles</v>
          </cell>
          <cell r="M568" t="str">
            <v>M</v>
          </cell>
          <cell r="O568" t="str">
            <v>02.646.34.40</v>
          </cell>
          <cell r="P568" t="str">
            <v>02.646.29.46</v>
          </cell>
          <cell r="Q568" t="str">
            <v>GERALD.SNYERSDATTENHOVEN@NOTAIRE.BE</v>
          </cell>
          <cell r="R568">
            <v>3528</v>
          </cell>
        </row>
        <row r="569">
          <cell r="A569">
            <v>568</v>
          </cell>
          <cell r="B569" t="str">
            <v>HISETTE Damien</v>
          </cell>
          <cell r="C569" t="str">
            <v>HISETTE Damien</v>
          </cell>
          <cell r="D569" t="str">
            <v>Notaris</v>
          </cell>
          <cell r="E569" t="str">
            <v>Avenue Franklin Rooseveltlaan</v>
          </cell>
          <cell r="F569" t="str">
            <v>148</v>
          </cell>
          <cell r="G569" t="str">
            <v/>
          </cell>
          <cell r="H569" t="str">
            <v>1050</v>
          </cell>
          <cell r="I569" t="str">
            <v>Bruxelles</v>
          </cell>
          <cell r="K569" t="str">
            <v>Bruxelles</v>
          </cell>
          <cell r="M569" t="str">
            <v>M</v>
          </cell>
          <cell r="O569" t="str">
            <v>02.646.34.40</v>
          </cell>
          <cell r="P569" t="str">
            <v>02.646.29.46</v>
          </cell>
          <cell r="Q569" t="str">
            <v>damien.hisette@notaire.be</v>
          </cell>
          <cell r="R569">
            <v>3528</v>
          </cell>
        </row>
        <row r="570">
          <cell r="A570">
            <v>569</v>
          </cell>
          <cell r="B570" t="str">
            <v>HOLLANDERS &amp; ROBERTI BV BVBA</v>
          </cell>
          <cell r="C570" t="str">
            <v>HollandersdeOuderaen David</v>
          </cell>
          <cell r="D570" t="str">
            <v>Geassocieerd Notaris</v>
          </cell>
          <cell r="E570" t="str">
            <v>Naamsestraat</v>
          </cell>
          <cell r="F570" t="str">
            <v>37</v>
          </cell>
          <cell r="G570" t="str">
            <v/>
          </cell>
          <cell r="H570" t="str">
            <v>3000</v>
          </cell>
          <cell r="I570" t="str">
            <v>Vlaams Brabant</v>
          </cell>
          <cell r="K570" t="str">
            <v>Leuven</v>
          </cell>
          <cell r="M570" t="str">
            <v>M</v>
          </cell>
          <cell r="O570" t="str">
            <v>016.22.33.44</v>
          </cell>
          <cell r="P570" t="str">
            <v>016.24.41.41</v>
          </cell>
          <cell r="Q570" t="str">
            <v>DAVID.HOLLANDERSDEOUDERAEN@NOTARIS.BE</v>
          </cell>
          <cell r="R570">
            <v>3486</v>
          </cell>
        </row>
        <row r="571">
          <cell r="A571">
            <v>570</v>
          </cell>
          <cell r="B571" t="str">
            <v>VAN BAEL HOLVOET VAN BAEL &amp; VERHAERT</v>
          </cell>
          <cell r="C571" t="str">
            <v>Holvoet Filip</v>
          </cell>
          <cell r="D571" t="str">
            <v>Geassocieerd Notaris</v>
          </cell>
          <cell r="E571" t="str">
            <v>Mechelsesteenweg</v>
          </cell>
          <cell r="F571" t="str">
            <v>65</v>
          </cell>
          <cell r="G571" t="str">
            <v/>
          </cell>
          <cell r="H571" t="str">
            <v>2018</v>
          </cell>
          <cell r="I571" t="str">
            <v>Antwerpen</v>
          </cell>
          <cell r="K571" t="str">
            <v>Antwerpen</v>
          </cell>
          <cell r="M571" t="str">
            <v>M</v>
          </cell>
          <cell r="O571" t="str">
            <v>03.205.62.80</v>
          </cell>
          <cell r="P571" t="str">
            <v>03.205.62.90</v>
          </cell>
          <cell r="Q571" t="str">
            <v>filip.holvoet@notaris.be</v>
          </cell>
          <cell r="R571">
            <v>3502</v>
          </cell>
        </row>
        <row r="572">
          <cell r="A572">
            <v>571</v>
          </cell>
          <cell r="B572" t="str">
            <v>HOMANS Jan &amp; CLOET Jan</v>
          </cell>
          <cell r="C572" t="str">
            <v>Homans Jan</v>
          </cell>
          <cell r="D572" t="str">
            <v>Geassocieerd Notaris</v>
          </cell>
          <cell r="E572" t="str">
            <v>Steenweg op Wijchmaal</v>
          </cell>
          <cell r="F572" t="str">
            <v>49</v>
          </cell>
          <cell r="G572" t="str">
            <v/>
          </cell>
          <cell r="H572" t="str">
            <v>3990</v>
          </cell>
          <cell r="I572" t="str">
            <v>Limburg</v>
          </cell>
          <cell r="K572" t="str">
            <v>Peer</v>
          </cell>
          <cell r="M572" t="str">
            <v>M</v>
          </cell>
          <cell r="O572" t="str">
            <v>011.61.03.33</v>
          </cell>
          <cell r="P572" t="str">
            <v>011.63.35.81</v>
          </cell>
          <cell r="Q572" t="str">
            <v>JAN.HOMANS@NOTARIS.BE</v>
          </cell>
          <cell r="R572">
            <v>327</v>
          </cell>
        </row>
        <row r="573">
          <cell r="A573">
            <v>572</v>
          </cell>
          <cell r="B573" t="str">
            <v>HONOREZ Marc</v>
          </cell>
          <cell r="C573" t="str">
            <v>HONOREZ Marc</v>
          </cell>
          <cell r="D573" t="str">
            <v>Notaris</v>
          </cell>
          <cell r="E573" t="str">
            <v>Nieuwstraat</v>
          </cell>
          <cell r="F573" t="str">
            <v>42</v>
          </cell>
          <cell r="G573" t="str">
            <v/>
          </cell>
          <cell r="H573" t="str">
            <v>3300</v>
          </cell>
          <cell r="I573" t="str">
            <v>Vlaams Brabant</v>
          </cell>
          <cell r="K573" t="str">
            <v>Tienen</v>
          </cell>
          <cell r="M573" t="str">
            <v>M</v>
          </cell>
          <cell r="O573" t="str">
            <v>016.81.11.53</v>
          </cell>
          <cell r="P573" t="str">
            <v>016.82.04.32</v>
          </cell>
          <cell r="Q573" t="str">
            <v>MARC.HONOREZ@NOTARIS.BE</v>
          </cell>
          <cell r="R573">
            <v>2773</v>
          </cell>
        </row>
        <row r="574">
          <cell r="A574">
            <v>573</v>
          </cell>
          <cell r="B574" t="str">
            <v>HOPCHET Philippe</v>
          </cell>
          <cell r="C574" t="str">
            <v>HOPCHET Philippe</v>
          </cell>
          <cell r="D574" t="str">
            <v>Notaris</v>
          </cell>
          <cell r="E574" t="str">
            <v>Rubenslei</v>
          </cell>
          <cell r="F574" t="str">
            <v>19</v>
          </cell>
          <cell r="G574" t="str">
            <v/>
          </cell>
          <cell r="H574" t="str">
            <v>2018</v>
          </cell>
          <cell r="I574" t="str">
            <v>Antwerpen</v>
          </cell>
          <cell r="K574" t="str">
            <v>Antwerpen</v>
          </cell>
          <cell r="M574" t="str">
            <v>M</v>
          </cell>
          <cell r="O574" t="str">
            <v>03.231.31.28</v>
          </cell>
          <cell r="P574" t="str">
            <v>03.231.53.54</v>
          </cell>
          <cell r="Q574" t="str">
            <v>PHILIPPE.HOPCHET@NOTARIS.BE</v>
          </cell>
          <cell r="R574">
            <v>2729</v>
          </cell>
        </row>
        <row r="575">
          <cell r="A575">
            <v>574</v>
          </cell>
          <cell r="B575" t="str">
            <v>HOSTE Michèle</v>
          </cell>
          <cell r="C575" t="str">
            <v>HOSTE Michèle</v>
          </cell>
          <cell r="D575" t="str">
            <v>Notaris</v>
          </cell>
          <cell r="E575" t="str">
            <v>Charles de Kerchovelaan</v>
          </cell>
          <cell r="F575" t="str">
            <v>7</v>
          </cell>
          <cell r="G575" t="str">
            <v/>
          </cell>
          <cell r="H575" t="str">
            <v>9000</v>
          </cell>
          <cell r="I575" t="str">
            <v>Oost-Vlaanderen</v>
          </cell>
          <cell r="K575" t="str">
            <v>Gent</v>
          </cell>
          <cell r="M575" t="str">
            <v>Vr</v>
          </cell>
          <cell r="O575" t="str">
            <v>09.225.25.98</v>
          </cell>
          <cell r="P575" t="str">
            <v>09.223.64.63</v>
          </cell>
          <cell r="Q575" t="str">
            <v>MICHELE.HOSTE@NOTARIS.BE</v>
          </cell>
          <cell r="R575">
            <v>2770</v>
          </cell>
        </row>
        <row r="576">
          <cell r="A576">
            <v>575</v>
          </cell>
          <cell r="B576" t="str">
            <v>HOUBEN Herbert</v>
          </cell>
          <cell r="C576" t="str">
            <v>HOUBEN Herbert</v>
          </cell>
          <cell r="D576" t="str">
            <v>Notaris</v>
          </cell>
          <cell r="E576" t="str">
            <v>Bochtlaan</v>
          </cell>
          <cell r="F576" t="str">
            <v>29</v>
          </cell>
          <cell r="G576" t="str">
            <v/>
          </cell>
          <cell r="H576" t="str">
            <v>3600</v>
          </cell>
          <cell r="I576" t="str">
            <v>Limburg</v>
          </cell>
          <cell r="K576" t="str">
            <v>Genk</v>
          </cell>
          <cell r="M576" t="str">
            <v>M</v>
          </cell>
          <cell r="O576" t="str">
            <v>089.35.85.01</v>
          </cell>
          <cell r="P576" t="str">
            <v>089.35.34.91</v>
          </cell>
          <cell r="Q576" t="str">
            <v>herbert.houben@belnot.be</v>
          </cell>
          <cell r="R576">
            <v>3566</v>
          </cell>
        </row>
        <row r="577">
          <cell r="A577">
            <v>576</v>
          </cell>
          <cell r="B577" t="str">
            <v>HOUET Bernard</v>
          </cell>
          <cell r="C577" t="str">
            <v>HOUET Bernard</v>
          </cell>
          <cell r="D577" t="str">
            <v>Notaris</v>
          </cell>
          <cell r="E577" t="str">
            <v>Chaussée de Louvain</v>
          </cell>
          <cell r="F577" t="str">
            <v>152</v>
          </cell>
          <cell r="G577" t="str">
            <v/>
          </cell>
          <cell r="H577" t="str">
            <v>1300</v>
          </cell>
          <cell r="I577" t="str">
            <v>Brabant Wallon</v>
          </cell>
          <cell r="K577" t="str">
            <v>Wavre</v>
          </cell>
          <cell r="M577" t="str">
            <v>M</v>
          </cell>
          <cell r="O577" t="str">
            <v>010.22.21.33</v>
          </cell>
          <cell r="P577" t="str">
            <v>010.24.12.75</v>
          </cell>
          <cell r="Q577" t="str">
            <v>BERNARD.HOUET@NOTAIRE.BE</v>
          </cell>
          <cell r="R577">
            <v>3169</v>
          </cell>
        </row>
        <row r="578">
          <cell r="A578">
            <v>577</v>
          </cell>
          <cell r="B578" t="str">
            <v>HOUGAERTS Joseph &amp; Georges</v>
          </cell>
          <cell r="C578" t="str">
            <v>Hougaert Georges</v>
          </cell>
          <cell r="D578" t="str">
            <v>Geassocieerd Notaris</v>
          </cell>
          <cell r="E578" t="str">
            <v>de Tieckenstraat</v>
          </cell>
          <cell r="F578" t="str">
            <v>7</v>
          </cell>
          <cell r="G578" t="str">
            <v/>
          </cell>
          <cell r="H578" t="str">
            <v>3700</v>
          </cell>
          <cell r="I578" t="str">
            <v>Limburg</v>
          </cell>
          <cell r="K578" t="str">
            <v>Tongeren</v>
          </cell>
          <cell r="M578" t="str">
            <v>M</v>
          </cell>
          <cell r="O578" t="str">
            <v>012.23.10.22</v>
          </cell>
          <cell r="P578" t="str">
            <v>012.23.35.21</v>
          </cell>
          <cell r="Q578" t="str">
            <v>JOSEPH.HOUGAERTS@NOTARIS.BE</v>
          </cell>
          <cell r="R578">
            <v>331</v>
          </cell>
          <cell r="T578">
            <v>38337</v>
          </cell>
        </row>
        <row r="579">
          <cell r="A579">
            <v>578</v>
          </cell>
          <cell r="B579" t="str">
            <v>HOUGAERTS Joseph &amp; Georges</v>
          </cell>
          <cell r="C579" t="str">
            <v>Hougaerts Joseph</v>
          </cell>
          <cell r="D579" t="str">
            <v>Geassocieerd Notaris</v>
          </cell>
          <cell r="E579" t="str">
            <v>de Tieckenstraat</v>
          </cell>
          <cell r="F579" t="str">
            <v>7</v>
          </cell>
          <cell r="G579" t="str">
            <v/>
          </cell>
          <cell r="H579" t="str">
            <v>3700</v>
          </cell>
          <cell r="I579" t="str">
            <v>Limburg</v>
          </cell>
          <cell r="K579" t="str">
            <v>Tongeren</v>
          </cell>
          <cell r="M579" t="str">
            <v>M</v>
          </cell>
          <cell r="O579" t="str">
            <v>012.23.10.22</v>
          </cell>
          <cell r="P579" t="str">
            <v>012.23.35.21</v>
          </cell>
          <cell r="Q579" t="str">
            <v>JOSEPH.HOUGAERTS@NOTARIS.BE</v>
          </cell>
          <cell r="R579">
            <v>331</v>
          </cell>
        </row>
        <row r="580">
          <cell r="A580">
            <v>579</v>
          </cell>
          <cell r="B580" t="str">
            <v>HOUMARD Fabienne</v>
          </cell>
          <cell r="C580" t="str">
            <v>HOUMARD Fabienne</v>
          </cell>
          <cell r="D580" t="str">
            <v>Notaris</v>
          </cell>
          <cell r="E580" t="str">
            <v>rue de Biber</v>
          </cell>
          <cell r="F580" t="str">
            <v>35</v>
          </cell>
          <cell r="G580" t="str">
            <v/>
          </cell>
          <cell r="H580" t="str">
            <v>4540</v>
          </cell>
          <cell r="I580" t="str">
            <v>Liège</v>
          </cell>
          <cell r="K580" t="str">
            <v>Amay</v>
          </cell>
          <cell r="M580" t="str">
            <v>Vr</v>
          </cell>
          <cell r="O580" t="str">
            <v>085.31.33.44</v>
          </cell>
          <cell r="P580" t="str">
            <v>085.31.57.07</v>
          </cell>
          <cell r="Q580" t="str">
            <v>fabienne.houmard@notaire.be</v>
          </cell>
          <cell r="R580">
            <v>3546</v>
          </cell>
        </row>
        <row r="581">
          <cell r="A581">
            <v>580</v>
          </cell>
          <cell r="B581" t="str">
            <v>HUBIN Michel</v>
          </cell>
          <cell r="C581" t="str">
            <v>HUBIN Michel</v>
          </cell>
          <cell r="D581" t="str">
            <v>Notaris</v>
          </cell>
          <cell r="E581" t="str">
            <v>Boulevard Piercot</v>
          </cell>
          <cell r="F581" t="str">
            <v>33</v>
          </cell>
          <cell r="G581" t="str">
            <v>bte 34</v>
          </cell>
          <cell r="H581" t="str">
            <v>4000</v>
          </cell>
          <cell r="I581" t="str">
            <v>Liège</v>
          </cell>
          <cell r="K581" t="str">
            <v>Liège</v>
          </cell>
          <cell r="M581" t="str">
            <v>M</v>
          </cell>
          <cell r="O581" t="str">
            <v>04.223.66.36</v>
          </cell>
          <cell r="P581" t="str">
            <v>04.222.42.13</v>
          </cell>
          <cell r="Q581" t="str">
            <v>MICHEL.HUBIN@NOTAIRE.BE</v>
          </cell>
          <cell r="R581">
            <v>3445</v>
          </cell>
        </row>
        <row r="582">
          <cell r="A582">
            <v>581</v>
          </cell>
          <cell r="B582" t="str">
            <v>Ledoux Jean-Luc &amp; Hugard Patrick</v>
          </cell>
          <cell r="C582" t="str">
            <v>Hugard Patrick</v>
          </cell>
          <cell r="D582" t="str">
            <v>Geassocieerd Notaris</v>
          </cell>
          <cell r="E582" t="str">
            <v>Rue du Cadastre</v>
          </cell>
          <cell r="F582" t="str">
            <v>45</v>
          </cell>
          <cell r="G582" t="str">
            <v/>
          </cell>
          <cell r="H582" t="str">
            <v>5060</v>
          </cell>
          <cell r="I582" t="str">
            <v>Namur</v>
          </cell>
          <cell r="K582" t="str">
            <v>Tamines</v>
          </cell>
          <cell r="M582" t="str">
            <v>M</v>
          </cell>
          <cell r="O582" t="str">
            <v>071.77.12.91</v>
          </cell>
          <cell r="P582" t="str">
            <v>071.76.03.49</v>
          </cell>
          <cell r="Q582" t="str">
            <v>JEANLUC.LEDOUX@NOTAIRE.BE</v>
          </cell>
          <cell r="R582">
            <v>15</v>
          </cell>
          <cell r="T582">
            <v>38420</v>
          </cell>
        </row>
        <row r="583">
          <cell r="A583">
            <v>582</v>
          </cell>
          <cell r="B583" t="str">
            <v>MOTTARD Bruno &amp; HUGE Aline</v>
          </cell>
          <cell r="C583" t="str">
            <v>Hugé Aline</v>
          </cell>
          <cell r="D583" t="str">
            <v>Geassocieerd Notaris</v>
          </cell>
          <cell r="E583" t="str">
            <v>Boulevard d´Avroy</v>
          </cell>
          <cell r="F583" t="str">
            <v>7C</v>
          </cell>
          <cell r="G583" t="str">
            <v/>
          </cell>
          <cell r="H583" t="str">
            <v>4000</v>
          </cell>
          <cell r="I583" t="str">
            <v>Liège</v>
          </cell>
          <cell r="K583" t="str">
            <v>Liège</v>
          </cell>
          <cell r="M583" t="str">
            <v>Vr</v>
          </cell>
          <cell r="O583" t="str">
            <v>04.232.19.27</v>
          </cell>
          <cell r="P583" t="str">
            <v>04.232.17.57</v>
          </cell>
          <cell r="Q583" t="str">
            <v>aline.huge@notaire.be</v>
          </cell>
          <cell r="R583">
            <v>3253</v>
          </cell>
          <cell r="T583">
            <v>38321</v>
          </cell>
        </row>
        <row r="584">
          <cell r="A584">
            <v>583</v>
          </cell>
          <cell r="B584" t="str">
            <v>Jacques Hulsbosch, Notaris BVBA</v>
          </cell>
          <cell r="C584" t="str">
            <v>Hulsbosch Jacques</v>
          </cell>
          <cell r="D584" t="str">
            <v>Notaris</v>
          </cell>
          <cell r="E584" t="str">
            <v>Keistraat</v>
          </cell>
          <cell r="F584" t="str">
            <v>113</v>
          </cell>
          <cell r="G584" t="str">
            <v/>
          </cell>
          <cell r="H584" t="str">
            <v>9840</v>
          </cell>
          <cell r="I584" t="str">
            <v>Oost-Vlaanderen</v>
          </cell>
          <cell r="K584" t="str">
            <v>De Pinte</v>
          </cell>
          <cell r="M584" t="str">
            <v>M</v>
          </cell>
          <cell r="O584" t="str">
            <v>09.223.98.08</v>
          </cell>
          <cell r="P584" t="str">
            <v>09.223.20.34</v>
          </cell>
          <cell r="Q584" t="str">
            <v>JACQUES.HULSBOSCH@NOTARIS.BE</v>
          </cell>
          <cell r="R584">
            <v>3509</v>
          </cell>
          <cell r="S584" t="str">
            <v>068-2438598-45</v>
          </cell>
        </row>
        <row r="585">
          <cell r="A585">
            <v>584</v>
          </cell>
          <cell r="B585" t="str">
            <v>HUPPERTZ Edgar</v>
          </cell>
          <cell r="C585" t="str">
            <v>HUPPERTZ Edgar</v>
          </cell>
          <cell r="D585" t="str">
            <v>Notaris</v>
          </cell>
          <cell r="E585" t="str">
            <v>Bahnhofstrasse</v>
          </cell>
          <cell r="F585" t="str">
            <v>3</v>
          </cell>
          <cell r="G585" t="str">
            <v/>
          </cell>
          <cell r="H585" t="str">
            <v>4780</v>
          </cell>
          <cell r="I585" t="str">
            <v>Liège</v>
          </cell>
          <cell r="K585" t="str">
            <v>Sankt Vith</v>
          </cell>
          <cell r="M585" t="str">
            <v>M</v>
          </cell>
          <cell r="O585" t="str">
            <v>080.22.80.42</v>
          </cell>
          <cell r="P585" t="str">
            <v>080.22.92.88</v>
          </cell>
          <cell r="Q585" t="str">
            <v>EDGAR.HUPPERTZ@NOTAIRE.BE</v>
          </cell>
          <cell r="R585">
            <v>3131</v>
          </cell>
        </row>
        <row r="586">
          <cell r="A586">
            <v>585</v>
          </cell>
          <cell r="B586" t="str">
            <v>HUSSON Nathalie</v>
          </cell>
          <cell r="C586" t="str">
            <v>HUSSON Nathalie</v>
          </cell>
          <cell r="D586" t="str">
            <v>Notaris</v>
          </cell>
          <cell r="E586" t="str">
            <v>Avenue M. Meurée</v>
          </cell>
          <cell r="F586" t="str">
            <v>71</v>
          </cell>
          <cell r="G586" t="str">
            <v/>
          </cell>
          <cell r="H586" t="str">
            <v>6001</v>
          </cell>
          <cell r="I586" t="str">
            <v>Hainaut</v>
          </cell>
          <cell r="K586" t="str">
            <v>Marcinelle</v>
          </cell>
          <cell r="M586" t="str">
            <v>Vr</v>
          </cell>
          <cell r="O586" t="str">
            <v>071.36.13.97</v>
          </cell>
          <cell r="P586" t="str">
            <v>071.36.55.39</v>
          </cell>
          <cell r="Q586" t="str">
            <v>NATHALIE.HUSSON@NOTAIRE.BE</v>
          </cell>
          <cell r="R586">
            <v>3512</v>
          </cell>
        </row>
        <row r="587">
          <cell r="A587">
            <v>586</v>
          </cell>
          <cell r="B587" t="str">
            <v>HUSSON Yves</v>
          </cell>
          <cell r="C587" t="str">
            <v>HUSSON Yves</v>
          </cell>
          <cell r="D587" t="str">
            <v>Notaris</v>
          </cell>
          <cell r="E587" t="str">
            <v>Faubourg</v>
          </cell>
          <cell r="F587" t="str">
            <v>16</v>
          </cell>
          <cell r="G587" t="str">
            <v/>
          </cell>
          <cell r="H587" t="str">
            <v>6460</v>
          </cell>
          <cell r="I587" t="str">
            <v>Hainaut</v>
          </cell>
          <cell r="K587" t="str">
            <v>Chimay</v>
          </cell>
          <cell r="M587" t="str">
            <v>M</v>
          </cell>
          <cell r="O587" t="str">
            <v>060.21.12.01</v>
          </cell>
          <cell r="P587" t="str">
            <v>060.21.45.41</v>
          </cell>
          <cell r="Q587" t="str">
            <v>YVES.HUSSON@NOTAIRE.BE</v>
          </cell>
          <cell r="R587">
            <v>2465</v>
          </cell>
        </row>
        <row r="588">
          <cell r="A588">
            <v>587</v>
          </cell>
          <cell r="B588" t="str">
            <v>Notaris Bart Hutsebaut BVBA</v>
          </cell>
          <cell r="C588" t="str">
            <v>Hutsebaut Bart</v>
          </cell>
          <cell r="D588" t="str">
            <v>Notaris</v>
          </cell>
          <cell r="E588" t="str">
            <v>Durmelaan</v>
          </cell>
          <cell r="F588" t="str">
            <v>116</v>
          </cell>
          <cell r="G588" t="str">
            <v/>
          </cell>
          <cell r="H588" t="str">
            <v>9160</v>
          </cell>
          <cell r="I588" t="str">
            <v>Oost-Vlaanderen</v>
          </cell>
          <cell r="K588" t="str">
            <v>Lokeren</v>
          </cell>
          <cell r="M588" t="str">
            <v>M</v>
          </cell>
          <cell r="O588" t="str">
            <v>09.348.23.67</v>
          </cell>
          <cell r="P588" t="str">
            <v>09.349.21.13</v>
          </cell>
          <cell r="Q588" t="str">
            <v>BART.HUTSEBAUT@NOTARIS.BE</v>
          </cell>
          <cell r="R588">
            <v>3200</v>
          </cell>
          <cell r="S588" t="str">
            <v>443-3741661-89</v>
          </cell>
        </row>
        <row r="589">
          <cell r="A589">
            <v>588</v>
          </cell>
          <cell r="B589" t="str">
            <v>HUYBRECHS Gustaaf</v>
          </cell>
          <cell r="C589" t="str">
            <v>HUYBRECHS Gustaaf</v>
          </cell>
          <cell r="D589" t="str">
            <v>Notaris</v>
          </cell>
          <cell r="E589" t="str">
            <v>Kapelstraat</v>
          </cell>
          <cell r="F589" t="str">
            <v>90</v>
          </cell>
          <cell r="G589" t="str">
            <v/>
          </cell>
          <cell r="H589" t="str">
            <v>2540</v>
          </cell>
          <cell r="I589" t="str">
            <v>Antwerpen</v>
          </cell>
          <cell r="K589" t="str">
            <v>Hove</v>
          </cell>
          <cell r="M589" t="str">
            <v>M</v>
          </cell>
          <cell r="O589" t="str">
            <v>03.455.85.32</v>
          </cell>
          <cell r="P589" t="str">
            <v>03.454.05.69</v>
          </cell>
          <cell r="Q589" t="str">
            <v>GUSTAAF.HUYBRECHS@NOTARIS.BE</v>
          </cell>
          <cell r="R589">
            <v>1335</v>
          </cell>
        </row>
        <row r="590">
          <cell r="A590">
            <v>589</v>
          </cell>
          <cell r="B590" t="str">
            <v>HUYBRECHS Pierre</v>
          </cell>
          <cell r="C590" t="str">
            <v>HUYBRECHS Pierre</v>
          </cell>
          <cell r="D590" t="str">
            <v>Notaris</v>
          </cell>
          <cell r="E590" t="str">
            <v>Groenelaan</v>
          </cell>
          <cell r="F590" t="str">
            <v>30</v>
          </cell>
          <cell r="G590" t="str">
            <v/>
          </cell>
          <cell r="H590" t="str">
            <v>2830</v>
          </cell>
          <cell r="I590" t="str">
            <v>Antwerpen</v>
          </cell>
          <cell r="K590" t="str">
            <v>Willebroek</v>
          </cell>
          <cell r="M590" t="str">
            <v>M</v>
          </cell>
          <cell r="O590" t="str">
            <v>03.886.60.14</v>
          </cell>
          <cell r="P590" t="str">
            <v>03.886.56.38</v>
          </cell>
          <cell r="R590">
            <v>3480</v>
          </cell>
        </row>
        <row r="591">
          <cell r="A591">
            <v>590</v>
          </cell>
          <cell r="B591" t="str">
            <v>HUYGENS Filip</v>
          </cell>
          <cell r="C591" t="str">
            <v>HUYGENS Filip</v>
          </cell>
          <cell r="D591" t="str">
            <v>Notaris</v>
          </cell>
          <cell r="E591" t="str">
            <v>Veemarkt</v>
          </cell>
          <cell r="F591" t="str">
            <v>12</v>
          </cell>
          <cell r="G591" t="str">
            <v/>
          </cell>
          <cell r="H591" t="str">
            <v>2800</v>
          </cell>
          <cell r="I591" t="str">
            <v>Antwerpen</v>
          </cell>
          <cell r="K591" t="str">
            <v>Mechelen</v>
          </cell>
          <cell r="M591" t="str">
            <v>M</v>
          </cell>
          <cell r="O591" t="str">
            <v>015.28.75.40</v>
          </cell>
          <cell r="P591" t="str">
            <v>015.28.75.41</v>
          </cell>
          <cell r="Q591" t="str">
            <v>FILIP.HUYGENS@NOTARIS.BE</v>
          </cell>
          <cell r="R591">
            <v>3246</v>
          </cell>
        </row>
        <row r="592">
          <cell r="A592">
            <v>591</v>
          </cell>
          <cell r="B592" t="str">
            <v>HUYLEBROUCK Christian</v>
          </cell>
          <cell r="C592" t="str">
            <v>HUYLEBROUCK Christian</v>
          </cell>
          <cell r="D592" t="str">
            <v>Notaris</v>
          </cell>
          <cell r="E592" t="str">
            <v>Boulevard du Régentlaan</v>
          </cell>
          <cell r="F592" t="str">
            <v>24</v>
          </cell>
          <cell r="G592" t="str">
            <v>bte 8</v>
          </cell>
          <cell r="H592" t="str">
            <v>1000</v>
          </cell>
          <cell r="I592" t="str">
            <v>Bruxelles</v>
          </cell>
          <cell r="K592" t="str">
            <v>Bruxelles</v>
          </cell>
          <cell r="M592" t="str">
            <v>M</v>
          </cell>
          <cell r="O592" t="str">
            <v>02.513.83.45</v>
          </cell>
          <cell r="P592" t="str">
            <v>02.513.90.36</v>
          </cell>
          <cell r="Q592" t="str">
            <v>CHRISTIAN.HUYLEBROUCK@NOTAIRE.BE</v>
          </cell>
          <cell r="R592">
            <v>3089</v>
          </cell>
        </row>
        <row r="593">
          <cell r="A593">
            <v>592</v>
          </cell>
          <cell r="B593" t="str">
            <v>IDE Maurice</v>
          </cell>
          <cell r="C593" t="str">
            <v>IDE Maurice</v>
          </cell>
          <cell r="D593" t="str">
            <v>Notaris</v>
          </cell>
          <cell r="E593" t="str">
            <v>Slangstraat</v>
          </cell>
          <cell r="F593" t="str">
            <v>1</v>
          </cell>
          <cell r="G593" t="str">
            <v/>
          </cell>
          <cell r="H593" t="str">
            <v>9220</v>
          </cell>
          <cell r="I593" t="str">
            <v>Oost-Vlaanderen</v>
          </cell>
          <cell r="K593" t="str">
            <v>Hamme O.-Vl.)</v>
          </cell>
          <cell r="M593" t="str">
            <v>M</v>
          </cell>
          <cell r="O593" t="str">
            <v>052.48.43.13</v>
          </cell>
          <cell r="P593" t="str">
            <v>052.47.76.00</v>
          </cell>
          <cell r="Q593" t="str">
            <v>MAURICE.IDE@NOTARIS.BE</v>
          </cell>
          <cell r="R593">
            <v>2988</v>
          </cell>
        </row>
        <row r="594">
          <cell r="A594">
            <v>593</v>
          </cell>
          <cell r="B594" t="str">
            <v>IMPE Pierre</v>
          </cell>
          <cell r="C594" t="str">
            <v>IMPE Pierre</v>
          </cell>
          <cell r="D594" t="str">
            <v>Notaris</v>
          </cell>
          <cell r="E594" t="str">
            <v>Babbelaarstraat</v>
          </cell>
          <cell r="F594" t="str">
            <v>21</v>
          </cell>
          <cell r="G594" t="str">
            <v/>
          </cell>
          <cell r="H594" t="str">
            <v>8970</v>
          </cell>
          <cell r="I594" t="str">
            <v>West-Vlaanderen</v>
          </cell>
          <cell r="K594" t="str">
            <v>Poperinge</v>
          </cell>
          <cell r="L594">
            <v>15807</v>
          </cell>
          <cell r="M594" t="str">
            <v>M</v>
          </cell>
          <cell r="O594" t="str">
            <v>057.33.33.10</v>
          </cell>
          <cell r="P594" t="str">
            <v>057.33.84.50</v>
          </cell>
          <cell r="Q594" t="str">
            <v>PIERRE.IMPE@NOTARIS.BE</v>
          </cell>
          <cell r="R594">
            <v>334</v>
          </cell>
        </row>
        <row r="595">
          <cell r="A595">
            <v>594</v>
          </cell>
          <cell r="B595" t="str">
            <v>INDEKEU Anita</v>
          </cell>
          <cell r="C595" t="str">
            <v>INDEKEU Anita</v>
          </cell>
          <cell r="D595" t="str">
            <v>Notaris</v>
          </cell>
          <cell r="E595" t="str">
            <v>Maaseikerlaan</v>
          </cell>
          <cell r="F595" t="str">
            <v>30</v>
          </cell>
          <cell r="G595" t="str">
            <v/>
          </cell>
          <cell r="H595" t="str">
            <v>3680</v>
          </cell>
          <cell r="I595" t="str">
            <v>Limburg</v>
          </cell>
          <cell r="K595" t="str">
            <v>Maaseik</v>
          </cell>
          <cell r="M595" t="str">
            <v>Vr</v>
          </cell>
          <cell r="O595" t="str">
            <v>089.86.01.60</v>
          </cell>
          <cell r="P595" t="str">
            <v>089.86.01.61</v>
          </cell>
          <cell r="Q595" t="str">
            <v>ANITA.INDEKEU@NOTARIS.BE</v>
          </cell>
          <cell r="R595">
            <v>3193</v>
          </cell>
        </row>
        <row r="596">
          <cell r="A596">
            <v>595</v>
          </cell>
          <cell r="B596" t="str">
            <v>INDEKEU Bernard</v>
          </cell>
          <cell r="C596" t="str">
            <v>INDEKEU Bernard</v>
          </cell>
          <cell r="D596" t="str">
            <v>Notaris</v>
          </cell>
          <cell r="E596" t="str">
            <v>Nieuwstraat</v>
          </cell>
          <cell r="F596" t="str">
            <v>17</v>
          </cell>
          <cell r="G596" t="str">
            <v/>
          </cell>
          <cell r="H596" t="str">
            <v>3440</v>
          </cell>
          <cell r="I596" t="str">
            <v>Vlaams Brabant</v>
          </cell>
          <cell r="K596" t="str">
            <v>Zoutleeuw</v>
          </cell>
          <cell r="M596" t="str">
            <v>M</v>
          </cell>
          <cell r="O596" t="str">
            <v>011.78.93.10</v>
          </cell>
          <cell r="P596" t="str">
            <v>011.78.93.19</v>
          </cell>
          <cell r="Q596" t="str">
            <v>BERNARD.INDEKEU@NOTARIS.BE</v>
          </cell>
          <cell r="R596">
            <v>2934</v>
          </cell>
        </row>
        <row r="597">
          <cell r="A597">
            <v>596</v>
          </cell>
          <cell r="B597" t="str">
            <v>INDEKEU Bruno</v>
          </cell>
          <cell r="C597" t="str">
            <v>INDEKEU Bruno</v>
          </cell>
          <cell r="D597" t="str">
            <v>Notaris</v>
          </cell>
          <cell r="E597" t="str">
            <v>Koning Leopoldlaan</v>
          </cell>
          <cell r="F597" t="str">
            <v>23</v>
          </cell>
          <cell r="G597" t="str">
            <v/>
          </cell>
          <cell r="H597" t="str">
            <v>3920</v>
          </cell>
          <cell r="I597" t="str">
            <v>Limburg</v>
          </cell>
          <cell r="K597" t="str">
            <v>Lommel</v>
          </cell>
          <cell r="M597" t="str">
            <v>M</v>
          </cell>
          <cell r="O597" t="str">
            <v>011.54.40.19</v>
          </cell>
          <cell r="P597" t="str">
            <v>011.54.59.30</v>
          </cell>
          <cell r="Q597" t="str">
            <v>BRUNO.INDEKEU@NOTARIS.BE</v>
          </cell>
          <cell r="R597">
            <v>2791</v>
          </cell>
        </row>
        <row r="598">
          <cell r="A598">
            <v>597</v>
          </cell>
          <cell r="B598" t="str">
            <v>INDEKEU Gérard</v>
          </cell>
          <cell r="C598" t="str">
            <v>INDEKEU Gérard</v>
          </cell>
          <cell r="D598" t="str">
            <v>Notaris</v>
          </cell>
          <cell r="E598" t="str">
            <v>Avenue Louise</v>
          </cell>
          <cell r="F598" t="str">
            <v>126</v>
          </cell>
          <cell r="G598" t="str">
            <v/>
          </cell>
          <cell r="H598" t="str">
            <v>1050</v>
          </cell>
          <cell r="I598" t="str">
            <v>Bruxelles</v>
          </cell>
          <cell r="K598" t="str">
            <v>Bruxelles</v>
          </cell>
          <cell r="M598" t="str">
            <v>M</v>
          </cell>
          <cell r="O598" t="str">
            <v>02.647.32.80</v>
          </cell>
          <cell r="P598" t="str">
            <v>02.649.28.43</v>
          </cell>
          <cell r="Q598" t="str">
            <v>GERARD.INDEKEU@NOTAIRE.BE</v>
          </cell>
          <cell r="R598">
            <v>2914</v>
          </cell>
        </row>
        <row r="599">
          <cell r="A599">
            <v>598</v>
          </cell>
          <cell r="B599" t="str">
            <v>INDEKEU Jean-Luc</v>
          </cell>
          <cell r="C599" t="str">
            <v>INDEKEU Jean-Luc</v>
          </cell>
          <cell r="D599" t="str">
            <v>Notaris</v>
          </cell>
          <cell r="E599" t="str">
            <v>Rue du Congrèsstraat</v>
          </cell>
          <cell r="F599" t="str">
            <v>11</v>
          </cell>
          <cell r="G599" t="str">
            <v/>
          </cell>
          <cell r="H599" t="str">
            <v>1000</v>
          </cell>
          <cell r="I599" t="str">
            <v>Bruxelles</v>
          </cell>
          <cell r="K599" t="str">
            <v>Bruxelles</v>
          </cell>
          <cell r="M599" t="str">
            <v>M</v>
          </cell>
          <cell r="O599" t="str">
            <v>02.219.11.14</v>
          </cell>
          <cell r="P599" t="str">
            <v>02.219.65.51</v>
          </cell>
          <cell r="Q599" t="str">
            <v>JEANLUC.INDEKEU@NOTAIRE.BE</v>
          </cell>
          <cell r="R599">
            <v>2555</v>
          </cell>
        </row>
        <row r="600">
          <cell r="A600">
            <v>599</v>
          </cell>
          <cell r="B600" t="str">
            <v>INGEVELD Bernadette &amp; OTTE Jérôme</v>
          </cell>
          <cell r="C600" t="str">
            <v>IngeveldJourde Bernadette</v>
          </cell>
          <cell r="D600" t="str">
            <v>Geassocieerd Notaris</v>
          </cell>
          <cell r="E600" t="str">
            <v>rue de l´Abbaye</v>
          </cell>
          <cell r="F600" t="str">
            <v>54</v>
          </cell>
          <cell r="G600" t="str">
            <v/>
          </cell>
          <cell r="H600" t="str">
            <v>1050</v>
          </cell>
          <cell r="I600" t="str">
            <v>Bruxelles</v>
          </cell>
          <cell r="K600" t="str">
            <v>Bruxelles</v>
          </cell>
          <cell r="M600" t="str">
            <v>Vr</v>
          </cell>
          <cell r="O600" t="str">
            <v>02.340.00.20</v>
          </cell>
          <cell r="P600" t="str">
            <v>02.343.05.23</v>
          </cell>
          <cell r="Q600" t="str">
            <v>BERNADETTE.INGEVELD-JOURDE@NOTAIRE.BE</v>
          </cell>
          <cell r="R600">
            <v>2544</v>
          </cell>
        </row>
        <row r="601">
          <cell r="A601">
            <v>600</v>
          </cell>
          <cell r="B601" t="str">
            <v>ISTAS Jacques</v>
          </cell>
          <cell r="C601" t="str">
            <v>ISTAS Jacques</v>
          </cell>
          <cell r="D601" t="str">
            <v>Notaris</v>
          </cell>
          <cell r="E601" t="str">
            <v>Turnhoutsebaan</v>
          </cell>
          <cell r="F601" t="str">
            <v>250</v>
          </cell>
          <cell r="G601" t="str">
            <v/>
          </cell>
          <cell r="H601" t="str">
            <v>2970</v>
          </cell>
          <cell r="I601" t="str">
            <v>Antwerpen</v>
          </cell>
          <cell r="K601" t="str">
            <v>Schilde</v>
          </cell>
          <cell r="M601" t="str">
            <v>M</v>
          </cell>
          <cell r="O601" t="str">
            <v>03.383.04.52</v>
          </cell>
          <cell r="P601" t="str">
            <v>03.383.52.00</v>
          </cell>
          <cell r="Q601" t="str">
            <v>JACQUES.ISTAS@NOTARIS.BE</v>
          </cell>
          <cell r="R601">
            <v>2443</v>
          </cell>
        </row>
        <row r="602">
          <cell r="A602">
            <v>601</v>
          </cell>
          <cell r="B602" t="str">
            <v>JACMIN Edouard</v>
          </cell>
          <cell r="C602" t="str">
            <v>JACMIN Edouard</v>
          </cell>
          <cell r="D602" t="str">
            <v>Notaris</v>
          </cell>
          <cell r="E602" t="str">
            <v>Rue de la Grande Couture</v>
          </cell>
          <cell r="F602" t="str">
            <v>2</v>
          </cell>
          <cell r="G602" t="str">
            <v/>
          </cell>
          <cell r="H602" t="str">
            <v>7522</v>
          </cell>
          <cell r="I602" t="str">
            <v>Hainaut</v>
          </cell>
          <cell r="K602" t="str">
            <v>Marquain</v>
          </cell>
          <cell r="M602" t="str">
            <v>M</v>
          </cell>
          <cell r="O602" t="str">
            <v>069.64.65.00</v>
          </cell>
          <cell r="P602" t="str">
            <v>069.64.99.33</v>
          </cell>
          <cell r="Q602" t="str">
            <v>EDOUARD.JACMIN@NOTAIRE.BE</v>
          </cell>
          <cell r="R602">
            <v>2719</v>
          </cell>
        </row>
        <row r="603">
          <cell r="A603">
            <v>602</v>
          </cell>
          <cell r="B603" t="str">
            <v>JACOBS Eric</v>
          </cell>
          <cell r="C603" t="str">
            <v>JACOBS Eric</v>
          </cell>
          <cell r="D603" t="str">
            <v>Notaris</v>
          </cell>
          <cell r="E603" t="str">
            <v>rue des Sablons</v>
          </cell>
          <cell r="F603" t="str">
            <v>13</v>
          </cell>
          <cell r="G603" t="str">
            <v/>
          </cell>
          <cell r="H603" t="str">
            <v>1000</v>
          </cell>
          <cell r="I603" t="str">
            <v>Bruxelles</v>
          </cell>
          <cell r="K603" t="str">
            <v>Bruxelles</v>
          </cell>
          <cell r="M603" t="str">
            <v>M</v>
          </cell>
          <cell r="O603" t="str">
            <v>02.512.15.32</v>
          </cell>
          <cell r="P603" t="str">
            <v>02.513.23.37</v>
          </cell>
          <cell r="Q603" t="str">
            <v>ERIC.JACOBS@NOTAIRE.BE</v>
          </cell>
          <cell r="R603">
            <v>3384</v>
          </cell>
        </row>
        <row r="604">
          <cell r="A604">
            <v>603</v>
          </cell>
          <cell r="B604" t="str">
            <v>JACQUES Bénédicte</v>
          </cell>
          <cell r="C604" t="str">
            <v>JACQUES Bénédicte</v>
          </cell>
          <cell r="D604" t="str">
            <v>Notaris</v>
          </cell>
          <cell r="E604" t="str">
            <v>rue Félix Defays</v>
          </cell>
          <cell r="F604" t="str">
            <v>13</v>
          </cell>
          <cell r="G604" t="str">
            <v/>
          </cell>
          <cell r="H604" t="str">
            <v>4860</v>
          </cell>
          <cell r="I604" t="str">
            <v>Liège</v>
          </cell>
          <cell r="K604" t="str">
            <v>Pepinster</v>
          </cell>
          <cell r="M604" t="str">
            <v>Vr</v>
          </cell>
          <cell r="O604" t="str">
            <v>087.46.02.51</v>
          </cell>
          <cell r="P604" t="str">
            <v>087.46.16.51</v>
          </cell>
          <cell r="Q604" t="str">
            <v>BENEDICTE.JACQUES@NOTAIRE.BE</v>
          </cell>
          <cell r="R604">
            <v>3335</v>
          </cell>
        </row>
        <row r="605">
          <cell r="A605">
            <v>604</v>
          </cell>
          <cell r="B605" t="str">
            <v>JACQUES &amp; GAUTHY</v>
          </cell>
          <cell r="C605" t="str">
            <v>Jacques Olivier</v>
          </cell>
          <cell r="D605" t="str">
            <v>Geassocieerd Notaris</v>
          </cell>
          <cell r="E605" t="str">
            <v>Hoyoux</v>
          </cell>
          <cell r="F605" t="str">
            <v>87</v>
          </cell>
          <cell r="G605" t="str">
            <v/>
          </cell>
          <cell r="H605" t="str">
            <v>4040</v>
          </cell>
          <cell r="I605" t="str">
            <v>Liège</v>
          </cell>
          <cell r="K605" t="str">
            <v>Herstal</v>
          </cell>
          <cell r="M605" t="str">
            <v>M</v>
          </cell>
          <cell r="O605" t="str">
            <v>04/248.11.88</v>
          </cell>
          <cell r="P605" t="str">
            <v>04/248.05.12</v>
          </cell>
          <cell r="Q605" t="str">
            <v>olivier.jacques@notaire.be</v>
          </cell>
          <cell r="R605">
            <v>3656</v>
          </cell>
          <cell r="T605">
            <v>38665</v>
          </cell>
        </row>
        <row r="606">
          <cell r="A606">
            <v>605</v>
          </cell>
          <cell r="B606" t="str">
            <v>JACQUES Robert</v>
          </cell>
          <cell r="C606" t="str">
            <v>JACQUES Robert</v>
          </cell>
          <cell r="D606" t="str">
            <v>Notaris</v>
          </cell>
          <cell r="E606" t="str">
            <v>Rue de la Bienfaisance</v>
          </cell>
          <cell r="F606" t="str">
            <v>7</v>
          </cell>
          <cell r="G606" t="str">
            <v/>
          </cell>
          <cell r="H606" t="str">
            <v>7800</v>
          </cell>
          <cell r="I606" t="str">
            <v>Hainaut</v>
          </cell>
          <cell r="K606" t="str">
            <v>Ath</v>
          </cell>
          <cell r="M606" t="str">
            <v>M</v>
          </cell>
          <cell r="O606" t="str">
            <v>068.28.21.61</v>
          </cell>
          <cell r="P606" t="str">
            <v>068.28.75.46</v>
          </cell>
          <cell r="Q606" t="str">
            <v>robert.jacques@belnot.be</v>
          </cell>
          <cell r="R606">
            <v>3107</v>
          </cell>
        </row>
        <row r="607">
          <cell r="A607">
            <v>606</v>
          </cell>
          <cell r="B607" t="str">
            <v>JACQUET Michel</v>
          </cell>
          <cell r="C607" t="str">
            <v>JACQUET Michel</v>
          </cell>
          <cell r="D607" t="str">
            <v>Notaris</v>
          </cell>
          <cell r="E607" t="str">
            <v>Chaussée de l´Ourthe</v>
          </cell>
          <cell r="F607" t="str">
            <v>96</v>
          </cell>
          <cell r="G607" t="str">
            <v/>
          </cell>
          <cell r="H607" t="str">
            <v>6900</v>
          </cell>
          <cell r="I607" t="str">
            <v>Luxembourg</v>
          </cell>
          <cell r="K607" t="str">
            <v>Marche-en-Famenne</v>
          </cell>
          <cell r="M607" t="str">
            <v>M</v>
          </cell>
          <cell r="O607" t="str">
            <v>084.31.17.39</v>
          </cell>
          <cell r="P607" t="str">
            <v>084.31.29.70</v>
          </cell>
          <cell r="Q607" t="str">
            <v>MICHEL.JACQUET@NOTAIRE.BE</v>
          </cell>
          <cell r="R607">
            <v>3386</v>
          </cell>
        </row>
        <row r="608">
          <cell r="A608">
            <v>607</v>
          </cell>
          <cell r="B608" t="str">
            <v>JACQUET Philippe</v>
          </cell>
          <cell r="C608" t="str">
            <v>JACQUET Philippe</v>
          </cell>
          <cell r="D608" t="str">
            <v>Notaris</v>
          </cell>
          <cell r="E608" t="str">
            <v>ch. d´Haecht</v>
          </cell>
          <cell r="F608" t="str">
            <v>831</v>
          </cell>
          <cell r="G608" t="str">
            <v>bte 1</v>
          </cell>
          <cell r="H608" t="str">
            <v>1140</v>
          </cell>
          <cell r="I608" t="str">
            <v>Bruxelles</v>
          </cell>
          <cell r="K608" t="str">
            <v>Bruxelles</v>
          </cell>
          <cell r="M608" t="str">
            <v>M</v>
          </cell>
          <cell r="O608" t="str">
            <v>02.215.84.02</v>
          </cell>
          <cell r="P608" t="str">
            <v>02.241.13.85</v>
          </cell>
          <cell r="Q608" t="str">
            <v>PHILIPPE.JACQUET@NOTAIRE.BE</v>
          </cell>
          <cell r="R608">
            <v>2572</v>
          </cell>
        </row>
        <row r="609">
          <cell r="A609">
            <v>608</v>
          </cell>
          <cell r="B609" t="str">
            <v>de LAMINNE de BEX Olivier &amp; JADIN Catherine</v>
          </cell>
          <cell r="C609" t="str">
            <v>JADIN Catherine</v>
          </cell>
          <cell r="D609" t="str">
            <v>Geassocieerd Notaris</v>
          </cell>
          <cell r="E609" t="str">
            <v>Avenue Edmond Leburton</v>
          </cell>
          <cell r="F609" t="str">
            <v>29</v>
          </cell>
          <cell r="G609" t="str">
            <v/>
          </cell>
          <cell r="H609" t="str">
            <v>4300</v>
          </cell>
          <cell r="I609" t="str">
            <v>Liège</v>
          </cell>
          <cell r="K609" t="str">
            <v>Waremme</v>
          </cell>
          <cell r="M609" t="str">
            <v>Vr</v>
          </cell>
          <cell r="O609" t="str">
            <v>019.32.29.10</v>
          </cell>
          <cell r="P609" t="str">
            <v>019.33.01.53</v>
          </cell>
          <cell r="Q609" t="str">
            <v>OLIVIER.DELAMINNEDEBEX@NOTAIRE.BE</v>
          </cell>
          <cell r="R609">
            <v>3121</v>
          </cell>
          <cell r="T609">
            <v>38342</v>
          </cell>
        </row>
        <row r="610">
          <cell r="A610">
            <v>609</v>
          </cell>
          <cell r="B610" t="str">
            <v>LENAERTS &amp; JADOUL</v>
          </cell>
          <cell r="C610" t="str">
            <v>Jadoul Alexandra</v>
          </cell>
          <cell r="D610" t="str">
            <v>Geassocieerd Notaris</v>
          </cell>
          <cell r="E610" t="str">
            <v>Duisburgsesteenweg</v>
          </cell>
          <cell r="F610" t="str">
            <v>18</v>
          </cell>
          <cell r="G610" t="str">
            <v/>
          </cell>
          <cell r="H610" t="str">
            <v>3080</v>
          </cell>
          <cell r="I610" t="str">
            <v>Vlaams Brabant</v>
          </cell>
          <cell r="K610" t="str">
            <v>Tervuren</v>
          </cell>
          <cell r="M610" t="str">
            <v>Vr</v>
          </cell>
          <cell r="O610" t="str">
            <v>02.767.31.67.</v>
          </cell>
          <cell r="P610" t="str">
            <v>02.767.75.60.</v>
          </cell>
          <cell r="Q610" t="str">
            <v>alexandra.jadoul@notaris.be</v>
          </cell>
          <cell r="R610">
            <v>3667</v>
          </cell>
        </row>
        <row r="611">
          <cell r="A611">
            <v>610</v>
          </cell>
          <cell r="B611" t="str">
            <v>JADOUL Louis</v>
          </cell>
          <cell r="C611" t="str">
            <v>JADOUL Louis</v>
          </cell>
          <cell r="D611" t="str">
            <v>Notaris</v>
          </cell>
          <cell r="E611" t="str">
            <v>Boulevard Ernest Mélot</v>
          </cell>
          <cell r="F611" t="str">
            <v>16</v>
          </cell>
          <cell r="G611" t="str">
            <v/>
          </cell>
          <cell r="H611" t="str">
            <v>5000</v>
          </cell>
          <cell r="I611" t="str">
            <v>Namur</v>
          </cell>
          <cell r="K611" t="str">
            <v>Namur</v>
          </cell>
          <cell r="M611" t="str">
            <v>M</v>
          </cell>
          <cell r="O611" t="str">
            <v>081.22.02.88</v>
          </cell>
          <cell r="P611" t="str">
            <v>081.23.18.16</v>
          </cell>
          <cell r="Q611" t="str">
            <v>LOUIS.JADOUL@NOTAIRE.BE</v>
          </cell>
          <cell r="R611">
            <v>3012</v>
          </cell>
        </row>
        <row r="612">
          <cell r="A612">
            <v>611</v>
          </cell>
          <cell r="B612" t="str">
            <v>JAGENEAU Emile</v>
          </cell>
          <cell r="C612" t="str">
            <v>JAGENEAU Emile</v>
          </cell>
          <cell r="D612" t="str">
            <v>Notaris</v>
          </cell>
          <cell r="E612" t="str">
            <v>Stationsstraat</v>
          </cell>
          <cell r="F612" t="str">
            <v>25</v>
          </cell>
          <cell r="G612" t="str">
            <v/>
          </cell>
          <cell r="H612" t="str">
            <v>3590</v>
          </cell>
          <cell r="I612" t="str">
            <v>Limburg</v>
          </cell>
          <cell r="K612" t="str">
            <v>Diepenbeek</v>
          </cell>
          <cell r="M612" t="str">
            <v>M</v>
          </cell>
          <cell r="O612" t="str">
            <v>011.32.30.27</v>
          </cell>
          <cell r="P612" t="str">
            <v>011.33.23.16</v>
          </cell>
          <cell r="Q612" t="str">
            <v>EMILE.JAGENEAU@NOTARIS.BE</v>
          </cell>
          <cell r="R612">
            <v>2866</v>
          </cell>
        </row>
        <row r="613">
          <cell r="A613">
            <v>612</v>
          </cell>
          <cell r="B613" t="str">
            <v>JAKUBOWSKI Jean-Marie</v>
          </cell>
          <cell r="C613" t="str">
            <v>JAKUBOWSKI Jean-Marie</v>
          </cell>
          <cell r="D613" t="str">
            <v>Notaris</v>
          </cell>
          <cell r="E613" t="str">
            <v>Lascheterweg</v>
          </cell>
          <cell r="F613" t="str">
            <v>10</v>
          </cell>
          <cell r="G613" t="str">
            <v/>
          </cell>
          <cell r="H613" t="str">
            <v>4700</v>
          </cell>
          <cell r="I613" t="str">
            <v>Liège</v>
          </cell>
          <cell r="K613" t="str">
            <v>Eupen</v>
          </cell>
          <cell r="M613" t="str">
            <v>M</v>
          </cell>
          <cell r="O613" t="str">
            <v>087.74.20.63</v>
          </cell>
          <cell r="P613" t="str">
            <v>087.55.29.58</v>
          </cell>
          <cell r="Q613" t="str">
            <v>JEANMARIE.JAKUBOWSKI@NOTAIRE.BE</v>
          </cell>
          <cell r="R613">
            <v>3413</v>
          </cell>
        </row>
        <row r="614">
          <cell r="A614">
            <v>613</v>
          </cell>
          <cell r="B614" t="str">
            <v>JAMAR Olivier</v>
          </cell>
          <cell r="C614" t="str">
            <v>JAMAR Olivier</v>
          </cell>
          <cell r="D614" t="str">
            <v>Notaris</v>
          </cell>
          <cell r="E614" t="str">
            <v>rue Colleau</v>
          </cell>
          <cell r="F614" t="str">
            <v>13</v>
          </cell>
          <cell r="G614" t="str">
            <v/>
          </cell>
          <cell r="H614" t="str">
            <v>1325</v>
          </cell>
          <cell r="I614" t="str">
            <v>Brabant Wallon</v>
          </cell>
          <cell r="K614" t="str">
            <v>Chaumont-Gistoux</v>
          </cell>
          <cell r="M614" t="str">
            <v>M</v>
          </cell>
          <cell r="O614" t="str">
            <v>010.68.84.35</v>
          </cell>
          <cell r="P614" t="str">
            <v>010.68.98.40</v>
          </cell>
          <cell r="Q614" t="str">
            <v>OLIVIER.JAMAR@NOTAIRE.BE</v>
          </cell>
          <cell r="R614">
            <v>2949</v>
          </cell>
        </row>
        <row r="615">
          <cell r="A615">
            <v>614</v>
          </cell>
          <cell r="B615" t="str">
            <v>JAMART Marc</v>
          </cell>
          <cell r="C615" t="str">
            <v>JAMART Marc</v>
          </cell>
          <cell r="D615" t="str">
            <v>Notaris</v>
          </cell>
          <cell r="E615" t="str">
            <v>Hoogboomsteenweg</v>
          </cell>
          <cell r="F615" t="str">
            <v>194</v>
          </cell>
          <cell r="G615" t="str">
            <v/>
          </cell>
          <cell r="H615" t="str">
            <v>2950</v>
          </cell>
          <cell r="I615" t="str">
            <v>Antwerpen</v>
          </cell>
          <cell r="K615" t="str">
            <v>Kapellen Antwerpen)</v>
          </cell>
          <cell r="M615" t="str">
            <v>M</v>
          </cell>
          <cell r="O615" t="str">
            <v>03.605.49.36</v>
          </cell>
          <cell r="P615" t="str">
            <v>03.605.49.42</v>
          </cell>
          <cell r="Q615" t="str">
            <v>MARC.JAMART@NOTARIS.BE</v>
          </cell>
          <cell r="R615">
            <v>3155</v>
          </cell>
        </row>
        <row r="616">
          <cell r="A616">
            <v>615</v>
          </cell>
          <cell r="B616" t="str">
            <v>JANNE d´OTHEE Olivier</v>
          </cell>
          <cell r="C616" t="str">
            <v>JannedOthee Olivier</v>
          </cell>
          <cell r="D616" t="str">
            <v>Notaris</v>
          </cell>
          <cell r="E616" t="str">
            <v>Rue de la Gare</v>
          </cell>
          <cell r="F616" t="str">
            <v>24</v>
          </cell>
          <cell r="G616" t="str">
            <v/>
          </cell>
          <cell r="H616" t="str">
            <v>6980</v>
          </cell>
          <cell r="I616" t="str">
            <v>Luxembourg</v>
          </cell>
          <cell r="K616" t="str">
            <v>La Roche-en-Ardenne</v>
          </cell>
          <cell r="M616" t="str">
            <v>M</v>
          </cell>
          <cell r="O616" t="str">
            <v>084.41.11.07</v>
          </cell>
          <cell r="P616" t="str">
            <v>084.41.22.85</v>
          </cell>
          <cell r="Q616" t="str">
            <v>OLIVIER.JANNEDOTHEE@NOTAIRE.BE</v>
          </cell>
          <cell r="R616">
            <v>3537</v>
          </cell>
        </row>
        <row r="617">
          <cell r="A617">
            <v>616</v>
          </cell>
          <cell r="B617" t="str">
            <v>JANSEN &amp; WALLAYS BVBA</v>
          </cell>
          <cell r="C617" t="str">
            <v>Jansen Guy</v>
          </cell>
          <cell r="D617" t="str">
            <v>Geassocieerd Notaris</v>
          </cell>
          <cell r="E617" t="str">
            <v>Vaartstraat</v>
          </cell>
          <cell r="F617" t="str">
            <v>59</v>
          </cell>
          <cell r="G617" t="str">
            <v>bus 1</v>
          </cell>
          <cell r="H617" t="str">
            <v>3000</v>
          </cell>
          <cell r="I617" t="str">
            <v>Vlaams Brabant</v>
          </cell>
          <cell r="K617" t="str">
            <v>Leuven</v>
          </cell>
          <cell r="M617" t="str">
            <v>M</v>
          </cell>
          <cell r="O617" t="str">
            <v>016.22.18.47</v>
          </cell>
          <cell r="P617" t="str">
            <v>016.22.39.06</v>
          </cell>
          <cell r="Q617" t="str">
            <v>GUY.JANSEN@NOTARIS.BE</v>
          </cell>
          <cell r="R617">
            <v>3503</v>
          </cell>
        </row>
        <row r="618">
          <cell r="A618">
            <v>617</v>
          </cell>
          <cell r="B618" t="str">
            <v>Notaris Jan JANSEN</v>
          </cell>
          <cell r="C618" t="str">
            <v>Jansen Jan</v>
          </cell>
          <cell r="D618" t="str">
            <v>Notaris</v>
          </cell>
          <cell r="E618" t="str">
            <v>Boudewijnlaan</v>
          </cell>
          <cell r="F618" t="str">
            <v>41</v>
          </cell>
          <cell r="G618" t="str">
            <v/>
          </cell>
          <cell r="H618" t="str">
            <v>2220</v>
          </cell>
          <cell r="I618" t="str">
            <v>Antwerpen</v>
          </cell>
          <cell r="K618" t="str">
            <v>Heist-op-den-Berg</v>
          </cell>
          <cell r="M618" t="str">
            <v>M</v>
          </cell>
          <cell r="O618" t="str">
            <v>015.24.12.40</v>
          </cell>
          <cell r="P618" t="str">
            <v>015.24.98.91</v>
          </cell>
          <cell r="Q618" t="str">
            <v>JAN.JANSEN@NOTARIS.BE</v>
          </cell>
          <cell r="R618">
            <v>2428</v>
          </cell>
        </row>
        <row r="619">
          <cell r="A619">
            <v>618</v>
          </cell>
          <cell r="B619" t="str">
            <v>JANSEN Luc</v>
          </cell>
          <cell r="C619" t="str">
            <v>JANSEN Luc</v>
          </cell>
          <cell r="D619" t="str">
            <v>Notaris</v>
          </cell>
          <cell r="E619" t="str">
            <v>Tempelhof</v>
          </cell>
          <cell r="F619" t="str">
            <v>44</v>
          </cell>
          <cell r="G619" t="str">
            <v/>
          </cell>
          <cell r="H619" t="str">
            <v>9000</v>
          </cell>
          <cell r="I619" t="str">
            <v>Oost-Vlaanderen</v>
          </cell>
          <cell r="K619" t="str">
            <v>Gent</v>
          </cell>
          <cell r="M619" t="str">
            <v>M</v>
          </cell>
          <cell r="O619" t="str">
            <v>09.225.28.55</v>
          </cell>
          <cell r="P619" t="str">
            <v>09.223.91.48</v>
          </cell>
          <cell r="Q619" t="str">
            <v>LUC.JANSEN@NOTARIS.BE</v>
          </cell>
          <cell r="R619">
            <v>3535</v>
          </cell>
        </row>
        <row r="620">
          <cell r="A620">
            <v>619</v>
          </cell>
          <cell r="B620" t="str">
            <v>JANSEN Marc</v>
          </cell>
          <cell r="C620" t="str">
            <v>JANSEN Marc</v>
          </cell>
          <cell r="D620" t="str">
            <v>Notaris</v>
          </cell>
          <cell r="E620" t="str">
            <v>Diestersteenweg</v>
          </cell>
          <cell r="F620" t="str">
            <v>175</v>
          </cell>
          <cell r="G620" t="str">
            <v/>
          </cell>
          <cell r="H620" t="str">
            <v>3510</v>
          </cell>
          <cell r="I620" t="str">
            <v>Limburg</v>
          </cell>
          <cell r="K620" t="str">
            <v>Kermt Hasselt)</v>
          </cell>
          <cell r="M620" t="str">
            <v>M</v>
          </cell>
          <cell r="O620" t="str">
            <v>011.25.16.45</v>
          </cell>
          <cell r="P620" t="str">
            <v>011.87.11.52</v>
          </cell>
          <cell r="Q620" t="str">
            <v>MARC.JANSEN@NOTARIS.BE</v>
          </cell>
          <cell r="R620">
            <v>3100</v>
          </cell>
        </row>
        <row r="621">
          <cell r="A621">
            <v>620</v>
          </cell>
          <cell r="B621" t="str">
            <v>JANSEN Vincent</v>
          </cell>
          <cell r="C621" t="str">
            <v>JANSEN Vincent</v>
          </cell>
          <cell r="D621" t="str">
            <v>Notaris</v>
          </cell>
          <cell r="E621" t="str">
            <v>Rue d´Arlon</v>
          </cell>
          <cell r="F621" t="str">
            <v>72</v>
          </cell>
          <cell r="G621" t="str">
            <v>bte 2</v>
          </cell>
          <cell r="H621" t="str">
            <v>6760</v>
          </cell>
          <cell r="I621" t="str">
            <v>Luxembourg</v>
          </cell>
          <cell r="K621" t="str">
            <v>Virton</v>
          </cell>
          <cell r="M621" t="str">
            <v>M</v>
          </cell>
          <cell r="O621" t="str">
            <v>063.57.71.90</v>
          </cell>
          <cell r="P621" t="str">
            <v>063.58.19.12</v>
          </cell>
          <cell r="Q621" t="str">
            <v>VINCENT.JANSEN@NOTAIRE.BE</v>
          </cell>
          <cell r="R621">
            <v>2928</v>
          </cell>
        </row>
        <row r="622">
          <cell r="A622">
            <v>621</v>
          </cell>
          <cell r="B622" t="str">
            <v>JANSSEN Albert-Edouard</v>
          </cell>
          <cell r="C622" t="str">
            <v>JANSSEN Albert-Edouard</v>
          </cell>
          <cell r="D622" t="str">
            <v>Notaris</v>
          </cell>
          <cell r="E622" t="str">
            <v>Spiegelstraat</v>
          </cell>
          <cell r="F622" t="str">
            <v>12</v>
          </cell>
          <cell r="G622" t="str">
            <v/>
          </cell>
          <cell r="H622" t="str">
            <v>3300</v>
          </cell>
          <cell r="I622" t="str">
            <v>Vlaams Brabant</v>
          </cell>
          <cell r="K622" t="str">
            <v>Tienen</v>
          </cell>
          <cell r="M622" t="str">
            <v>M</v>
          </cell>
          <cell r="O622" t="str">
            <v>016.81.24.59</v>
          </cell>
          <cell r="P622" t="str">
            <v>016.81.65.14</v>
          </cell>
          <cell r="Q622" t="str">
            <v>ALBERT.JANSSEN@NOTARIS.BE</v>
          </cell>
          <cell r="R622">
            <v>3124</v>
          </cell>
        </row>
        <row r="623">
          <cell r="A623">
            <v>622</v>
          </cell>
          <cell r="B623" t="str">
            <v>JANSSEN Michaël</v>
          </cell>
          <cell r="C623" t="str">
            <v>JANSSEN Michaël</v>
          </cell>
          <cell r="D623" t="str">
            <v>Notaris</v>
          </cell>
          <cell r="E623" t="str">
            <v>Bieststraat</v>
          </cell>
          <cell r="F623" t="str">
            <v>62</v>
          </cell>
          <cell r="G623" t="str">
            <v/>
          </cell>
          <cell r="H623" t="str">
            <v>3360</v>
          </cell>
          <cell r="I623" t="str">
            <v>Vlaams Brabant</v>
          </cell>
          <cell r="K623" t="str">
            <v>Bierbeek</v>
          </cell>
          <cell r="M623" t="str">
            <v>M</v>
          </cell>
          <cell r="O623" t="str">
            <v>016.46.42.75</v>
          </cell>
          <cell r="P623" t="str">
            <v>016.46.42.77</v>
          </cell>
          <cell r="Q623" t="str">
            <v>MICHAEL.JANSSEN@NOTARIS.BE</v>
          </cell>
          <cell r="R623">
            <v>3403</v>
          </cell>
        </row>
        <row r="624">
          <cell r="A624">
            <v>623</v>
          </cell>
          <cell r="B624" t="str">
            <v>JANSSENS Eduard</v>
          </cell>
          <cell r="C624" t="str">
            <v>JANSSENS Eduard</v>
          </cell>
          <cell r="D624" t="str">
            <v>Notaris</v>
          </cell>
          <cell r="E624" t="str">
            <v>Marktplein</v>
          </cell>
          <cell r="F624" t="str">
            <v>90</v>
          </cell>
          <cell r="G624" t="str">
            <v/>
          </cell>
          <cell r="H624" t="str">
            <v>9520</v>
          </cell>
          <cell r="I624" t="str">
            <v>Oost-Vlaanderen</v>
          </cell>
          <cell r="K624" t="str">
            <v>Sint-Lievens-Houtem</v>
          </cell>
          <cell r="M624" t="str">
            <v>M</v>
          </cell>
          <cell r="O624" t="str">
            <v>053.62.64.22</v>
          </cell>
          <cell r="P624" t="str">
            <v>053.62.21.66</v>
          </cell>
          <cell r="Q624" t="str">
            <v>EDUARD.JANSSENS@NOTARIS.BE</v>
          </cell>
          <cell r="R624">
            <v>2958</v>
          </cell>
        </row>
        <row r="625">
          <cell r="A625">
            <v>624</v>
          </cell>
          <cell r="B625" t="str">
            <v>JANSSENS Georges</v>
          </cell>
          <cell r="C625" t="str">
            <v>JANSSENS Georges</v>
          </cell>
          <cell r="D625" t="str">
            <v>Notaris</v>
          </cell>
          <cell r="E625" t="str">
            <v>Hoogstraat</v>
          </cell>
          <cell r="F625" t="str">
            <v>27</v>
          </cell>
          <cell r="G625" t="str">
            <v/>
          </cell>
          <cell r="H625" t="str">
            <v>9220</v>
          </cell>
          <cell r="I625" t="str">
            <v>Oost-Vlaanderen</v>
          </cell>
          <cell r="K625" t="str">
            <v>Hamme O.-Vl.)</v>
          </cell>
          <cell r="M625" t="str">
            <v>M</v>
          </cell>
          <cell r="O625" t="str">
            <v>052.47.70.83</v>
          </cell>
          <cell r="P625" t="str">
            <v>052.47.13.46</v>
          </cell>
          <cell r="Q625" t="str">
            <v>GEORGES.JANSSENS@NOTARIS.BE</v>
          </cell>
          <cell r="R625">
            <v>2493</v>
          </cell>
          <cell r="S625" t="str">
            <v>000-0841694-25</v>
          </cell>
          <cell r="T625" t="str">
            <v>*1980</v>
          </cell>
        </row>
        <row r="626">
          <cell r="A626">
            <v>625</v>
          </cell>
          <cell r="B626" t="str">
            <v>JANSSENS Ilse</v>
          </cell>
          <cell r="C626" t="str">
            <v>JANSSENS Ilse</v>
          </cell>
          <cell r="D626" t="str">
            <v>Notaris</v>
          </cell>
          <cell r="E626" t="str">
            <v>Antwerpsesteenweg</v>
          </cell>
          <cell r="F626" t="str">
            <v>83</v>
          </cell>
          <cell r="G626" t="str">
            <v/>
          </cell>
          <cell r="H626" t="str">
            <v>2550</v>
          </cell>
          <cell r="I626" t="str">
            <v>Antwerpen</v>
          </cell>
          <cell r="K626" t="str">
            <v>Kontich</v>
          </cell>
          <cell r="M626" t="str">
            <v>Vr</v>
          </cell>
          <cell r="O626" t="str">
            <v>03.457.33.65</v>
          </cell>
          <cell r="P626" t="str">
            <v>03.457.76.59</v>
          </cell>
          <cell r="Q626" t="str">
            <v>ilse.janssens@belnot.be</v>
          </cell>
          <cell r="R626">
            <v>3197</v>
          </cell>
        </row>
        <row r="627">
          <cell r="A627">
            <v>626</v>
          </cell>
          <cell r="B627" t="str">
            <v>JANSSENS Jacques</v>
          </cell>
          <cell r="C627" t="str">
            <v>JANSSENS Jacques</v>
          </cell>
          <cell r="D627" t="str">
            <v>Notaris</v>
          </cell>
          <cell r="E627" t="str">
            <v>Grote steenweg</v>
          </cell>
          <cell r="F627" t="str">
            <v>167</v>
          </cell>
          <cell r="G627" t="str">
            <v/>
          </cell>
          <cell r="H627" t="str">
            <v>2600</v>
          </cell>
          <cell r="I627" t="str">
            <v>Antwerpen</v>
          </cell>
          <cell r="K627" t="str">
            <v>Berchem Antwerpen)</v>
          </cell>
          <cell r="M627" t="str">
            <v>M</v>
          </cell>
          <cell r="O627" t="str">
            <v>03.230.24.23</v>
          </cell>
          <cell r="P627" t="str">
            <v>03.230.25.15</v>
          </cell>
          <cell r="Q627" t="str">
            <v>JACQUES.JANSSENS@NOTARIS.BE</v>
          </cell>
          <cell r="R627">
            <v>2450</v>
          </cell>
        </row>
        <row r="628">
          <cell r="A628">
            <v>627</v>
          </cell>
          <cell r="B628" t="str">
            <v>LUC JANSSENS et BERNARD DOGOT</v>
          </cell>
          <cell r="C628" t="str">
            <v>Janssens Luc</v>
          </cell>
          <cell r="D628" t="str">
            <v>Geassocieerd Notaris</v>
          </cell>
          <cell r="E628" t="str">
            <v>Rue du Bas-Hameau</v>
          </cell>
          <cell r="F628" t="str">
            <v>11</v>
          </cell>
          <cell r="G628" t="str">
            <v/>
          </cell>
          <cell r="H628" t="str">
            <v>7760</v>
          </cell>
          <cell r="I628" t="str">
            <v>Hainaut</v>
          </cell>
          <cell r="K628" t="str">
            <v>Velaines</v>
          </cell>
          <cell r="M628" t="str">
            <v>M</v>
          </cell>
          <cell r="O628" t="str">
            <v>069.85.94.53</v>
          </cell>
          <cell r="P628" t="str">
            <v>069.85.99.51</v>
          </cell>
          <cell r="Q628" t="str">
            <v>LUC.JANSSENS@NOTAIRE.BE</v>
          </cell>
          <cell r="R628">
            <v>3611</v>
          </cell>
        </row>
        <row r="629">
          <cell r="A629">
            <v>628</v>
          </cell>
          <cell r="B629" t="str">
            <v>JEANDRAIN Fabienne</v>
          </cell>
          <cell r="C629" t="str">
            <v>JEANDRAIN Fabienne</v>
          </cell>
          <cell r="D629" t="str">
            <v>Notaris</v>
          </cell>
          <cell r="E629" t="str">
            <v>Chaussée d´Ivoz</v>
          </cell>
          <cell r="F629" t="str">
            <v>275</v>
          </cell>
          <cell r="G629" t="str">
            <v/>
          </cell>
          <cell r="H629" t="str">
            <v>4400</v>
          </cell>
          <cell r="I629" t="str">
            <v>Liège</v>
          </cell>
          <cell r="K629" t="str">
            <v>Ivoz-Ramet</v>
          </cell>
          <cell r="M629" t="str">
            <v>Vr</v>
          </cell>
          <cell r="O629" t="str">
            <v>04.337.02.77</v>
          </cell>
          <cell r="P629" t="str">
            <v>04.337.74.79</v>
          </cell>
          <cell r="Q629" t="str">
            <v>FABIENNE.JEANDRAIN@NOTAIRE.BE</v>
          </cell>
          <cell r="R629">
            <v>3545</v>
          </cell>
        </row>
        <row r="630">
          <cell r="A630">
            <v>629</v>
          </cell>
          <cell r="B630" t="str">
            <v>JEANGETTE Benoît</v>
          </cell>
          <cell r="C630" t="str">
            <v>JEANGETTE Benoît</v>
          </cell>
          <cell r="D630" t="str">
            <v>Notaris</v>
          </cell>
          <cell r="E630" t="str">
            <v>Rue des 600 Franchimontois</v>
          </cell>
          <cell r="F630" t="str">
            <v>10</v>
          </cell>
          <cell r="G630" t="str">
            <v/>
          </cell>
          <cell r="H630" t="str">
            <v>4821</v>
          </cell>
          <cell r="I630" t="str">
            <v>Liège</v>
          </cell>
          <cell r="K630" t="str">
            <v>Andrimont</v>
          </cell>
          <cell r="M630" t="str">
            <v>M</v>
          </cell>
          <cell r="O630" t="str">
            <v>087.33.00.63</v>
          </cell>
          <cell r="P630" t="str">
            <v>087.31.22.34</v>
          </cell>
          <cell r="Q630" t="str">
            <v>BENOIT.JEANGETTE@NOTAIRE.BE</v>
          </cell>
          <cell r="R630">
            <v>2968</v>
          </cell>
        </row>
        <row r="631">
          <cell r="A631">
            <v>630</v>
          </cell>
          <cell r="B631" t="str">
            <v>JEGHERS Jean-Louis</v>
          </cell>
          <cell r="C631" t="str">
            <v>JEGHERS Jean-Louis</v>
          </cell>
          <cell r="D631" t="str">
            <v>Notaris</v>
          </cell>
          <cell r="E631" t="str">
            <v>Mont Saint-Martin</v>
          </cell>
          <cell r="F631" t="str">
            <v>17</v>
          </cell>
          <cell r="G631" t="str">
            <v/>
          </cell>
          <cell r="H631" t="str">
            <v>4000</v>
          </cell>
          <cell r="I631" t="str">
            <v>Liège</v>
          </cell>
          <cell r="K631" t="str">
            <v>Liège</v>
          </cell>
          <cell r="M631" t="str">
            <v>M</v>
          </cell>
          <cell r="O631" t="str">
            <v>04.222.06.35</v>
          </cell>
          <cell r="P631" t="str">
            <v>04.223.54.98</v>
          </cell>
          <cell r="Q631" t="str">
            <v>JEANLOUIS.JEGHERS@NOTAIRE.BE</v>
          </cell>
          <cell r="R631">
            <v>895</v>
          </cell>
        </row>
        <row r="632">
          <cell r="A632">
            <v>631</v>
          </cell>
          <cell r="B632" t="str">
            <v>JENTGES Frédéric</v>
          </cell>
          <cell r="C632" t="str">
            <v>JENTGES Frédéric</v>
          </cell>
          <cell r="D632" t="str">
            <v>Notaris</v>
          </cell>
          <cell r="E632" t="str">
            <v>Avenue des Mésanges</v>
          </cell>
          <cell r="F632" t="str">
            <v>4</v>
          </cell>
          <cell r="G632" t="str">
            <v/>
          </cell>
          <cell r="H632" t="str">
            <v>1300</v>
          </cell>
          <cell r="I632" t="str">
            <v>Brabant Wallon</v>
          </cell>
          <cell r="K632" t="str">
            <v>Wavre</v>
          </cell>
          <cell r="M632" t="str">
            <v>M</v>
          </cell>
          <cell r="O632" t="str">
            <v>010.22.23.54</v>
          </cell>
          <cell r="P632" t="str">
            <v>010.24.13.42</v>
          </cell>
          <cell r="Q632" t="str">
            <v>frederic.jentges@notaire.be</v>
          </cell>
          <cell r="R632">
            <v>1181</v>
          </cell>
        </row>
        <row r="633">
          <cell r="A633">
            <v>632</v>
          </cell>
          <cell r="B633" t="str">
            <v>JOISTEN Pierre</v>
          </cell>
          <cell r="C633" t="str">
            <v>JOISTEN Pierre</v>
          </cell>
          <cell r="D633" t="str">
            <v>Notaris</v>
          </cell>
          <cell r="E633" t="str">
            <v>Chienrue</v>
          </cell>
          <cell r="F633" t="str">
            <v>3</v>
          </cell>
          <cell r="G633" t="str">
            <v/>
          </cell>
          <cell r="H633" t="str">
            <v>4990</v>
          </cell>
          <cell r="I633" t="str">
            <v>Liège</v>
          </cell>
          <cell r="K633" t="str">
            <v>Lierneux</v>
          </cell>
          <cell r="M633" t="str">
            <v>M</v>
          </cell>
          <cell r="O633" t="str">
            <v>080.31.98.61</v>
          </cell>
          <cell r="P633" t="str">
            <v>080.31.92.20</v>
          </cell>
          <cell r="Q633" t="str">
            <v>PIERRE.JOISTEN@NOTAIRE.BE</v>
          </cell>
          <cell r="R633">
            <v>3326</v>
          </cell>
        </row>
        <row r="634">
          <cell r="A634">
            <v>633</v>
          </cell>
          <cell r="B634" t="str">
            <v>JONNIAUX Constant</v>
          </cell>
          <cell r="C634" t="str">
            <v>JONNIAUX Constant</v>
          </cell>
          <cell r="D634" t="str">
            <v>Notaris</v>
          </cell>
          <cell r="E634" t="str">
            <v>Rue de Ville</v>
          </cell>
          <cell r="F634" t="str">
            <v>15</v>
          </cell>
          <cell r="G634" t="str">
            <v/>
          </cell>
          <cell r="H634" t="str">
            <v>7322</v>
          </cell>
          <cell r="I634" t="str">
            <v>Hainaut</v>
          </cell>
          <cell r="K634" t="str">
            <v>Pommeroeul</v>
          </cell>
          <cell r="M634" t="str">
            <v>M</v>
          </cell>
          <cell r="O634" t="str">
            <v>065.62.04.33</v>
          </cell>
          <cell r="P634" t="str">
            <v>065.62.39.49</v>
          </cell>
          <cell r="Q634" t="str">
            <v>CONSTANT.JONNIAUX@NOTAIRE.BE</v>
          </cell>
          <cell r="R634">
            <v>3145</v>
          </cell>
        </row>
        <row r="635">
          <cell r="A635">
            <v>634</v>
          </cell>
          <cell r="B635" t="str">
            <v>JORISSEN Frederik</v>
          </cell>
          <cell r="C635" t="str">
            <v>JORISSEN Frederik</v>
          </cell>
          <cell r="D635" t="str">
            <v>Notaris</v>
          </cell>
          <cell r="E635" t="str">
            <v>Jan Van Rijswijcklaan</v>
          </cell>
          <cell r="F635" t="str">
            <v>34</v>
          </cell>
          <cell r="G635" t="str">
            <v/>
          </cell>
          <cell r="H635" t="str">
            <v>2018</v>
          </cell>
          <cell r="I635" t="str">
            <v>Antwerpen</v>
          </cell>
          <cell r="K635" t="str">
            <v>Antwerpen</v>
          </cell>
          <cell r="M635" t="str">
            <v>M</v>
          </cell>
          <cell r="O635" t="str">
            <v>03.238.24.66</v>
          </cell>
          <cell r="P635" t="str">
            <v>03.216.08.90</v>
          </cell>
          <cell r="Q635" t="str">
            <v>FREDERIK.JORISSEN@NOTARIS.BE</v>
          </cell>
          <cell r="R635">
            <v>2497</v>
          </cell>
        </row>
        <row r="636">
          <cell r="A636">
            <v>635</v>
          </cell>
          <cell r="B636" t="str">
            <v>JUNGERS Ecuyer.Jean-Pierre</v>
          </cell>
          <cell r="C636" t="str">
            <v>Jungers Jean-Pierre</v>
          </cell>
          <cell r="D636" t="str">
            <v>Notaris</v>
          </cell>
          <cell r="E636" t="str">
            <v>Rue de l´Eglise</v>
          </cell>
          <cell r="F636" t="str">
            <v>19</v>
          </cell>
          <cell r="G636" t="str">
            <v>bte 1</v>
          </cell>
          <cell r="H636" t="str">
            <v>6820</v>
          </cell>
          <cell r="I636" t="str">
            <v>Luxembourg</v>
          </cell>
          <cell r="K636" t="str">
            <v>Florenville</v>
          </cell>
          <cell r="M636" t="str">
            <v>M</v>
          </cell>
          <cell r="O636" t="str">
            <v>061.31.16.95</v>
          </cell>
          <cell r="P636" t="str">
            <v>061.32.04.46</v>
          </cell>
          <cell r="Q636" t="str">
            <v>jeanpierre.jungers@belnot.be</v>
          </cell>
          <cell r="R636">
            <v>2623</v>
          </cell>
        </row>
        <row r="637">
          <cell r="A637">
            <v>636</v>
          </cell>
          <cell r="B637" t="str">
            <v>JUNIUS Filip</v>
          </cell>
          <cell r="C637" t="str">
            <v>JUNIUS Filip</v>
          </cell>
          <cell r="D637" t="str">
            <v>Notaris</v>
          </cell>
          <cell r="E637" t="str">
            <v>Berkenlaan</v>
          </cell>
          <cell r="F637" t="str">
            <v>1</v>
          </cell>
          <cell r="G637" t="str">
            <v/>
          </cell>
          <cell r="H637" t="str">
            <v>3500</v>
          </cell>
          <cell r="I637" t="str">
            <v>Limburg</v>
          </cell>
          <cell r="K637" t="str">
            <v>Hasselt</v>
          </cell>
          <cell r="M637" t="str">
            <v>M</v>
          </cell>
          <cell r="O637" t="str">
            <v>011.24.27.57</v>
          </cell>
          <cell r="P637" t="str">
            <v>011.24.32.64</v>
          </cell>
          <cell r="Q637" t="str">
            <v>FILIP.JUNIUS@NOTARIS.BE</v>
          </cell>
          <cell r="R637">
            <v>2967</v>
          </cell>
        </row>
        <row r="638">
          <cell r="A638">
            <v>637</v>
          </cell>
          <cell r="B638" t="str">
            <v>KASCHTEN Marc</v>
          </cell>
          <cell r="C638" t="str">
            <v>KASCHTEN Marc</v>
          </cell>
          <cell r="D638" t="str">
            <v>Notaris</v>
          </cell>
          <cell r="E638" t="str">
            <v>Rue de Campine</v>
          </cell>
          <cell r="F638" t="str">
            <v>42</v>
          </cell>
          <cell r="G638" t="str">
            <v/>
          </cell>
          <cell r="H638" t="str">
            <v>4000</v>
          </cell>
          <cell r="I638" t="str">
            <v>Liège</v>
          </cell>
          <cell r="K638" t="str">
            <v>Liège</v>
          </cell>
          <cell r="M638" t="str">
            <v>M</v>
          </cell>
          <cell r="O638" t="str">
            <v>04.226.09.10</v>
          </cell>
          <cell r="P638" t="str">
            <v>04.226.83.84</v>
          </cell>
          <cell r="Q638" t="str">
            <v>MARC.KASCHTEN@NOTAIRE.BE</v>
          </cell>
          <cell r="R638">
            <v>3154</v>
          </cell>
        </row>
        <row r="639">
          <cell r="A639">
            <v>638</v>
          </cell>
          <cell r="B639" t="str">
            <v>KEBERS Françoise</v>
          </cell>
          <cell r="C639" t="str">
            <v>KEBERS Françoise</v>
          </cell>
          <cell r="D639" t="str">
            <v>Notaris</v>
          </cell>
          <cell r="E639" t="str">
            <v>Avenue de Loudun</v>
          </cell>
          <cell r="F639" t="str">
            <v>24</v>
          </cell>
          <cell r="G639" t="str">
            <v/>
          </cell>
          <cell r="H639" t="str">
            <v>7900</v>
          </cell>
          <cell r="I639" t="str">
            <v>Hainaut</v>
          </cell>
          <cell r="K639" t="str">
            <v>Leuze-en-Hainaut</v>
          </cell>
          <cell r="M639" t="str">
            <v>Vr</v>
          </cell>
          <cell r="O639" t="str">
            <v>069.66.20.26</v>
          </cell>
          <cell r="P639" t="str">
            <v>069.67.02.30</v>
          </cell>
          <cell r="Q639" t="str">
            <v>FRANCOISE.KEBERS@NOTAIRE.BE</v>
          </cell>
          <cell r="R639">
            <v>2496</v>
          </cell>
        </row>
        <row r="640">
          <cell r="A640">
            <v>639</v>
          </cell>
          <cell r="B640" t="str">
            <v>KESTELOOT Michel</v>
          </cell>
          <cell r="C640" t="str">
            <v>KESTELOOT Michel</v>
          </cell>
          <cell r="D640" t="str">
            <v>Notaris</v>
          </cell>
          <cell r="E640" t="str">
            <v>rue de Bruxelles</v>
          </cell>
          <cell r="F640" t="str">
            <v>102</v>
          </cell>
          <cell r="G640" t="str">
            <v/>
          </cell>
          <cell r="H640" t="str">
            <v>5000</v>
          </cell>
          <cell r="I640" t="str">
            <v>Namur</v>
          </cell>
          <cell r="K640" t="str">
            <v>Namur</v>
          </cell>
          <cell r="M640" t="str">
            <v>M</v>
          </cell>
          <cell r="O640" t="str">
            <v>081.22.01.13</v>
          </cell>
          <cell r="P640" t="str">
            <v>081.22.59.60</v>
          </cell>
          <cell r="Q640" t="str">
            <v>MICHEL.KESTELOOT@NOTAIRE.BE</v>
          </cell>
          <cell r="R640">
            <v>1255</v>
          </cell>
        </row>
        <row r="641">
          <cell r="A641">
            <v>640</v>
          </cell>
          <cell r="B641" t="str">
            <v>KEUSTERS Anne-Marie</v>
          </cell>
          <cell r="C641" t="str">
            <v>KEUSTERS Anne-Marie</v>
          </cell>
          <cell r="D641" t="str">
            <v>Notaris</v>
          </cell>
          <cell r="E641" t="str">
            <v>Jan Broekaertlaan</v>
          </cell>
          <cell r="F641" t="str">
            <v>6</v>
          </cell>
          <cell r="G641" t="str">
            <v/>
          </cell>
          <cell r="H641" t="str">
            <v>9230</v>
          </cell>
          <cell r="I641" t="str">
            <v>Oost-Vlaanderen</v>
          </cell>
          <cell r="K641" t="str">
            <v>Wetteren</v>
          </cell>
          <cell r="M641" t="str">
            <v>Vr</v>
          </cell>
          <cell r="O641" t="str">
            <v>09.369.02.11</v>
          </cell>
          <cell r="P641" t="str">
            <v>09.368.01.48</v>
          </cell>
          <cell r="Q641" t="str">
            <v>ANNEMARIE.KEUSTERS@NOTARIS.BE</v>
          </cell>
          <cell r="R641">
            <v>3508</v>
          </cell>
        </row>
        <row r="642">
          <cell r="A642">
            <v>641</v>
          </cell>
          <cell r="B642" t="str">
            <v>KIEBOOMS Johan</v>
          </cell>
          <cell r="C642" t="str">
            <v>KIEBOOMS Johan</v>
          </cell>
          <cell r="D642" t="str">
            <v>Notaris</v>
          </cell>
          <cell r="E642" t="str">
            <v>Amerikalei</v>
          </cell>
          <cell r="F642" t="str">
            <v>163</v>
          </cell>
          <cell r="G642" t="str">
            <v/>
          </cell>
          <cell r="H642" t="str">
            <v>2000</v>
          </cell>
          <cell r="I642" t="str">
            <v>Antwerpen</v>
          </cell>
          <cell r="K642" t="str">
            <v>Antwerpen</v>
          </cell>
          <cell r="M642" t="str">
            <v>M</v>
          </cell>
          <cell r="O642" t="str">
            <v>03.233.59.74</v>
          </cell>
          <cell r="P642" t="str">
            <v>03.232.41.58</v>
          </cell>
          <cell r="Q642" t="str">
            <v>JOHAN.KIEBOOMS@NOTARIS.BE</v>
          </cell>
          <cell r="R642">
            <v>3243</v>
          </cell>
        </row>
        <row r="643">
          <cell r="A643">
            <v>642</v>
          </cell>
          <cell r="B643" t="str">
            <v>KLUYSKENS Philippe</v>
          </cell>
          <cell r="C643" t="str">
            <v>KLUYSKENS Philippe</v>
          </cell>
          <cell r="D643" t="str">
            <v>Notaris</v>
          </cell>
          <cell r="E643" t="str">
            <v>Antwerpsesteenweg</v>
          </cell>
          <cell r="F643" t="str">
            <v>71</v>
          </cell>
          <cell r="G643" t="str">
            <v/>
          </cell>
          <cell r="H643" t="str">
            <v>9040</v>
          </cell>
          <cell r="I643" t="str">
            <v>Oost-Vlaanderen</v>
          </cell>
          <cell r="K643" t="str">
            <v>Sint-Amandsberg Gent)</v>
          </cell>
          <cell r="M643" t="str">
            <v>M</v>
          </cell>
          <cell r="O643" t="str">
            <v>09.228.15.91</v>
          </cell>
          <cell r="P643" t="str">
            <v>09.229.27.15</v>
          </cell>
          <cell r="Q643" t="str">
            <v>PHILIPPE.KLUYSKENS@NOTARIS.BE</v>
          </cell>
          <cell r="R643">
            <v>3031</v>
          </cell>
        </row>
        <row r="644">
          <cell r="A644">
            <v>643</v>
          </cell>
          <cell r="B644" t="str">
            <v>SMETS &amp; KNEVELS</v>
          </cell>
          <cell r="C644" t="str">
            <v>Knevels Patrick</v>
          </cell>
          <cell r="D644" t="str">
            <v>Geassocieerd Notaris</v>
          </cell>
          <cell r="E644" t="str">
            <v>St. Benedictusstraat</v>
          </cell>
          <cell r="F644" t="str">
            <v>132</v>
          </cell>
          <cell r="G644" t="str">
            <v/>
          </cell>
          <cell r="H644" t="str">
            <v>2640</v>
          </cell>
          <cell r="I644" t="str">
            <v>Antwerpen</v>
          </cell>
          <cell r="K644" t="str">
            <v>Mortsel</v>
          </cell>
          <cell r="M644" t="str">
            <v>M</v>
          </cell>
          <cell r="O644" t="str">
            <v>03.448.12.20</v>
          </cell>
          <cell r="P644" t="str">
            <v>03.449.12.94</v>
          </cell>
          <cell r="Q644" t="str">
            <v>patrick.knevels@notaris.be</v>
          </cell>
          <cell r="R644">
            <v>3555</v>
          </cell>
        </row>
        <row r="645">
          <cell r="A645">
            <v>644</v>
          </cell>
          <cell r="B645" t="str">
            <v>KNOPS Hilde</v>
          </cell>
          <cell r="C645" t="str">
            <v>KNOPS Hilde</v>
          </cell>
          <cell r="D645" t="str">
            <v>Notaris</v>
          </cell>
          <cell r="E645" t="str">
            <v>rue Frans Vekemansstraat</v>
          </cell>
          <cell r="F645" t="str">
            <v>218</v>
          </cell>
          <cell r="G645" t="str">
            <v/>
          </cell>
          <cell r="H645" t="str">
            <v>1120</v>
          </cell>
          <cell r="I645" t="str">
            <v>Bruxelles</v>
          </cell>
          <cell r="K645" t="str">
            <v>Bruxelles</v>
          </cell>
          <cell r="M645" t="str">
            <v>Vr</v>
          </cell>
          <cell r="O645" t="str">
            <v>02.262.05.50</v>
          </cell>
          <cell r="P645" t="str">
            <v>02.268.51.07</v>
          </cell>
          <cell r="Q645" t="str">
            <v>HILDE.KNOPS@NOTARIS.BE</v>
          </cell>
          <cell r="R645">
            <v>3115</v>
          </cell>
        </row>
        <row r="646">
          <cell r="A646">
            <v>645</v>
          </cell>
          <cell r="B646" t="str">
            <v>KOECKX Jean-François</v>
          </cell>
          <cell r="C646" t="str">
            <v>KOECKX Jean-François</v>
          </cell>
          <cell r="D646" t="str">
            <v>Notaris</v>
          </cell>
          <cell r="E646" t="str">
            <v>Rue de la Bataille</v>
          </cell>
          <cell r="F646" t="str">
            <v>4</v>
          </cell>
          <cell r="G646" t="str">
            <v/>
          </cell>
          <cell r="H646" t="str">
            <v>6840</v>
          </cell>
          <cell r="I646" t="str">
            <v>Luxembourg</v>
          </cell>
          <cell r="K646" t="str">
            <v>Neufchâteau</v>
          </cell>
          <cell r="M646" t="str">
            <v>M</v>
          </cell>
          <cell r="O646" t="str">
            <v>061.27.71.59</v>
          </cell>
          <cell r="P646" t="str">
            <v>061.27.94.85</v>
          </cell>
          <cell r="Q646" t="str">
            <v>JEANFRANCOIS.KOECKX@NOTAIRE.BE</v>
          </cell>
          <cell r="R646">
            <v>3000</v>
          </cell>
        </row>
        <row r="647">
          <cell r="A647">
            <v>646</v>
          </cell>
          <cell r="B647" t="str">
            <v>KREMERS Paul</v>
          </cell>
          <cell r="C647" t="str">
            <v>KREMERS Paul</v>
          </cell>
          <cell r="D647" t="str">
            <v>Notaris</v>
          </cell>
          <cell r="E647" t="str">
            <v>Boulevard Piercot</v>
          </cell>
          <cell r="F647" t="str">
            <v>23</v>
          </cell>
          <cell r="G647" t="str">
            <v/>
          </cell>
          <cell r="H647" t="str">
            <v>4000</v>
          </cell>
          <cell r="I647" t="str">
            <v>Liège</v>
          </cell>
          <cell r="K647" t="str">
            <v>Liège</v>
          </cell>
          <cell r="M647" t="str">
            <v>M</v>
          </cell>
          <cell r="O647" t="str">
            <v>04.230.31.00</v>
          </cell>
          <cell r="P647" t="str">
            <v>04.230.31.09</v>
          </cell>
          <cell r="Q647" t="str">
            <v>PAUL.KREMERS@NOTAIRE.BE</v>
          </cell>
          <cell r="R647">
            <v>3153</v>
          </cell>
        </row>
        <row r="648">
          <cell r="A648">
            <v>647</v>
          </cell>
          <cell r="B648" t="str">
            <v>KUIJPERS Hugo</v>
          </cell>
          <cell r="C648" t="str">
            <v>KUIJPERS Hugo</v>
          </cell>
          <cell r="D648" t="str">
            <v>Notaris</v>
          </cell>
          <cell r="E648" t="str">
            <v>Leo Schreursvest</v>
          </cell>
          <cell r="F648" t="str">
            <v>5</v>
          </cell>
          <cell r="G648" t="str">
            <v/>
          </cell>
          <cell r="H648" t="str">
            <v>3001</v>
          </cell>
          <cell r="I648" t="str">
            <v>Vlaams Brabant</v>
          </cell>
          <cell r="K648" t="str">
            <v>Heverlee</v>
          </cell>
          <cell r="M648" t="str">
            <v>M</v>
          </cell>
          <cell r="O648" t="str">
            <v>016.23.00.25</v>
          </cell>
          <cell r="P648" t="str">
            <v>016.20.60.17</v>
          </cell>
          <cell r="Q648" t="str">
            <v>HUGO.KUIJPERS@NOTARIS.BE</v>
          </cell>
          <cell r="R648">
            <v>3293</v>
          </cell>
        </row>
        <row r="649">
          <cell r="A649">
            <v>648</v>
          </cell>
          <cell r="B649" t="str">
            <v>François Kumps et Stéphanie Laudert</v>
          </cell>
          <cell r="C649" t="str">
            <v>Kumps François</v>
          </cell>
          <cell r="D649" t="str">
            <v>Notaris</v>
          </cell>
          <cell r="E649" t="str">
            <v>Chaussée de Bruxelles</v>
          </cell>
          <cell r="F649" t="str">
            <v>41</v>
          </cell>
          <cell r="G649" t="str">
            <v/>
          </cell>
          <cell r="H649" t="str">
            <v>1310</v>
          </cell>
          <cell r="I649" t="str">
            <v>Brabant Wallon</v>
          </cell>
          <cell r="K649" t="str">
            <v>La Hulpe</v>
          </cell>
          <cell r="M649" t="str">
            <v>M</v>
          </cell>
          <cell r="O649" t="str">
            <v>02.654.00.02</v>
          </cell>
          <cell r="P649" t="str">
            <v>02.653.93.10</v>
          </cell>
          <cell r="Q649" t="str">
            <v>FRANCOIS.KUMPS@NOTAIRE.BE</v>
          </cell>
          <cell r="R649">
            <v>2898</v>
          </cell>
        </row>
        <row r="650">
          <cell r="A650">
            <v>649</v>
          </cell>
          <cell r="B650" t="str">
            <v>LABE Philippe</v>
          </cell>
          <cell r="C650" t="str">
            <v>LABE Philippe</v>
          </cell>
          <cell r="D650" t="str">
            <v>Notaris</v>
          </cell>
          <cell r="E650" t="str">
            <v>Rue Hemricourt</v>
          </cell>
          <cell r="F650" t="str">
            <v>25</v>
          </cell>
          <cell r="G650" t="str">
            <v/>
          </cell>
          <cell r="H650" t="str">
            <v>4000</v>
          </cell>
          <cell r="I650" t="str">
            <v>Liège</v>
          </cell>
          <cell r="K650" t="str">
            <v>Liège</v>
          </cell>
          <cell r="M650" t="str">
            <v>M</v>
          </cell>
          <cell r="O650" t="str">
            <v>04.252.30.60</v>
          </cell>
          <cell r="P650" t="str">
            <v>04.252.58.89</v>
          </cell>
          <cell r="Q650" t="str">
            <v>PHILIPPE.LABE@NOTAIRE.BE</v>
          </cell>
          <cell r="R650">
            <v>3249</v>
          </cell>
        </row>
        <row r="651">
          <cell r="A651">
            <v>650</v>
          </cell>
          <cell r="B651" t="str">
            <v>LABENNE Jean &amp; Vincent</v>
          </cell>
          <cell r="C651" t="str">
            <v>Labenne Jean</v>
          </cell>
          <cell r="D651" t="str">
            <v>Geassocieerd Notaris</v>
          </cell>
          <cell r="E651" t="str">
            <v>Rue de la Station</v>
          </cell>
          <cell r="F651" t="str">
            <v>37</v>
          </cell>
          <cell r="G651" t="str">
            <v/>
          </cell>
          <cell r="H651" t="str">
            <v>6181</v>
          </cell>
          <cell r="I651" t="str">
            <v>Hainaut</v>
          </cell>
          <cell r="K651" t="str">
            <v>Gouy-lez-Piéton</v>
          </cell>
          <cell r="M651" t="str">
            <v>M</v>
          </cell>
          <cell r="O651" t="str">
            <v>071.84.45.58</v>
          </cell>
          <cell r="P651" t="str">
            <v>071.84.26.23</v>
          </cell>
          <cell r="Q651" t="str">
            <v>JEAN.LABENNE@NOTAIRE.BE</v>
          </cell>
          <cell r="R651">
            <v>2469</v>
          </cell>
        </row>
        <row r="652">
          <cell r="A652">
            <v>651</v>
          </cell>
          <cell r="B652" t="str">
            <v>LABENNE Jean &amp; Vincent</v>
          </cell>
          <cell r="C652" t="str">
            <v>Labenne Vincent</v>
          </cell>
          <cell r="D652" t="str">
            <v>Geassocieerd Notaris</v>
          </cell>
          <cell r="E652" t="str">
            <v>Rue de la Station</v>
          </cell>
          <cell r="F652" t="str">
            <v>37</v>
          </cell>
          <cell r="G652" t="str">
            <v/>
          </cell>
          <cell r="H652" t="str">
            <v>6181</v>
          </cell>
          <cell r="I652" t="str">
            <v>Hainaut</v>
          </cell>
          <cell r="K652" t="str">
            <v>Gouy-lez-Piéton</v>
          </cell>
          <cell r="M652" t="str">
            <v>M</v>
          </cell>
          <cell r="O652" t="str">
            <v>071.84.45.58</v>
          </cell>
          <cell r="P652" t="str">
            <v>071.84.26.23</v>
          </cell>
          <cell r="Q652" t="str">
            <v>Vincent.LABENNE@NOTAIRE.BE</v>
          </cell>
          <cell r="R652">
            <v>2469</v>
          </cell>
          <cell r="T652">
            <v>38309</v>
          </cell>
        </row>
        <row r="653">
          <cell r="A653">
            <v>652</v>
          </cell>
          <cell r="B653" t="str">
            <v>LACQUET Karel</v>
          </cell>
          <cell r="C653" t="str">
            <v>LACQUET Karel</v>
          </cell>
          <cell r="D653" t="str">
            <v>Notaris</v>
          </cell>
          <cell r="E653" t="str">
            <v>Onze Lieve Vrouwplein</v>
          </cell>
          <cell r="F653" t="str">
            <v>75</v>
          </cell>
          <cell r="G653" t="str">
            <v/>
          </cell>
          <cell r="H653" t="str">
            <v>3020</v>
          </cell>
          <cell r="I653" t="str">
            <v>Vlaams Brabant</v>
          </cell>
          <cell r="K653" t="str">
            <v>Herent</v>
          </cell>
          <cell r="M653" t="str">
            <v>M</v>
          </cell>
          <cell r="O653" t="str">
            <v>016.23.68.36</v>
          </cell>
          <cell r="P653" t="str">
            <v>016.22.81.06</v>
          </cell>
          <cell r="Q653" t="str">
            <v>KAREL.LACQUET@NOTARIS.BE</v>
          </cell>
          <cell r="R653">
            <v>3291</v>
          </cell>
        </row>
        <row r="654">
          <cell r="A654">
            <v>653</v>
          </cell>
          <cell r="B654" t="str">
            <v>VAN DIEST &amp; LAENENS</v>
          </cell>
          <cell r="C654" t="str">
            <v>Laenens Eric</v>
          </cell>
          <cell r="D654" t="str">
            <v>Geassocieerd Notaris</v>
          </cell>
          <cell r="E654" t="str">
            <v>Handelslei</v>
          </cell>
          <cell r="F654" t="str">
            <v>102</v>
          </cell>
          <cell r="G654" t="str">
            <v/>
          </cell>
          <cell r="H654" t="str">
            <v>2980</v>
          </cell>
          <cell r="I654" t="str">
            <v>Antwerpen</v>
          </cell>
          <cell r="K654" t="str">
            <v>Zoersel</v>
          </cell>
          <cell r="M654" t="str">
            <v>M</v>
          </cell>
          <cell r="O654" t="str">
            <v>03.384.09.89</v>
          </cell>
          <cell r="P654" t="str">
            <v>03.384.27.36</v>
          </cell>
          <cell r="Q654" t="str">
            <v>eric.laenens@notaris.be</v>
          </cell>
          <cell r="R654">
            <v>3624</v>
          </cell>
        </row>
        <row r="655">
          <cell r="A655">
            <v>654</v>
          </cell>
          <cell r="B655" t="str">
            <v>LAFONTAINE Jean</v>
          </cell>
          <cell r="C655" t="str">
            <v>LAFONTAINE Jean</v>
          </cell>
          <cell r="D655" t="str">
            <v>Notaris</v>
          </cell>
          <cell r="E655" t="str">
            <v>Rue du Grand Cerf</v>
          </cell>
          <cell r="F655" t="str">
            <v>10</v>
          </cell>
          <cell r="G655" t="str">
            <v>bte A</v>
          </cell>
          <cell r="H655" t="str">
            <v>1000</v>
          </cell>
          <cell r="I655" t="str">
            <v>Bruxelles</v>
          </cell>
          <cell r="K655" t="str">
            <v>Bruxelles</v>
          </cell>
          <cell r="M655" t="str">
            <v>M</v>
          </cell>
          <cell r="O655" t="str">
            <v>02.511.31.62</v>
          </cell>
          <cell r="P655" t="str">
            <v>02.511.06.51</v>
          </cell>
          <cell r="Q655" t="str">
            <v>jean.lafontaine@notaire.be</v>
          </cell>
          <cell r="R655">
            <v>28</v>
          </cell>
        </row>
        <row r="656">
          <cell r="A656">
            <v>655</v>
          </cell>
          <cell r="B656" t="str">
            <v>LAGA Stefaan</v>
          </cell>
          <cell r="C656" t="str">
            <v>LAGA Stefaan</v>
          </cell>
          <cell r="D656" t="str">
            <v>Notaris</v>
          </cell>
          <cell r="E656" t="str">
            <v>Gentseheerweg</v>
          </cell>
          <cell r="F656" t="str">
            <v>44</v>
          </cell>
          <cell r="G656" t="str">
            <v/>
          </cell>
          <cell r="H656" t="str">
            <v>8870</v>
          </cell>
          <cell r="I656" t="str">
            <v>West-Vlaanderen</v>
          </cell>
          <cell r="K656" t="str">
            <v>Izegem</v>
          </cell>
          <cell r="L656">
            <v>21975</v>
          </cell>
          <cell r="M656" t="str">
            <v>M</v>
          </cell>
          <cell r="O656" t="str">
            <v>051.30.33.25</v>
          </cell>
          <cell r="P656" t="str">
            <v>051.31.17.53</v>
          </cell>
          <cell r="Q656" t="str">
            <v>STEFAAN.LAGA@NOTARIS.BE</v>
          </cell>
          <cell r="R656">
            <v>2923</v>
          </cell>
        </row>
        <row r="657">
          <cell r="A657">
            <v>656</v>
          </cell>
          <cell r="B657" t="str">
            <v>LAGAE Annie</v>
          </cell>
          <cell r="C657" t="str">
            <v>LAGAE Annie</v>
          </cell>
          <cell r="D657" t="str">
            <v>Notaris</v>
          </cell>
          <cell r="E657" t="str">
            <v>Provinciebaan</v>
          </cell>
          <cell r="F657" t="str">
            <v>97</v>
          </cell>
          <cell r="G657" t="str">
            <v/>
          </cell>
          <cell r="H657" t="str">
            <v>3110</v>
          </cell>
          <cell r="I657" t="str">
            <v>Vlaams Brabant</v>
          </cell>
          <cell r="K657" t="str">
            <v>Rotselaar</v>
          </cell>
          <cell r="M657" t="str">
            <v>Vr</v>
          </cell>
          <cell r="O657" t="str">
            <v>016.44.60.30</v>
          </cell>
          <cell r="P657" t="str">
            <v>016.44.59.98</v>
          </cell>
          <cell r="Q657" t="str">
            <v>ANNIE.LAGAE@NOTARIS.BE</v>
          </cell>
          <cell r="R657">
            <v>1234</v>
          </cell>
        </row>
        <row r="658">
          <cell r="A658">
            <v>657</v>
          </cell>
          <cell r="B658" t="str">
            <v>SPRL Jean-Philippe Lagae Notaire</v>
          </cell>
          <cell r="C658" t="str">
            <v>Lagae Jean-Philippe</v>
          </cell>
          <cell r="D658" t="str">
            <v>Notaris</v>
          </cell>
          <cell r="E658" t="str">
            <v>rue Royale</v>
          </cell>
          <cell r="F658" t="str">
            <v>55</v>
          </cell>
          <cell r="G658" t="str">
            <v>bte 4</v>
          </cell>
          <cell r="H658" t="str">
            <v>1000</v>
          </cell>
          <cell r="I658" t="str">
            <v>Bruxelles</v>
          </cell>
          <cell r="K658" t="str">
            <v>Bruxelles</v>
          </cell>
          <cell r="M658" t="str">
            <v>M</v>
          </cell>
          <cell r="O658" t="str">
            <v>02.217.17.67</v>
          </cell>
          <cell r="P658" t="str">
            <v>02.218.71.37</v>
          </cell>
          <cell r="Q658" t="str">
            <v>JEANPHILIPPE.LAGAE@NOTARIS.BE</v>
          </cell>
          <cell r="R658">
            <v>2590</v>
          </cell>
        </row>
        <row r="659">
          <cell r="A659">
            <v>658</v>
          </cell>
          <cell r="B659" t="str">
            <v>FURNEMONT &amp; LAGUESSE</v>
          </cell>
          <cell r="C659" t="str">
            <v>Laguesse Catherine</v>
          </cell>
          <cell r="D659" t="str">
            <v>Geassocieerd Notaris</v>
          </cell>
          <cell r="E659" t="str">
            <v>Rue J.M. Maréchal</v>
          </cell>
          <cell r="F659" t="str">
            <v>32</v>
          </cell>
          <cell r="G659" t="str">
            <v/>
          </cell>
          <cell r="H659" t="str">
            <v>4800</v>
          </cell>
          <cell r="I659" t="str">
            <v>Liège</v>
          </cell>
          <cell r="K659" t="str">
            <v>Ensival</v>
          </cell>
          <cell r="M659" t="str">
            <v>Vr</v>
          </cell>
          <cell r="O659" t="str">
            <v>087.33.88.44</v>
          </cell>
          <cell r="P659" t="str">
            <v>087.34.06.45</v>
          </cell>
          <cell r="Q659" t="str">
            <v>catherine.laguesse@notaire.be</v>
          </cell>
          <cell r="R659">
            <v>3504</v>
          </cell>
        </row>
        <row r="660">
          <cell r="A660">
            <v>659</v>
          </cell>
          <cell r="B660" t="str">
            <v>LAHAYE Johan</v>
          </cell>
          <cell r="C660" t="str">
            <v>LAHAYE Johan</v>
          </cell>
          <cell r="D660" t="str">
            <v>Notaris</v>
          </cell>
          <cell r="E660" t="str">
            <v>Karel Janssenslaan</v>
          </cell>
          <cell r="F660" t="str">
            <v>31</v>
          </cell>
          <cell r="G660" t="str">
            <v/>
          </cell>
          <cell r="H660" t="str">
            <v>8400</v>
          </cell>
          <cell r="I660" t="str">
            <v>West-Vlaanderen</v>
          </cell>
          <cell r="K660" t="str">
            <v>Oostende</v>
          </cell>
          <cell r="L660">
            <v>13970</v>
          </cell>
          <cell r="M660" t="str">
            <v>M</v>
          </cell>
          <cell r="O660" t="str">
            <v>059.80.37.01</v>
          </cell>
          <cell r="P660" t="str">
            <v>059.80.84.77</v>
          </cell>
          <cell r="Q660" t="str">
            <v>BERNARD.MAERTENS@NOTARIS.BE</v>
          </cell>
          <cell r="R660">
            <v>3554</v>
          </cell>
        </row>
        <row r="661">
          <cell r="A661">
            <v>660</v>
          </cell>
          <cell r="B661" t="str">
            <v>LAHAYE Josette</v>
          </cell>
          <cell r="C661" t="str">
            <v>LAHAYE Josette</v>
          </cell>
          <cell r="D661" t="str">
            <v>Notaris</v>
          </cell>
          <cell r="E661" t="str">
            <v>Rue Albert 1er</v>
          </cell>
          <cell r="F661" t="str">
            <v>4</v>
          </cell>
          <cell r="G661" t="str">
            <v/>
          </cell>
          <cell r="H661" t="str">
            <v>4610</v>
          </cell>
          <cell r="I661" t="str">
            <v>Liège</v>
          </cell>
          <cell r="K661" t="str">
            <v>Beyne-Heusay</v>
          </cell>
          <cell r="M661" t="str">
            <v>Vr</v>
          </cell>
          <cell r="O661" t="str">
            <v>04.367.60.01</v>
          </cell>
          <cell r="P661" t="str">
            <v>04.367.31.90</v>
          </cell>
          <cell r="Q661" t="str">
            <v>JOSETTE.LAHAYE@NOTAIRE.BE</v>
          </cell>
          <cell r="R661">
            <v>2806</v>
          </cell>
        </row>
        <row r="662">
          <cell r="A662">
            <v>661</v>
          </cell>
          <cell r="B662" t="str">
            <v>LAISSE Georges</v>
          </cell>
          <cell r="C662" t="str">
            <v>LAISSE Georges</v>
          </cell>
          <cell r="D662" t="str">
            <v>Notaris</v>
          </cell>
          <cell r="E662" t="str">
            <v>Rue Dachelet</v>
          </cell>
          <cell r="F662" t="str">
            <v>40</v>
          </cell>
          <cell r="G662" t="str">
            <v/>
          </cell>
          <cell r="H662" t="str">
            <v>5380</v>
          </cell>
          <cell r="I662" t="str">
            <v>Namur</v>
          </cell>
          <cell r="K662" t="str">
            <v>Noville-les-Bois</v>
          </cell>
          <cell r="M662" t="str">
            <v>M</v>
          </cell>
          <cell r="O662" t="str">
            <v>081.83.34.99</v>
          </cell>
          <cell r="P662" t="str">
            <v>081.83.30.79</v>
          </cell>
          <cell r="Q662" t="str">
            <v>GEORGES.LAISSE@NOTAIRE.BE</v>
          </cell>
          <cell r="R662">
            <v>2915</v>
          </cell>
        </row>
        <row r="663">
          <cell r="A663">
            <v>662</v>
          </cell>
          <cell r="B663" t="str">
            <v>LALOO Veronique</v>
          </cell>
          <cell r="C663" t="str">
            <v>LALOO Veronique</v>
          </cell>
          <cell r="D663" t="str">
            <v>Notaris</v>
          </cell>
          <cell r="E663" t="str">
            <v>Populierestraat</v>
          </cell>
          <cell r="F663" t="str">
            <v>3</v>
          </cell>
          <cell r="G663" t="str">
            <v/>
          </cell>
          <cell r="H663" t="str">
            <v>9550</v>
          </cell>
          <cell r="I663" t="str">
            <v>Oost-Vlaanderen</v>
          </cell>
          <cell r="K663" t="str">
            <v>Sint-Lievens-Esse</v>
          </cell>
          <cell r="M663" t="str">
            <v>Vr</v>
          </cell>
          <cell r="O663" t="str">
            <v>054.50.04.51</v>
          </cell>
          <cell r="P663" t="str">
            <v>054.50.30.53</v>
          </cell>
          <cell r="Q663" t="str">
            <v>VERONIQUE.LALOO@NOTARIS.BE</v>
          </cell>
          <cell r="R663">
            <v>3051</v>
          </cell>
        </row>
        <row r="664">
          <cell r="A664">
            <v>663</v>
          </cell>
          <cell r="B664" t="str">
            <v>LAMBIN Adelaïde</v>
          </cell>
          <cell r="C664" t="str">
            <v>LAMBIN Adelaïde</v>
          </cell>
          <cell r="D664" t="str">
            <v>Notaris</v>
          </cell>
          <cell r="E664" t="str">
            <v>Grand Rue</v>
          </cell>
          <cell r="F664" t="str">
            <v>13</v>
          </cell>
          <cell r="G664" t="str">
            <v/>
          </cell>
          <cell r="H664" t="str">
            <v>5640</v>
          </cell>
          <cell r="I664" t="str">
            <v>Namur</v>
          </cell>
          <cell r="K664" t="str">
            <v>Saint-Gérard</v>
          </cell>
          <cell r="M664" t="str">
            <v>Vr</v>
          </cell>
          <cell r="O664" t="str">
            <v>071.79.90.09</v>
          </cell>
          <cell r="P664" t="str">
            <v>071.79.70.99</v>
          </cell>
          <cell r="Q664" t="str">
            <v>ADELAIDE.LAMBIN@NOTAIRE.BE</v>
          </cell>
          <cell r="R664">
            <v>3210</v>
          </cell>
        </row>
        <row r="665">
          <cell r="A665">
            <v>664</v>
          </cell>
          <cell r="B665" t="str">
            <v>LAMBIN Emmanuel</v>
          </cell>
          <cell r="C665" t="str">
            <v>LAMBIN Emmanuel</v>
          </cell>
          <cell r="D665" t="str">
            <v>Notaris</v>
          </cell>
          <cell r="E665" t="str">
            <v>rue de Forchies</v>
          </cell>
          <cell r="F665" t="str">
            <v>8</v>
          </cell>
          <cell r="G665" t="str">
            <v/>
          </cell>
          <cell r="H665" t="str">
            <v>6140</v>
          </cell>
          <cell r="I665" t="str">
            <v>Hainaut</v>
          </cell>
          <cell r="K665" t="str">
            <v>Fontaine-l´Evêque</v>
          </cell>
          <cell r="M665" t="str">
            <v>M</v>
          </cell>
          <cell r="O665" t="str">
            <v>071.52.31.77</v>
          </cell>
          <cell r="P665" t="str">
            <v>071.52.31.74</v>
          </cell>
          <cell r="Q665" t="str">
            <v>EMMANUEL.LAMBIN@NOTAIRE.BE</v>
          </cell>
          <cell r="R665">
            <v>3366</v>
          </cell>
        </row>
        <row r="666">
          <cell r="A666">
            <v>665</v>
          </cell>
          <cell r="B666" t="str">
            <v>LAMBINET Andre-Stany &amp; Patrick</v>
          </cell>
          <cell r="C666" t="str">
            <v>Lambinet André-Stany</v>
          </cell>
          <cell r="D666" t="str">
            <v>Geassocieerd Notaris</v>
          </cell>
          <cell r="E666" t="str">
            <v>Rue du Condroz</v>
          </cell>
          <cell r="F666" t="str">
            <v>36</v>
          </cell>
          <cell r="G666" t="str">
            <v>bte 1</v>
          </cell>
          <cell r="H666" t="str">
            <v>5590</v>
          </cell>
          <cell r="I666" t="str">
            <v>Namur</v>
          </cell>
          <cell r="K666" t="str">
            <v>Ciney</v>
          </cell>
          <cell r="M666" t="str">
            <v>M</v>
          </cell>
          <cell r="O666" t="str">
            <v>083.21.10.50</v>
          </cell>
          <cell r="P666" t="str">
            <v>083.21.44.06</v>
          </cell>
          <cell r="Q666" t="str">
            <v>ANDRESTANY.LAMBINET@NOTAIRE.BE</v>
          </cell>
          <cell r="R666">
            <v>41</v>
          </cell>
        </row>
        <row r="667">
          <cell r="A667">
            <v>666</v>
          </cell>
          <cell r="B667" t="str">
            <v>LAMBINET Andre-Stany &amp; Patrick</v>
          </cell>
          <cell r="C667" t="str">
            <v>Lambinet Patrick</v>
          </cell>
          <cell r="D667" t="str">
            <v>Geassocieerd Notaris</v>
          </cell>
          <cell r="E667" t="str">
            <v>Rue du Condroz</v>
          </cell>
          <cell r="F667" t="str">
            <v>36</v>
          </cell>
          <cell r="G667" t="str">
            <v>bte 1</v>
          </cell>
          <cell r="H667" t="str">
            <v>5590</v>
          </cell>
          <cell r="I667" t="str">
            <v>Namur</v>
          </cell>
          <cell r="K667" t="str">
            <v>Ciney</v>
          </cell>
          <cell r="M667" t="str">
            <v>M</v>
          </cell>
          <cell r="O667" t="str">
            <v>083.21.10.50</v>
          </cell>
          <cell r="P667" t="str">
            <v>083.21.44.06</v>
          </cell>
          <cell r="Q667" t="str">
            <v>ANDRESTANY.LAMBINET@NOTAIRE.BE</v>
          </cell>
          <cell r="R667">
            <v>41</v>
          </cell>
        </row>
        <row r="668">
          <cell r="A668">
            <v>667</v>
          </cell>
          <cell r="B668" t="str">
            <v>LAMBINET Philippe</v>
          </cell>
          <cell r="C668" t="str">
            <v>LAMBINET Philippe</v>
          </cell>
          <cell r="D668" t="str">
            <v>Notaris</v>
          </cell>
          <cell r="E668" t="str">
            <v>Rue de la Falaise</v>
          </cell>
          <cell r="F668" t="str">
            <v>79</v>
          </cell>
          <cell r="G668" t="str">
            <v/>
          </cell>
          <cell r="H668" t="str">
            <v>5660</v>
          </cell>
          <cell r="I668" t="str">
            <v>Namur</v>
          </cell>
          <cell r="K668" t="str">
            <v>Couvin</v>
          </cell>
          <cell r="M668" t="str">
            <v>M</v>
          </cell>
          <cell r="O668" t="str">
            <v>060.34.40.61</v>
          </cell>
          <cell r="P668" t="str">
            <v>060.34.67.58</v>
          </cell>
          <cell r="Q668" t="str">
            <v>PHILIPPE.LAMBINET@NOTAIRE.BE</v>
          </cell>
          <cell r="R668">
            <v>3126</v>
          </cell>
        </row>
        <row r="669">
          <cell r="A669">
            <v>668</v>
          </cell>
          <cell r="B669" t="str">
            <v>LAMBRECHT Christian</v>
          </cell>
          <cell r="C669" t="str">
            <v>LAMBRECHT Christian</v>
          </cell>
          <cell r="D669" t="str">
            <v>Notaris</v>
          </cell>
          <cell r="E669" t="str">
            <v>Kortrijksestraat</v>
          </cell>
          <cell r="F669" t="str">
            <v>136</v>
          </cell>
          <cell r="G669" t="str">
            <v/>
          </cell>
          <cell r="H669" t="str">
            <v>8501</v>
          </cell>
          <cell r="I669" t="str">
            <v>West-Vlaanderen</v>
          </cell>
          <cell r="K669" t="str">
            <v>Heule</v>
          </cell>
          <cell r="L669">
            <v>26010</v>
          </cell>
          <cell r="M669" t="str">
            <v>M</v>
          </cell>
          <cell r="O669" t="str">
            <v>056.35.15.81</v>
          </cell>
          <cell r="P669" t="str">
            <v>056.35.29.83</v>
          </cell>
          <cell r="Q669" t="str">
            <v>CHRISTIAN.LAMBRECHT@NOTARIS.BE</v>
          </cell>
          <cell r="R669">
            <v>3392</v>
          </cell>
        </row>
        <row r="670">
          <cell r="A670">
            <v>669</v>
          </cell>
          <cell r="B670" t="str">
            <v>LAMBRECHT Jan</v>
          </cell>
          <cell r="C670" t="str">
            <v>LAMBRECHT Jan</v>
          </cell>
          <cell r="D670" t="str">
            <v>Notaris</v>
          </cell>
          <cell r="E670" t="str">
            <v>Ringlaan</v>
          </cell>
          <cell r="F670" t="str">
            <v>20</v>
          </cell>
          <cell r="G670" t="str">
            <v/>
          </cell>
          <cell r="H670" t="str">
            <v>3560</v>
          </cell>
          <cell r="I670" t="str">
            <v>Limburg</v>
          </cell>
          <cell r="K670" t="str">
            <v>Lummen</v>
          </cell>
          <cell r="M670" t="str">
            <v>M</v>
          </cell>
          <cell r="O670" t="str">
            <v>013.52.10.01</v>
          </cell>
          <cell r="P670" t="str">
            <v>013.52.27.80</v>
          </cell>
          <cell r="Q670" t="str">
            <v>JAN.LAMBRECHT@NOTARIS.BE</v>
          </cell>
          <cell r="R670">
            <v>3183</v>
          </cell>
        </row>
        <row r="671">
          <cell r="A671">
            <v>670</v>
          </cell>
          <cell r="B671" t="str">
            <v>LAMBRECHTS Benoît</v>
          </cell>
          <cell r="C671" t="str">
            <v>LAMBRECHTS Benoît</v>
          </cell>
          <cell r="D671" t="str">
            <v>Notaris</v>
          </cell>
          <cell r="E671" t="str">
            <v>Chaussée de Lodelinsart</v>
          </cell>
          <cell r="F671" t="str">
            <v>345</v>
          </cell>
          <cell r="G671" t="str">
            <v/>
          </cell>
          <cell r="H671" t="str">
            <v>6060</v>
          </cell>
          <cell r="I671" t="str">
            <v>Hainaut</v>
          </cell>
          <cell r="K671" t="str">
            <v>Gilly Charleroi)</v>
          </cell>
          <cell r="M671" t="str">
            <v>M</v>
          </cell>
          <cell r="O671" t="str">
            <v>071.41.07.05</v>
          </cell>
          <cell r="P671" t="str">
            <v>071.41.16.66</v>
          </cell>
          <cell r="Q671" t="str">
            <v>BENOIT.LAMBRECHTS@NOTAIRE.BE</v>
          </cell>
          <cell r="R671">
            <v>2876</v>
          </cell>
        </row>
        <row r="672">
          <cell r="A672">
            <v>671</v>
          </cell>
          <cell r="B672" t="str">
            <v>LAMMENS Paul</v>
          </cell>
          <cell r="C672" t="str">
            <v>LAMMENS Paul</v>
          </cell>
          <cell r="D672" t="str">
            <v>Notaris</v>
          </cell>
          <cell r="E672" t="str">
            <v>Ijzerstraat</v>
          </cell>
          <cell r="F672" t="str">
            <v>53</v>
          </cell>
          <cell r="G672" t="str">
            <v/>
          </cell>
          <cell r="H672" t="str">
            <v>9120</v>
          </cell>
          <cell r="I672" t="str">
            <v>Oost-Vlaanderen</v>
          </cell>
          <cell r="K672" t="str">
            <v>Melsele</v>
          </cell>
          <cell r="M672" t="str">
            <v>M</v>
          </cell>
          <cell r="O672" t="str">
            <v>03.775.47.44</v>
          </cell>
          <cell r="P672" t="str">
            <v>03.755.29.02</v>
          </cell>
          <cell r="Q672" t="str">
            <v>PAUL.LAMMENS@NOTARIS.BE</v>
          </cell>
          <cell r="R672">
            <v>1291</v>
          </cell>
        </row>
        <row r="673">
          <cell r="A673">
            <v>672</v>
          </cell>
          <cell r="B673" t="str">
            <v>LAMOT Ludo</v>
          </cell>
          <cell r="C673" t="str">
            <v>LAMOT Ludo</v>
          </cell>
          <cell r="D673" t="str">
            <v>Notaris</v>
          </cell>
          <cell r="E673" t="str">
            <v>Sint Hubertusplein</v>
          </cell>
          <cell r="F673" t="str">
            <v>5</v>
          </cell>
          <cell r="G673" t="str">
            <v/>
          </cell>
          <cell r="H673" t="str">
            <v>2845</v>
          </cell>
          <cell r="I673" t="str">
            <v>Antwerpen</v>
          </cell>
          <cell r="K673" t="str">
            <v>Niel</v>
          </cell>
          <cell r="M673" t="str">
            <v>M</v>
          </cell>
          <cell r="O673" t="str">
            <v>03.888.10.31</v>
          </cell>
          <cell r="P673" t="str">
            <v>03.844.44.47</v>
          </cell>
          <cell r="Q673" t="str">
            <v>LUDO.LAMOT@NOTARIS.BE</v>
          </cell>
          <cell r="R673">
            <v>2992</v>
          </cell>
        </row>
        <row r="674">
          <cell r="A674">
            <v>673</v>
          </cell>
          <cell r="B674" t="str">
            <v>LANGE Charles</v>
          </cell>
          <cell r="C674" t="str">
            <v>LANGE Charles</v>
          </cell>
          <cell r="D674" t="str">
            <v>Notaris</v>
          </cell>
          <cell r="E674" t="str">
            <v>Avenue de Criel</v>
          </cell>
          <cell r="F674" t="str">
            <v>41</v>
          </cell>
          <cell r="G674" t="str">
            <v/>
          </cell>
          <cell r="H674" t="str">
            <v>5370</v>
          </cell>
          <cell r="I674" t="str">
            <v>Namur</v>
          </cell>
          <cell r="K674" t="str">
            <v>Havelange</v>
          </cell>
          <cell r="M674" t="str">
            <v>M</v>
          </cell>
          <cell r="O674" t="str">
            <v>083.63.30.58</v>
          </cell>
          <cell r="P674" t="str">
            <v>083.63.44.75</v>
          </cell>
          <cell r="Q674" t="str">
            <v>charles.lange@belnot.be</v>
          </cell>
          <cell r="R674">
            <v>2801</v>
          </cell>
        </row>
        <row r="675">
          <cell r="A675">
            <v>674</v>
          </cell>
          <cell r="B675" t="str">
            <v>LANGHENDRIES Robert</v>
          </cell>
          <cell r="C675" t="str">
            <v>LANGHENDRIES Robert</v>
          </cell>
          <cell r="D675" t="str">
            <v>Notaris</v>
          </cell>
          <cell r="E675" t="str">
            <v>Chaussée de Waterloosesteenweg</v>
          </cell>
          <cell r="F675" t="str">
            <v>1359/K</v>
          </cell>
          <cell r="G675" t="str">
            <v/>
          </cell>
          <cell r="H675" t="str">
            <v>1180</v>
          </cell>
          <cell r="I675" t="str">
            <v>Bruxelles</v>
          </cell>
          <cell r="K675" t="str">
            <v>Bruxelles</v>
          </cell>
          <cell r="M675" t="str">
            <v>M</v>
          </cell>
          <cell r="O675" t="str">
            <v>02.374.03.84</v>
          </cell>
          <cell r="P675" t="str">
            <v>02.375.81.00</v>
          </cell>
          <cell r="Q675" t="str">
            <v>ROBERT.LANGHENDRIES@NOTAIRE.BE</v>
          </cell>
          <cell r="R675">
            <v>3318</v>
          </cell>
        </row>
        <row r="676">
          <cell r="A676">
            <v>675</v>
          </cell>
          <cell r="B676" t="str">
            <v>Thierry Lannoy Notaire SPRL</v>
          </cell>
          <cell r="C676" t="str">
            <v>Lannoy Thierry</v>
          </cell>
          <cell r="D676" t="str">
            <v>Notaris</v>
          </cell>
          <cell r="E676" t="str">
            <v>Tumelaire</v>
          </cell>
          <cell r="F676" t="str">
            <v>23</v>
          </cell>
          <cell r="G676" t="str">
            <v/>
          </cell>
          <cell r="H676" t="str">
            <v>6000</v>
          </cell>
          <cell r="I676" t="str">
            <v>Hainaut</v>
          </cell>
          <cell r="K676" t="str">
            <v>Charleroi</v>
          </cell>
          <cell r="M676" t="str">
            <v>M</v>
          </cell>
          <cell r="O676" t="str">
            <v>071.32.05.04</v>
          </cell>
          <cell r="P676" t="str">
            <v>071.30.38.57</v>
          </cell>
          <cell r="Q676" t="str">
            <v>thierry.lannoy@belnot.be</v>
          </cell>
          <cell r="R676">
            <v>3539</v>
          </cell>
        </row>
        <row r="677">
          <cell r="A677">
            <v>676</v>
          </cell>
          <cell r="B677" t="str">
            <v>LAROSE Anne-Marie</v>
          </cell>
          <cell r="C677" t="str">
            <v>LAROSE Anne-Marie</v>
          </cell>
          <cell r="D677" t="str">
            <v>Notaris</v>
          </cell>
          <cell r="E677" t="str">
            <v>Van Breestraat</v>
          </cell>
          <cell r="F677" t="str">
            <v>3</v>
          </cell>
          <cell r="G677" t="str">
            <v/>
          </cell>
          <cell r="H677" t="str">
            <v>2018</v>
          </cell>
          <cell r="I677" t="str">
            <v>Antwerpen</v>
          </cell>
          <cell r="K677" t="str">
            <v>Antwerpen</v>
          </cell>
          <cell r="M677" t="str">
            <v>Vr</v>
          </cell>
          <cell r="O677" t="str">
            <v>03.231.78.40</v>
          </cell>
          <cell r="P677" t="str">
            <v>03.203.50.40</v>
          </cell>
          <cell r="Q677" t="str">
            <v>ANNEMARIE.LAROSE@NOTARIS.BE</v>
          </cell>
          <cell r="R677">
            <v>3239</v>
          </cell>
        </row>
        <row r="678">
          <cell r="A678">
            <v>677</v>
          </cell>
          <cell r="B678" t="str">
            <v>François Kumps et Stéphanie Laudert</v>
          </cell>
          <cell r="C678" t="str">
            <v>Laudert Stéphanie</v>
          </cell>
          <cell r="D678" t="str">
            <v>Notaire</v>
          </cell>
          <cell r="E678" t="str">
            <v>Chaussée de Bruxelles</v>
          </cell>
          <cell r="F678" t="str">
            <v>41</v>
          </cell>
          <cell r="G678" t="str">
            <v/>
          </cell>
          <cell r="H678" t="str">
            <v>1310</v>
          </cell>
          <cell r="I678" t="str">
            <v>Brabant Wallon</v>
          </cell>
          <cell r="K678" t="str">
            <v>La Hulpe</v>
          </cell>
          <cell r="M678" t="str">
            <v>Vr</v>
          </cell>
          <cell r="O678" t="str">
            <v>02.654.00.02</v>
          </cell>
          <cell r="P678" t="str">
            <v>02.653.93.10</v>
          </cell>
          <cell r="T678">
            <v>38590</v>
          </cell>
        </row>
        <row r="679">
          <cell r="A679">
            <v>678</v>
          </cell>
          <cell r="B679" t="str">
            <v>LAURENT Etienne</v>
          </cell>
          <cell r="C679" t="str">
            <v>LAURENT Etienne</v>
          </cell>
          <cell r="D679" t="str">
            <v>Notaris</v>
          </cell>
          <cell r="E679" t="str">
            <v>Rue des Ecoles</v>
          </cell>
          <cell r="F679" t="str">
            <v>5</v>
          </cell>
          <cell r="G679" t="str">
            <v/>
          </cell>
          <cell r="H679" t="str">
            <v>5620</v>
          </cell>
          <cell r="I679" t="str">
            <v>Namur</v>
          </cell>
          <cell r="K679" t="str">
            <v>Florennes</v>
          </cell>
          <cell r="M679" t="str">
            <v>M</v>
          </cell>
          <cell r="O679" t="str">
            <v>071.68.80.48</v>
          </cell>
          <cell r="P679" t="str">
            <v>071.68.99.71</v>
          </cell>
          <cell r="Q679" t="str">
            <v>ETIENNE.LAURENT@NOTAIRE.BE</v>
          </cell>
          <cell r="R679">
            <v>923</v>
          </cell>
        </row>
        <row r="680">
          <cell r="A680">
            <v>679</v>
          </cell>
          <cell r="B680" t="str">
            <v>LAURENT Philippe</v>
          </cell>
          <cell r="C680" t="str">
            <v>LAURENT Philippe</v>
          </cell>
          <cell r="D680" t="str">
            <v>Notaris</v>
          </cell>
          <cell r="E680" t="str">
            <v>rue de Bouillon</v>
          </cell>
          <cell r="F680" t="str">
            <v>98/100</v>
          </cell>
          <cell r="G680" t="str">
            <v/>
          </cell>
          <cell r="H680" t="str">
            <v>5570</v>
          </cell>
          <cell r="I680" t="str">
            <v>Namur</v>
          </cell>
          <cell r="K680" t="str">
            <v>Beauraing</v>
          </cell>
          <cell r="M680" t="str">
            <v>M</v>
          </cell>
          <cell r="O680" t="str">
            <v>082.71.14.24</v>
          </cell>
          <cell r="P680" t="str">
            <v>082.71.37.24</v>
          </cell>
          <cell r="Q680" t="str">
            <v>PHILIPPE.LAURENT@NOTAIRE.BE</v>
          </cell>
          <cell r="R680">
            <v>3463</v>
          </cell>
        </row>
        <row r="681">
          <cell r="A681">
            <v>680</v>
          </cell>
          <cell r="B681" t="str">
            <v>LEBON Charles</v>
          </cell>
          <cell r="C681" t="str">
            <v>LEBON Charles</v>
          </cell>
          <cell r="D681" t="str">
            <v>Notaris</v>
          </cell>
          <cell r="E681" t="str">
            <v>Square Ambiorixsquare</v>
          </cell>
          <cell r="F681" t="str">
            <v>5</v>
          </cell>
          <cell r="G681" t="str">
            <v/>
          </cell>
          <cell r="H681" t="str">
            <v>1000</v>
          </cell>
          <cell r="I681" t="str">
            <v>Bruxelles</v>
          </cell>
          <cell r="K681" t="str">
            <v>Bruxelles</v>
          </cell>
          <cell r="M681" t="str">
            <v>M</v>
          </cell>
          <cell r="O681" t="str">
            <v>02.733.60.06</v>
          </cell>
          <cell r="P681" t="str">
            <v>02.735.59.72</v>
          </cell>
          <cell r="Q681" t="str">
            <v>CHARLES.LEBON@NOTAIRE.BE</v>
          </cell>
          <cell r="R681">
            <v>2509</v>
          </cell>
        </row>
        <row r="682">
          <cell r="A682">
            <v>681</v>
          </cell>
          <cell r="B682" t="str">
            <v>O. Lebrun</v>
          </cell>
          <cell r="C682" t="str">
            <v>Lebrun O.</v>
          </cell>
          <cell r="D682" t="str">
            <v>Notaris</v>
          </cell>
          <cell r="E682" t="str">
            <v>Rue du Temple</v>
          </cell>
          <cell r="F682" t="str">
            <v>29</v>
          </cell>
          <cell r="G682" t="str">
            <v/>
          </cell>
          <cell r="H682" t="str">
            <v>6180</v>
          </cell>
          <cell r="I682" t="str">
            <v>Hainaut</v>
          </cell>
          <cell r="K682" t="str">
            <v>Courcelles</v>
          </cell>
          <cell r="M682" t="str">
            <v>M</v>
          </cell>
          <cell r="O682" t="str">
            <v>071.45.56.47</v>
          </cell>
          <cell r="P682" t="str">
            <v>071.45.86.63</v>
          </cell>
          <cell r="R682">
            <v>1171</v>
          </cell>
          <cell r="T682">
            <v>38727</v>
          </cell>
        </row>
        <row r="683">
          <cell r="A683">
            <v>682</v>
          </cell>
          <cell r="B683" t="str">
            <v>LECLAIR Eddy</v>
          </cell>
          <cell r="C683" t="str">
            <v>LECLAIR Eddy</v>
          </cell>
          <cell r="D683" t="str">
            <v>Notaris</v>
          </cell>
          <cell r="E683" t="str">
            <v>Prins Albertstraat</v>
          </cell>
          <cell r="F683" t="str">
            <v>44</v>
          </cell>
          <cell r="G683" t="str">
            <v/>
          </cell>
          <cell r="H683" t="str">
            <v>9100</v>
          </cell>
          <cell r="I683" t="str">
            <v>Oost-Vlaanderen</v>
          </cell>
          <cell r="K683" t="str">
            <v>Sint-Niklaas</v>
          </cell>
          <cell r="M683" t="str">
            <v>M</v>
          </cell>
          <cell r="O683" t="str">
            <v>03.776.01.24</v>
          </cell>
          <cell r="P683" t="str">
            <v>03.766.11.50</v>
          </cell>
          <cell r="Q683" t="str">
            <v>EDDY.LECLAIR@NOTARIS.BE</v>
          </cell>
          <cell r="R683">
            <v>39</v>
          </cell>
        </row>
        <row r="684">
          <cell r="A684">
            <v>683</v>
          </cell>
          <cell r="B684" t="str">
            <v>LECLEF Jean Jacques</v>
          </cell>
          <cell r="C684" t="str">
            <v>LECLEF Jean Jacques</v>
          </cell>
          <cell r="D684" t="str">
            <v>Notaris</v>
          </cell>
          <cell r="E684" t="str">
            <v>Tabakvest</v>
          </cell>
          <cell r="F684" t="str">
            <v>9</v>
          </cell>
          <cell r="G684" t="str">
            <v/>
          </cell>
          <cell r="H684" t="str">
            <v>2000</v>
          </cell>
          <cell r="I684" t="str">
            <v>Antwerpen</v>
          </cell>
          <cell r="K684" t="str">
            <v>Antwerpen</v>
          </cell>
          <cell r="M684" t="str">
            <v>M</v>
          </cell>
          <cell r="O684" t="str">
            <v>03.233.12.22</v>
          </cell>
          <cell r="P684" t="str">
            <v>03.231.26.48</v>
          </cell>
          <cell r="Q684" t="str">
            <v>JEANJACQUES.LECLEF@NOTARIS.BE</v>
          </cell>
          <cell r="R684">
            <v>3205</v>
          </cell>
        </row>
        <row r="685">
          <cell r="A685">
            <v>684</v>
          </cell>
          <cell r="B685" t="str">
            <v>LE CLERCQ Damien</v>
          </cell>
          <cell r="C685" t="str">
            <v>LeClercq Damien</v>
          </cell>
          <cell r="D685" t="str">
            <v>Notaris</v>
          </cell>
          <cell r="E685" t="str">
            <v>rue Pépin</v>
          </cell>
          <cell r="F685" t="str">
            <v>18</v>
          </cell>
          <cell r="G685" t="str">
            <v/>
          </cell>
          <cell r="H685" t="str">
            <v>5000</v>
          </cell>
          <cell r="I685" t="str">
            <v>Namur</v>
          </cell>
          <cell r="K685" t="str">
            <v>Namur</v>
          </cell>
          <cell r="M685" t="str">
            <v>M</v>
          </cell>
          <cell r="O685" t="str">
            <v>081.22.01.57</v>
          </cell>
          <cell r="P685" t="str">
            <v>081.23.14.85</v>
          </cell>
          <cell r="Q685" t="str">
            <v>damien.leclercq@belnot.be</v>
          </cell>
          <cell r="R685">
            <v>3456</v>
          </cell>
        </row>
        <row r="686">
          <cell r="A686">
            <v>685</v>
          </cell>
          <cell r="B686" t="str">
            <v>LECLERCQ Hervé</v>
          </cell>
          <cell r="C686" t="str">
            <v>LECLERCQ Hervé</v>
          </cell>
          <cell r="D686" t="str">
            <v>Notaris</v>
          </cell>
          <cell r="E686" t="str">
            <v>Rue de Priesmont</v>
          </cell>
          <cell r="F686" t="str">
            <v>47</v>
          </cell>
          <cell r="G686" t="str">
            <v/>
          </cell>
          <cell r="H686" t="str">
            <v>1495</v>
          </cell>
          <cell r="I686" t="str">
            <v>Brabant Wallon</v>
          </cell>
          <cell r="K686" t="str">
            <v>Villers-la-Ville</v>
          </cell>
          <cell r="M686" t="str">
            <v>M</v>
          </cell>
          <cell r="O686" t="str">
            <v>071.87.70.92</v>
          </cell>
          <cell r="P686" t="str">
            <v>071.87.78.97</v>
          </cell>
          <cell r="Q686" t="str">
            <v>herve.leclercq@notaire.be</v>
          </cell>
          <cell r="R686">
            <v>904</v>
          </cell>
        </row>
        <row r="687">
          <cell r="A687">
            <v>686</v>
          </cell>
          <cell r="B687" t="str">
            <v>LECLERCQ Marcel</v>
          </cell>
          <cell r="C687" t="str">
            <v>LECLERCQ Marcel</v>
          </cell>
          <cell r="D687" t="str">
            <v>Notaris</v>
          </cell>
          <cell r="E687" t="str">
            <v>Rue de Pâturages</v>
          </cell>
          <cell r="F687" t="str">
            <v>13</v>
          </cell>
          <cell r="G687" t="str">
            <v/>
          </cell>
          <cell r="H687" t="str">
            <v>7390</v>
          </cell>
          <cell r="I687" t="str">
            <v>Hainaut</v>
          </cell>
          <cell r="K687" t="str">
            <v>Quaregnon</v>
          </cell>
          <cell r="M687" t="str">
            <v>M</v>
          </cell>
          <cell r="O687" t="str">
            <v>065.51.01.08</v>
          </cell>
          <cell r="P687" t="str">
            <v>065.51.01.10</v>
          </cell>
          <cell r="Q687" t="str">
            <v>BAUDOUIN.CASSART@NOTAIRE.BE</v>
          </cell>
          <cell r="R687">
            <v>3474</v>
          </cell>
        </row>
        <row r="688">
          <cell r="A688">
            <v>687</v>
          </cell>
          <cell r="B688" t="str">
            <v>LECOMTE André</v>
          </cell>
          <cell r="C688" t="str">
            <v>LECOMTE André</v>
          </cell>
          <cell r="D688" t="str">
            <v>Notaris</v>
          </cell>
          <cell r="E688" t="str">
            <v>Rue de Bruxelles</v>
          </cell>
          <cell r="F688" t="str">
            <v>2</v>
          </cell>
          <cell r="G688" t="str">
            <v/>
          </cell>
          <cell r="H688" t="str">
            <v>7090</v>
          </cell>
          <cell r="I688" t="str">
            <v>Hainaut</v>
          </cell>
          <cell r="K688" t="str">
            <v>Braine-le-Comte</v>
          </cell>
          <cell r="M688" t="str">
            <v>M</v>
          </cell>
          <cell r="O688" t="str">
            <v>067.55.08.20</v>
          </cell>
          <cell r="P688" t="str">
            <v>067.56.10.41</v>
          </cell>
          <cell r="Q688" t="str">
            <v>ANDRE.LECOMTE@NOTAIRE.BE</v>
          </cell>
          <cell r="R688">
            <v>2813</v>
          </cell>
        </row>
        <row r="689">
          <cell r="A689">
            <v>688</v>
          </cell>
          <cell r="B689" t="str">
            <v>LECOMTE Bénédicte</v>
          </cell>
          <cell r="C689" t="str">
            <v>LECOMTE Bénédicte</v>
          </cell>
          <cell r="D689" t="str">
            <v>Notaris</v>
          </cell>
          <cell r="E689" t="str">
            <v>Rue de Hamoir</v>
          </cell>
          <cell r="F689" t="str">
            <v>5</v>
          </cell>
          <cell r="G689" t="str">
            <v/>
          </cell>
          <cell r="H689" t="str">
            <v>4590</v>
          </cell>
          <cell r="I689" t="str">
            <v>Liège</v>
          </cell>
          <cell r="K689" t="str">
            <v>Ouffet</v>
          </cell>
          <cell r="M689" t="str">
            <v>Vr</v>
          </cell>
          <cell r="O689" t="str">
            <v>086.36.62.06</v>
          </cell>
          <cell r="P689" t="str">
            <v>086.36.61.94</v>
          </cell>
          <cell r="Q689" t="str">
            <v>BENEDICTE.LECOMTE@NOTAIRE.BE</v>
          </cell>
          <cell r="R689">
            <v>3178</v>
          </cell>
        </row>
        <row r="690">
          <cell r="A690">
            <v>689</v>
          </cell>
          <cell r="B690" t="str">
            <v>LECONTE François</v>
          </cell>
          <cell r="C690" t="str">
            <v>LECONTE François</v>
          </cell>
          <cell r="D690" t="str">
            <v>Notaris</v>
          </cell>
          <cell r="E690" t="str">
            <v>Edegemsestraat</v>
          </cell>
          <cell r="F690" t="str">
            <v>14</v>
          </cell>
          <cell r="G690" t="str">
            <v/>
          </cell>
          <cell r="H690" t="str">
            <v>2640</v>
          </cell>
          <cell r="I690" t="str">
            <v>Antwerpen</v>
          </cell>
          <cell r="K690" t="str">
            <v>Mortsel</v>
          </cell>
          <cell r="M690" t="str">
            <v>M</v>
          </cell>
          <cell r="O690" t="str">
            <v>03.440.24.00</v>
          </cell>
          <cell r="P690" t="str">
            <v>03.440.10.20</v>
          </cell>
          <cell r="Q690" t="str">
            <v>FRANCOIS.LECONTE@NOTARIS.BE</v>
          </cell>
          <cell r="R690">
            <v>2597</v>
          </cell>
        </row>
        <row r="691">
          <cell r="A691">
            <v>690</v>
          </cell>
          <cell r="B691" t="str">
            <v>LEDENT Robert</v>
          </cell>
          <cell r="C691" t="str">
            <v>LEDENT Robert</v>
          </cell>
          <cell r="D691" t="str">
            <v>Notaris</v>
          </cell>
          <cell r="E691" t="str">
            <v>rue des Arsilliers</v>
          </cell>
          <cell r="F691" t="str">
            <v>26</v>
          </cell>
          <cell r="G691" t="str">
            <v/>
          </cell>
          <cell r="H691" t="str">
            <v>4960</v>
          </cell>
          <cell r="I691" t="str">
            <v>Liège</v>
          </cell>
          <cell r="K691" t="str">
            <v>Malmédy</v>
          </cell>
          <cell r="M691" t="str">
            <v>M</v>
          </cell>
          <cell r="O691" t="str">
            <v>080.79.15.80</v>
          </cell>
          <cell r="P691" t="str">
            <v>080.79.15.81</v>
          </cell>
          <cell r="Q691" t="str">
            <v>robert.ledent@belnot.be</v>
          </cell>
          <cell r="R691">
            <v>2760</v>
          </cell>
        </row>
        <row r="692">
          <cell r="A692">
            <v>691</v>
          </cell>
          <cell r="B692" t="str">
            <v>Ledoux Jean-Luc &amp; Hugard Patrick</v>
          </cell>
          <cell r="C692" t="str">
            <v>Ledoux Jean-Luc</v>
          </cell>
          <cell r="D692" t="str">
            <v>Geassocieerd Notaris</v>
          </cell>
          <cell r="E692" t="str">
            <v>Rue du Cadastre</v>
          </cell>
          <cell r="F692" t="str">
            <v>45</v>
          </cell>
          <cell r="G692" t="str">
            <v/>
          </cell>
          <cell r="H692" t="str">
            <v>5060</v>
          </cell>
          <cell r="I692" t="str">
            <v>Namur</v>
          </cell>
          <cell r="K692" t="str">
            <v>Tamines</v>
          </cell>
          <cell r="M692" t="str">
            <v>M</v>
          </cell>
          <cell r="O692" t="str">
            <v>071.77.12.91</v>
          </cell>
          <cell r="P692" t="str">
            <v>071.76.03.49</v>
          </cell>
          <cell r="Q692" t="str">
            <v>JEANLUC.LEDOUX@NOTAIRE.BE</v>
          </cell>
          <cell r="R692">
            <v>15</v>
          </cell>
        </row>
        <row r="693">
          <cell r="A693">
            <v>692</v>
          </cell>
          <cell r="B693" t="str">
            <v>LEDOUX Jean-Paul</v>
          </cell>
          <cell r="C693" t="str">
            <v>LEDOUX Jean-Paul</v>
          </cell>
          <cell r="D693" t="str">
            <v>Notaris</v>
          </cell>
          <cell r="E693" t="str">
            <v>Rue Comte Th. d´Ursel</v>
          </cell>
          <cell r="F693" t="str">
            <v>40</v>
          </cell>
          <cell r="G693" t="str">
            <v/>
          </cell>
          <cell r="H693" t="str">
            <v>6940</v>
          </cell>
          <cell r="I693" t="str">
            <v>Luxembourg</v>
          </cell>
          <cell r="K693" t="str">
            <v>Durbuy</v>
          </cell>
          <cell r="M693" t="str">
            <v>M</v>
          </cell>
          <cell r="O693" t="str">
            <v>086.21.18.50</v>
          </cell>
          <cell r="P693" t="str">
            <v>086.21.16.94</v>
          </cell>
          <cell r="Q693" t="str">
            <v>jeanpaul.ledoux@belnot.be</v>
          </cell>
          <cell r="R693">
            <v>19</v>
          </cell>
        </row>
        <row r="694">
          <cell r="A694">
            <v>693</v>
          </cell>
          <cell r="B694" t="str">
            <v>LEEMANS Lode</v>
          </cell>
          <cell r="C694" t="str">
            <v>LEEMANS Lode</v>
          </cell>
          <cell r="D694" t="str">
            <v>Notaris</v>
          </cell>
          <cell r="E694" t="str">
            <v>Gaspeldoornlaan</v>
          </cell>
          <cell r="F694" t="str">
            <v>27</v>
          </cell>
          <cell r="G694" t="str">
            <v/>
          </cell>
          <cell r="H694" t="str">
            <v>1600</v>
          </cell>
          <cell r="I694" t="str">
            <v>Vlaams Brabant</v>
          </cell>
          <cell r="K694" t="str">
            <v>Sint-Pieters-Leeuw</v>
          </cell>
          <cell r="M694" t="str">
            <v>M</v>
          </cell>
          <cell r="O694" t="str">
            <v>02.377.19.85</v>
          </cell>
          <cell r="P694" t="str">
            <v>02.377.92.16</v>
          </cell>
          <cell r="Q694" t="str">
            <v>LODE.LEEMANS@NOTARIS.BE</v>
          </cell>
          <cell r="R694">
            <v>3434</v>
          </cell>
        </row>
        <row r="695">
          <cell r="A695">
            <v>694</v>
          </cell>
          <cell r="B695" t="str">
            <v>LEEMANS Marcel</v>
          </cell>
          <cell r="C695" t="str">
            <v>LEEMANS Marcel</v>
          </cell>
          <cell r="D695" t="str">
            <v>Notaris</v>
          </cell>
          <cell r="E695" t="str">
            <v>Vaartdijk</v>
          </cell>
          <cell r="F695" t="str">
            <v>25</v>
          </cell>
          <cell r="G695" t="str">
            <v/>
          </cell>
          <cell r="H695" t="str">
            <v>2800</v>
          </cell>
          <cell r="I695" t="str">
            <v>Antwerpen</v>
          </cell>
          <cell r="K695" t="str">
            <v>Mechelen</v>
          </cell>
          <cell r="M695" t="str">
            <v>M</v>
          </cell>
          <cell r="O695" t="str">
            <v>015.41.22.00</v>
          </cell>
          <cell r="P695" t="str">
            <v>015.42.18.39</v>
          </cell>
          <cell r="Q695" t="str">
            <v>MARCEL.LEEMANS@NOTARIS.BE</v>
          </cell>
          <cell r="R695">
            <v>1186</v>
          </cell>
        </row>
        <row r="696">
          <cell r="A696">
            <v>695</v>
          </cell>
          <cell r="B696" t="str">
            <v>LEFEBVRE Géry</v>
          </cell>
          <cell r="C696" t="str">
            <v>LEFEBVRE Géry</v>
          </cell>
          <cell r="D696" t="str">
            <v>Notaris</v>
          </cell>
          <cell r="E696" t="str">
            <v>Rue A. Descamps</v>
          </cell>
          <cell r="F696" t="str">
            <v>9</v>
          </cell>
          <cell r="G696" t="str">
            <v/>
          </cell>
          <cell r="H696" t="str">
            <v>7382</v>
          </cell>
          <cell r="I696" t="str">
            <v>Hainaut</v>
          </cell>
          <cell r="K696" t="str">
            <v>Audregnies</v>
          </cell>
          <cell r="M696" t="str">
            <v>M</v>
          </cell>
          <cell r="O696" t="str">
            <v>065.45.71.68</v>
          </cell>
          <cell r="P696" t="str">
            <v>065.45.04.04</v>
          </cell>
          <cell r="Q696" t="str">
            <v>GERY.LEFEBVRE@NOTAIRE.BE</v>
          </cell>
          <cell r="R696">
            <v>2944</v>
          </cell>
        </row>
        <row r="697">
          <cell r="A697">
            <v>696</v>
          </cell>
          <cell r="B697" t="str">
            <v>LEFEBVRE Patrick</v>
          </cell>
          <cell r="C697" t="str">
            <v>LEFEBVRE Patrick</v>
          </cell>
          <cell r="D697" t="str">
            <v>Notaris</v>
          </cell>
          <cell r="E697" t="str">
            <v>Avenue Louise</v>
          </cell>
          <cell r="F697" t="str">
            <v>363</v>
          </cell>
          <cell r="G697" t="str">
            <v>bte 12</v>
          </cell>
          <cell r="H697" t="str">
            <v>1050</v>
          </cell>
          <cell r="I697" t="str">
            <v>Bruxelles</v>
          </cell>
          <cell r="K697" t="str">
            <v>Bruxelles</v>
          </cell>
          <cell r="M697" t="str">
            <v>M</v>
          </cell>
          <cell r="O697" t="str">
            <v>02.649.60.33</v>
          </cell>
          <cell r="P697" t="str">
            <v>02.649.63.75</v>
          </cell>
          <cell r="Q697" t="str">
            <v>PATRICK.LEFEBVRE@NOTAIRE.BE</v>
          </cell>
          <cell r="R697">
            <v>2875</v>
          </cell>
        </row>
        <row r="698">
          <cell r="A698">
            <v>697</v>
          </cell>
          <cell r="B698" t="str">
            <v>LEGAY Jacques</v>
          </cell>
          <cell r="C698" t="str">
            <v>LEGAY Jacques</v>
          </cell>
          <cell r="D698" t="str">
            <v>Notaris</v>
          </cell>
          <cell r="E698" t="str">
            <v>Avenue de la Couture</v>
          </cell>
          <cell r="F698" t="str">
            <v>29</v>
          </cell>
          <cell r="G698" t="str">
            <v/>
          </cell>
          <cell r="H698" t="str">
            <v>6530</v>
          </cell>
          <cell r="I698" t="str">
            <v>Hainaut</v>
          </cell>
          <cell r="K698" t="str">
            <v>Thuin</v>
          </cell>
          <cell r="M698" t="str">
            <v>M</v>
          </cell>
          <cell r="O698" t="str">
            <v>071.59.00.68</v>
          </cell>
          <cell r="P698" t="str">
            <v>071.59.28.48</v>
          </cell>
          <cell r="Q698" t="str">
            <v>JACQUES.LEGAY@NOTAIRE.BE</v>
          </cell>
          <cell r="R698">
            <v>2521</v>
          </cell>
        </row>
        <row r="699">
          <cell r="A699">
            <v>698</v>
          </cell>
          <cell r="B699" t="str">
            <v>LELEU Anthony</v>
          </cell>
          <cell r="C699" t="str">
            <v>LELEU Anthony</v>
          </cell>
          <cell r="D699" t="str">
            <v>Notaris</v>
          </cell>
          <cell r="E699" t="str">
            <v>rue de Wervicq</v>
          </cell>
          <cell r="F699" t="str">
            <v>46</v>
          </cell>
          <cell r="G699" t="str">
            <v/>
          </cell>
          <cell r="H699" t="str">
            <v>7780</v>
          </cell>
          <cell r="I699" t="str">
            <v>Hainaut</v>
          </cell>
          <cell r="K699" t="str">
            <v>Comines-Warneton</v>
          </cell>
          <cell r="M699" t="str">
            <v>M</v>
          </cell>
          <cell r="O699" t="str">
            <v>056.55.52.07</v>
          </cell>
          <cell r="P699" t="str">
            <v>056.55.91.50</v>
          </cell>
          <cell r="Q699" t="str">
            <v>ANTHONY.LELEU@NOTAIRE.BE</v>
          </cell>
          <cell r="R699">
            <v>3423</v>
          </cell>
        </row>
        <row r="700">
          <cell r="A700">
            <v>699</v>
          </cell>
          <cell r="B700" t="str">
            <v>LEMAIGRE Bernard</v>
          </cell>
          <cell r="C700" t="str">
            <v>LEMAIGRE Bernard</v>
          </cell>
          <cell r="D700" t="str">
            <v>Notaris</v>
          </cell>
          <cell r="E700" t="str">
            <v>Rue des Preys</v>
          </cell>
          <cell r="F700" t="str">
            <v>28</v>
          </cell>
          <cell r="G700" t="str">
            <v/>
          </cell>
          <cell r="H700" t="str">
            <v>6061</v>
          </cell>
          <cell r="I700" t="str">
            <v>Hainaut</v>
          </cell>
          <cell r="K700" t="str">
            <v>Montignies-sur-Sambre</v>
          </cell>
          <cell r="M700" t="str">
            <v>M</v>
          </cell>
          <cell r="O700" t="str">
            <v>071.32.09.94</v>
          </cell>
          <cell r="P700" t="str">
            <v>071.32.15.68</v>
          </cell>
          <cell r="Q700" t="str">
            <v>BERNARD.LEMAIGRE@NOTAIRE.BE</v>
          </cell>
          <cell r="R700">
            <v>3132</v>
          </cell>
        </row>
        <row r="701">
          <cell r="A701">
            <v>700</v>
          </cell>
          <cell r="B701" t="str">
            <v>le MAIRE Benoît</v>
          </cell>
          <cell r="C701" t="str">
            <v>leMaire Benoîy</v>
          </cell>
          <cell r="D701" t="str">
            <v>Notaris</v>
          </cell>
          <cell r="E701" t="str">
            <v>rue de la Gendarmerie</v>
          </cell>
          <cell r="F701" t="str">
            <v>10 A</v>
          </cell>
          <cell r="G701" t="str">
            <v/>
          </cell>
          <cell r="H701" t="str">
            <v>1380</v>
          </cell>
          <cell r="I701" t="str">
            <v>Brabant Wallon</v>
          </cell>
          <cell r="K701" t="str">
            <v>Lasne</v>
          </cell>
          <cell r="M701" t="str">
            <v>M</v>
          </cell>
          <cell r="O701" t="str">
            <v>02.633.51.97</v>
          </cell>
          <cell r="P701" t="str">
            <v>02.633.58.94</v>
          </cell>
          <cell r="Q701" t="str">
            <v>BENOIT.LEMAIRE@NOTAIRE.BE</v>
          </cell>
          <cell r="R701">
            <v>3355</v>
          </cell>
        </row>
        <row r="702">
          <cell r="A702">
            <v>701</v>
          </cell>
          <cell r="B702" t="str">
            <v>le MAIRE Bruno</v>
          </cell>
          <cell r="C702" t="str">
            <v>leMaire Bruno</v>
          </cell>
          <cell r="D702" t="str">
            <v>Notaris</v>
          </cell>
          <cell r="E702" t="str">
            <v>Avenue de Stalingradlaan</v>
          </cell>
          <cell r="F702" t="str">
            <v>37</v>
          </cell>
          <cell r="G702" t="str">
            <v/>
          </cell>
          <cell r="H702" t="str">
            <v>1000</v>
          </cell>
          <cell r="I702" t="str">
            <v>Bruxelles</v>
          </cell>
          <cell r="K702" t="str">
            <v>Bruxelles</v>
          </cell>
          <cell r="M702" t="str">
            <v>M</v>
          </cell>
          <cell r="O702" t="str">
            <v>02.512.23.31</v>
          </cell>
          <cell r="P702" t="str">
            <v>02.513.47.27</v>
          </cell>
          <cell r="Q702" t="str">
            <v>BRUNO.LEMAIRE@NOTAIRE.BE</v>
          </cell>
          <cell r="R702">
            <v>3005</v>
          </cell>
        </row>
        <row r="703">
          <cell r="A703">
            <v>702</v>
          </cell>
          <cell r="B703" t="str">
            <v>le MAIRE Louis</v>
          </cell>
          <cell r="C703" t="str">
            <v>leMaire Louis</v>
          </cell>
          <cell r="D703" t="str">
            <v>Notaris</v>
          </cell>
          <cell r="E703" t="str">
            <v>Rue Haute Voie</v>
          </cell>
          <cell r="F703" t="str">
            <v>59</v>
          </cell>
          <cell r="G703" t="str">
            <v/>
          </cell>
          <cell r="H703" t="str">
            <v>4537</v>
          </cell>
          <cell r="I703" t="str">
            <v>Liège</v>
          </cell>
          <cell r="K703" t="str">
            <v>Verlaine</v>
          </cell>
          <cell r="M703" t="str">
            <v>M</v>
          </cell>
          <cell r="O703" t="str">
            <v>04.259.50.75</v>
          </cell>
          <cell r="P703" t="str">
            <v>04.259.57.88</v>
          </cell>
          <cell r="Q703" t="str">
            <v>LOUIS.LEMAIRE@NOTAIRE.BE</v>
          </cell>
          <cell r="R703">
            <v>2727</v>
          </cell>
        </row>
        <row r="704">
          <cell r="A704">
            <v>703</v>
          </cell>
          <cell r="B704" t="str">
            <v>LEMEY Francis</v>
          </cell>
          <cell r="C704" t="str">
            <v>LEMEY Francis</v>
          </cell>
          <cell r="D704" t="str">
            <v>Notaris</v>
          </cell>
          <cell r="E704" t="str">
            <v>G. Callierlaan</v>
          </cell>
          <cell r="F704" t="str">
            <v>106</v>
          </cell>
          <cell r="G704" t="str">
            <v/>
          </cell>
          <cell r="H704" t="str">
            <v>9000</v>
          </cell>
          <cell r="I704" t="str">
            <v>Oost-Vlaanderen</v>
          </cell>
          <cell r="K704" t="str">
            <v>Gent</v>
          </cell>
          <cell r="M704" t="str">
            <v>M</v>
          </cell>
          <cell r="O704" t="str">
            <v>09.223.42.57</v>
          </cell>
          <cell r="P704" t="str">
            <v>09.223.94.77</v>
          </cell>
          <cell r="Q704" t="str">
            <v>FRANCIS.LEMEY@NOTARIS.BE</v>
          </cell>
          <cell r="R704">
            <v>3612</v>
          </cell>
        </row>
        <row r="705">
          <cell r="A705">
            <v>704</v>
          </cell>
          <cell r="B705" t="str">
            <v>LEMMERLING Patrick</v>
          </cell>
          <cell r="C705" t="str">
            <v>LEMMERLING Patrick</v>
          </cell>
          <cell r="D705" t="str">
            <v>Notaris</v>
          </cell>
          <cell r="E705" t="str">
            <v>Raakstraat</v>
          </cell>
          <cell r="F705" t="str">
            <v>8</v>
          </cell>
          <cell r="G705" t="str">
            <v/>
          </cell>
          <cell r="H705" t="str">
            <v>9240</v>
          </cell>
          <cell r="I705" t="str">
            <v>Oost-Vlaanderen</v>
          </cell>
          <cell r="K705" t="str">
            <v>Zele</v>
          </cell>
          <cell r="M705" t="str">
            <v>M</v>
          </cell>
          <cell r="O705" t="str">
            <v>052.44.67.05</v>
          </cell>
          <cell r="P705" t="str">
            <v>052.45.06.92</v>
          </cell>
          <cell r="Q705" t="str">
            <v>PATRICK.LEMMERLING@NOTARIS.BE</v>
          </cell>
          <cell r="R705">
            <v>2514</v>
          </cell>
        </row>
        <row r="706">
          <cell r="A706">
            <v>705</v>
          </cell>
          <cell r="B706" t="str">
            <v>LEMOINE Pierre</v>
          </cell>
          <cell r="C706" t="str">
            <v>LEMOINE Pierre</v>
          </cell>
          <cell r="D706" t="str">
            <v>Notaris</v>
          </cell>
          <cell r="E706" t="str">
            <v>Rue de Pavillonchamps</v>
          </cell>
          <cell r="F706" t="str">
            <v>14</v>
          </cell>
          <cell r="G706" t="str">
            <v/>
          </cell>
          <cell r="H706" t="str">
            <v>4920</v>
          </cell>
          <cell r="I706" t="str">
            <v>Liège</v>
          </cell>
          <cell r="K706" t="str">
            <v>Harzé</v>
          </cell>
          <cell r="M706" t="str">
            <v>M</v>
          </cell>
          <cell r="O706" t="str">
            <v>04.384.48.41</v>
          </cell>
          <cell r="P706" t="str">
            <v>04.384.63.58</v>
          </cell>
          <cell r="Q706" t="str">
            <v>PIERRE.LEMOINE@NOTAIRE.BE</v>
          </cell>
          <cell r="R706">
            <v>2474</v>
          </cell>
        </row>
        <row r="707">
          <cell r="A707">
            <v>706</v>
          </cell>
          <cell r="B707" t="str">
            <v>LEMPEREUR Benoit</v>
          </cell>
          <cell r="C707" t="str">
            <v>LEMPEREUR Benoit</v>
          </cell>
          <cell r="D707" t="str">
            <v>Notaris</v>
          </cell>
          <cell r="E707" t="str">
            <v>Rue d´Arlon</v>
          </cell>
          <cell r="F707" t="str">
            <v>17</v>
          </cell>
          <cell r="G707" t="str">
            <v/>
          </cell>
          <cell r="H707" t="str">
            <v>6747</v>
          </cell>
          <cell r="I707" t="str">
            <v>Luxembourg</v>
          </cell>
          <cell r="K707" t="str">
            <v>Saint-Léger Lux.)</v>
          </cell>
          <cell r="M707" t="str">
            <v>M</v>
          </cell>
          <cell r="O707" t="str">
            <v>063.23.96.26</v>
          </cell>
          <cell r="P707" t="str">
            <v>063.23.96.29</v>
          </cell>
          <cell r="Q707" t="str">
            <v>BENOIT.LEMPEREUR@Notaire.be</v>
          </cell>
          <cell r="R707">
            <v>936</v>
          </cell>
        </row>
        <row r="708">
          <cell r="A708">
            <v>707</v>
          </cell>
          <cell r="B708" t="str">
            <v>LENAERTS &amp; JADOUL</v>
          </cell>
          <cell r="C708" t="str">
            <v>Lenaerts Arthur</v>
          </cell>
          <cell r="D708" t="str">
            <v>Geassocieerd Notaris</v>
          </cell>
          <cell r="E708" t="str">
            <v>Duisburgsesteenweg</v>
          </cell>
          <cell r="F708" t="str">
            <v>18</v>
          </cell>
          <cell r="G708" t="str">
            <v/>
          </cell>
          <cell r="H708" t="str">
            <v>3080</v>
          </cell>
          <cell r="I708" t="str">
            <v>Vlaams Brabant</v>
          </cell>
          <cell r="K708" t="str">
            <v>Tervuren</v>
          </cell>
          <cell r="M708" t="str">
            <v>M</v>
          </cell>
          <cell r="O708" t="str">
            <v>02.767.31.67.</v>
          </cell>
          <cell r="P708" t="str">
            <v>02.767.75.60.</v>
          </cell>
          <cell r="Q708" t="str">
            <v>ARTHUR.LENAERTS@NOTARIS.BE</v>
          </cell>
          <cell r="R708">
            <v>3667</v>
          </cell>
        </row>
        <row r="709">
          <cell r="A709">
            <v>708</v>
          </cell>
          <cell r="B709" t="str">
            <v>Frederika LENS &amp; Jo ABBELOOS</v>
          </cell>
          <cell r="C709" t="str">
            <v>Lens Frederika</v>
          </cell>
          <cell r="D709" t="str">
            <v>Geassocieerd Notaris</v>
          </cell>
          <cell r="E709" t="str">
            <v>Grote Markt</v>
          </cell>
          <cell r="F709" t="str">
            <v>3</v>
          </cell>
          <cell r="G709" t="str">
            <v/>
          </cell>
          <cell r="H709" t="str">
            <v>1800</v>
          </cell>
          <cell r="I709" t="str">
            <v>Vlaams Brabant</v>
          </cell>
          <cell r="K709" t="str">
            <v>Vilvoorde</v>
          </cell>
          <cell r="M709" t="str">
            <v>Vr</v>
          </cell>
          <cell r="O709" t="str">
            <v>02.251.51.39</v>
          </cell>
          <cell r="P709" t="str">
            <v>02.252.53.81</v>
          </cell>
          <cell r="Q709" t="str">
            <v>frederika.lens@notaris.be</v>
          </cell>
          <cell r="R709">
            <v>3582</v>
          </cell>
          <cell r="T709">
            <v>38743</v>
          </cell>
        </row>
        <row r="710">
          <cell r="A710">
            <v>709</v>
          </cell>
          <cell r="B710" t="str">
            <v>VERHASSELT LEONARD &amp; VAN BELLINGHEN</v>
          </cell>
          <cell r="C710" t="str">
            <v>Leonard Marie-Antoinette</v>
          </cell>
          <cell r="D710" t="str">
            <v>Geassocieerd Notaris</v>
          </cell>
          <cell r="E710" t="str">
            <v>de Limburg Stirumlaan</v>
          </cell>
          <cell r="F710" t="str">
            <v>73</v>
          </cell>
          <cell r="G710" t="str">
            <v/>
          </cell>
          <cell r="H710" t="str">
            <v>1780</v>
          </cell>
          <cell r="I710" t="str">
            <v>Vlaams Brabant</v>
          </cell>
          <cell r="K710" t="str">
            <v>Wemmel</v>
          </cell>
          <cell r="M710" t="str">
            <v>Vr</v>
          </cell>
          <cell r="O710" t="str">
            <v>02.460.46.10</v>
          </cell>
          <cell r="P710" t="str">
            <v>02.460.08.38</v>
          </cell>
          <cell r="Q710" t="str">
            <v>marieantionette.leonard@notaris.be</v>
          </cell>
          <cell r="R710">
            <v>3561</v>
          </cell>
        </row>
        <row r="711">
          <cell r="A711">
            <v>710</v>
          </cell>
          <cell r="B711" t="str">
            <v>LERICHE Jean</v>
          </cell>
          <cell r="C711" t="str">
            <v>LERICHE Jean</v>
          </cell>
          <cell r="D711" t="str">
            <v>Notaris</v>
          </cell>
          <cell r="E711" t="str">
            <v>rue du Calvaire</v>
          </cell>
          <cell r="F711" t="str">
            <v>10-12</v>
          </cell>
          <cell r="G711" t="str">
            <v/>
          </cell>
          <cell r="H711" t="str">
            <v>7870</v>
          </cell>
          <cell r="I711" t="str">
            <v>Hainaut</v>
          </cell>
          <cell r="K711" t="str">
            <v>Lens</v>
          </cell>
          <cell r="M711" t="str">
            <v>M</v>
          </cell>
          <cell r="O711" t="str">
            <v>065.22.55.71</v>
          </cell>
          <cell r="P711" t="str">
            <v>065.22.76.26</v>
          </cell>
          <cell r="Q711" t="str">
            <v>JEANPIERRE.LERICHE@NOTAIRE.BE</v>
          </cell>
          <cell r="R711">
            <v>3188</v>
          </cell>
        </row>
        <row r="712">
          <cell r="A712">
            <v>711</v>
          </cell>
          <cell r="B712" t="str">
            <v>LE ROUX Charles-Henry</v>
          </cell>
          <cell r="C712" t="str">
            <v>LeRoux Charles-Henry</v>
          </cell>
          <cell r="D712" t="str">
            <v>Notaris</v>
          </cell>
          <cell r="E712" t="str">
            <v>Haute-Saive</v>
          </cell>
          <cell r="F712" t="str">
            <v>35</v>
          </cell>
          <cell r="G712" t="str">
            <v/>
          </cell>
          <cell r="H712" t="str">
            <v>4671</v>
          </cell>
          <cell r="I712" t="str">
            <v>Liège</v>
          </cell>
          <cell r="K712" t="str">
            <v>Saive</v>
          </cell>
          <cell r="M712" t="str">
            <v>M</v>
          </cell>
          <cell r="O712" t="str">
            <v>04.362.62.42</v>
          </cell>
          <cell r="P712" t="str">
            <v>04.362.06.73</v>
          </cell>
          <cell r="Q712" t="str">
            <v>CHARLESHENRY.LEROUX@NOTAIRE.BE</v>
          </cell>
          <cell r="R712">
            <v>1263</v>
          </cell>
        </row>
        <row r="713">
          <cell r="A713">
            <v>712</v>
          </cell>
          <cell r="B713" t="str">
            <v>LERUT Erik</v>
          </cell>
          <cell r="C713" t="str">
            <v>LERUT Erik</v>
          </cell>
          <cell r="D713" t="str">
            <v>Notaris</v>
          </cell>
          <cell r="E713" t="str">
            <v>Leuvensesteenweg</v>
          </cell>
          <cell r="F713" t="str">
            <v>238</v>
          </cell>
          <cell r="G713" t="str">
            <v>bus 1</v>
          </cell>
          <cell r="H713" t="str">
            <v>3390</v>
          </cell>
          <cell r="I713" t="str">
            <v>Vlaams Brabant</v>
          </cell>
          <cell r="K713" t="str">
            <v>Sint-Joris-Winge</v>
          </cell>
          <cell r="M713" t="str">
            <v>M</v>
          </cell>
          <cell r="O713" t="str">
            <v>016.63.02.55</v>
          </cell>
          <cell r="P713" t="str">
            <v>016.63.02.64</v>
          </cell>
          <cell r="Q713" t="str">
            <v>ERIK.LERUT@NOTARIS.BE</v>
          </cell>
          <cell r="R713">
            <v>3379</v>
          </cell>
          <cell r="S713" t="str">
            <v>000-1623328-33</v>
          </cell>
          <cell r="T713">
            <v>36244</v>
          </cell>
        </row>
        <row r="714">
          <cell r="A714">
            <v>713</v>
          </cell>
          <cell r="B714" t="str">
            <v>LESAGE Jean-Pierre</v>
          </cell>
          <cell r="C714" t="str">
            <v>LESAGE Jean-Pierre</v>
          </cell>
          <cell r="D714" t="str">
            <v>Notaris</v>
          </cell>
          <cell r="E714" t="str">
            <v>Bruggestraat</v>
          </cell>
          <cell r="F714" t="str">
            <v>92</v>
          </cell>
          <cell r="G714" t="str">
            <v/>
          </cell>
          <cell r="H714" t="str">
            <v>8830</v>
          </cell>
          <cell r="I714" t="str">
            <v>West-Vlaanderen</v>
          </cell>
          <cell r="K714" t="str">
            <v>Hooglede</v>
          </cell>
          <cell r="L714">
            <v>17785</v>
          </cell>
          <cell r="M714" t="str">
            <v>M</v>
          </cell>
          <cell r="O714" t="str">
            <v>051.20.06.87</v>
          </cell>
          <cell r="P714" t="str">
            <v>051.22.90.05</v>
          </cell>
          <cell r="Q714" t="str">
            <v>JEANPIERRE.LESAGE@NOTARIS.BE</v>
          </cell>
          <cell r="R714">
            <v>2817</v>
          </cell>
        </row>
        <row r="715">
          <cell r="A715">
            <v>714</v>
          </cell>
          <cell r="B715" t="str">
            <v>LESSELIERS Vincent</v>
          </cell>
          <cell r="C715" t="str">
            <v>LESSELIERS Vincent</v>
          </cell>
          <cell r="D715" t="str">
            <v>Notaris</v>
          </cell>
          <cell r="E715" t="str">
            <v>D. Van Beverenlaan</v>
          </cell>
          <cell r="F715" t="str">
            <v>42</v>
          </cell>
          <cell r="G715" t="str">
            <v/>
          </cell>
          <cell r="H715" t="str">
            <v>9120</v>
          </cell>
          <cell r="I715" t="str">
            <v>Oost-Vlaanderen</v>
          </cell>
          <cell r="K715" t="str">
            <v>Beveren</v>
          </cell>
          <cell r="M715" t="str">
            <v>M</v>
          </cell>
          <cell r="O715" t="str">
            <v>03.775.77.83</v>
          </cell>
          <cell r="P715" t="str">
            <v>03.755.15.17</v>
          </cell>
          <cell r="Q715" t="str">
            <v>VINCENT.LESSELIERS@NOTARIS.BE</v>
          </cell>
          <cell r="R715">
            <v>3573</v>
          </cell>
        </row>
        <row r="716">
          <cell r="A716">
            <v>715</v>
          </cell>
          <cell r="B716" t="str">
            <v>LESSELIERS Yves</v>
          </cell>
          <cell r="C716" t="str">
            <v>LESSELIERS Yves</v>
          </cell>
          <cell r="D716" t="str">
            <v>Notaris</v>
          </cell>
          <cell r="E716" t="str">
            <v>Markt</v>
          </cell>
          <cell r="F716" t="str">
            <v>29</v>
          </cell>
          <cell r="G716" t="str">
            <v/>
          </cell>
          <cell r="H716" t="str">
            <v>2490</v>
          </cell>
          <cell r="I716" t="str">
            <v>Antwerpen</v>
          </cell>
          <cell r="K716" t="str">
            <v>Balen</v>
          </cell>
          <cell r="M716" t="str">
            <v>M</v>
          </cell>
          <cell r="O716" t="str">
            <v>014.81.29.52</v>
          </cell>
          <cell r="P716" t="str">
            <v>014.81.63.50</v>
          </cell>
          <cell r="Q716" t="str">
            <v>YVES.LESSELIERS@NOTARIS.BE</v>
          </cell>
          <cell r="R716">
            <v>1256</v>
          </cell>
        </row>
        <row r="717">
          <cell r="A717">
            <v>716</v>
          </cell>
          <cell r="B717" t="str">
            <v>LETOCART-ANDRE Anne</v>
          </cell>
          <cell r="C717" t="str">
            <v>LETOCART-ANDRE Anne</v>
          </cell>
          <cell r="D717" t="str">
            <v>Notaris</v>
          </cell>
          <cell r="E717" t="str">
            <v>Rue du Marais</v>
          </cell>
          <cell r="F717" t="str">
            <v>10</v>
          </cell>
          <cell r="G717" t="str">
            <v/>
          </cell>
          <cell r="H717" t="str">
            <v>6940</v>
          </cell>
          <cell r="I717" t="str">
            <v>Luxembourg</v>
          </cell>
          <cell r="K717" t="str">
            <v>Barvaux-sur-Ourthe</v>
          </cell>
          <cell r="M717" t="str">
            <v>Vr</v>
          </cell>
          <cell r="O717" t="str">
            <v>086.21.17.60</v>
          </cell>
          <cell r="P717" t="str">
            <v>086.21.39.49</v>
          </cell>
          <cell r="Q717" t="str">
            <v>ANNE.LETOCARTANDRE@NOTAIRE.BE</v>
          </cell>
          <cell r="R717">
            <v>2643</v>
          </cell>
        </row>
        <row r="718">
          <cell r="A718">
            <v>717</v>
          </cell>
          <cell r="B718" t="str">
            <v>LEUNEN Michel</v>
          </cell>
          <cell r="C718" t="str">
            <v>LEUNEN Michel</v>
          </cell>
          <cell r="D718" t="str">
            <v>Notaris</v>
          </cell>
          <cell r="E718" t="str">
            <v>Leuvensestraat</v>
          </cell>
          <cell r="F718" t="str">
            <v>56</v>
          </cell>
          <cell r="G718" t="str">
            <v/>
          </cell>
          <cell r="H718" t="str">
            <v>1800</v>
          </cell>
          <cell r="I718" t="str">
            <v>Vlaams Brabant</v>
          </cell>
          <cell r="K718" t="str">
            <v>Vilvoorde</v>
          </cell>
          <cell r="M718" t="str">
            <v>M</v>
          </cell>
          <cell r="O718" t="str">
            <v>02.251.01.38</v>
          </cell>
          <cell r="P718" t="str">
            <v>02.251.48.60</v>
          </cell>
          <cell r="Q718" t="str">
            <v>MICHEL.LEUNEN@NOTARIS.BE</v>
          </cell>
          <cell r="R718">
            <v>939</v>
          </cell>
        </row>
        <row r="719">
          <cell r="A719">
            <v>718</v>
          </cell>
          <cell r="B719" t="str">
            <v>LEURIDAN &amp; DEJONGH</v>
          </cell>
          <cell r="C719" t="str">
            <v>Leuridan Pieter</v>
          </cell>
          <cell r="D719" t="str">
            <v>Geassocieerd Notaris</v>
          </cell>
          <cell r="E719" t="str">
            <v>Statiestraat</v>
          </cell>
          <cell r="F719" t="str">
            <v>16</v>
          </cell>
          <cell r="G719" t="str">
            <v/>
          </cell>
          <cell r="H719" t="str">
            <v>2920</v>
          </cell>
          <cell r="I719" t="str">
            <v>Antwerpen</v>
          </cell>
          <cell r="K719" t="str">
            <v>Kalmthout</v>
          </cell>
          <cell r="M719" t="str">
            <v>M</v>
          </cell>
          <cell r="O719" t="str">
            <v>03.666.55.46</v>
          </cell>
          <cell r="P719" t="str">
            <v>03.666.48.33</v>
          </cell>
          <cell r="Q719" t="str">
            <v>PIETER.LEURIDAN@NOTARIS.BE</v>
          </cell>
          <cell r="R719">
            <v>3524</v>
          </cell>
        </row>
        <row r="720">
          <cell r="A720">
            <v>719</v>
          </cell>
          <cell r="B720" t="str">
            <v>LEVECQ Benoit</v>
          </cell>
          <cell r="C720" t="str">
            <v>LEVECQ Benoit</v>
          </cell>
          <cell r="D720" t="str">
            <v>Notaris</v>
          </cell>
          <cell r="E720" t="str">
            <v>St.-Truidersteenweg</v>
          </cell>
          <cell r="F720" t="str">
            <v>23</v>
          </cell>
          <cell r="G720" t="str">
            <v/>
          </cell>
          <cell r="H720" t="str">
            <v>3540</v>
          </cell>
          <cell r="I720" t="str">
            <v>Limburg</v>
          </cell>
          <cell r="K720" t="str">
            <v>Herk-de-Stad</v>
          </cell>
          <cell r="M720" t="str">
            <v>M</v>
          </cell>
          <cell r="O720" t="str">
            <v>013.55.10.52</v>
          </cell>
          <cell r="P720" t="str">
            <v>013.55.12.60</v>
          </cell>
          <cell r="Q720" t="str">
            <v>BENOIT.LEVECQ@NOTARIS.BE</v>
          </cell>
          <cell r="R720">
            <v>3265</v>
          </cell>
        </row>
        <row r="721">
          <cell r="A721">
            <v>720</v>
          </cell>
          <cell r="B721" t="str">
            <v>LEVIE Eric</v>
          </cell>
          <cell r="C721" t="str">
            <v>LEVIE Eric</v>
          </cell>
          <cell r="D721" t="str">
            <v>Notaris</v>
          </cell>
          <cell r="E721" t="str">
            <v>Boulevard Lambermontlaan</v>
          </cell>
          <cell r="F721" t="str">
            <v>374</v>
          </cell>
          <cell r="G721" t="str">
            <v/>
          </cell>
          <cell r="H721" t="str">
            <v>1030</v>
          </cell>
          <cell r="I721" t="str">
            <v>Bruxelles</v>
          </cell>
          <cell r="K721" t="str">
            <v>Bruxelles</v>
          </cell>
          <cell r="M721" t="str">
            <v>M</v>
          </cell>
          <cell r="O721" t="str">
            <v>02.216.88.33</v>
          </cell>
          <cell r="P721" t="str">
            <v>02.215.37.54</v>
          </cell>
          <cell r="Q721" t="str">
            <v>ERIC.LEVIE@NOTAIRE.BE</v>
          </cell>
          <cell r="R721">
            <v>2603</v>
          </cell>
        </row>
        <row r="722">
          <cell r="A722">
            <v>721</v>
          </cell>
          <cell r="B722" t="str">
            <v>LEVIE Yves-Michel</v>
          </cell>
          <cell r="C722" t="str">
            <v>LEVIE Yves-Michel</v>
          </cell>
          <cell r="D722" t="str">
            <v>Notaris</v>
          </cell>
          <cell r="E722" t="str">
            <v>Rue A. Warocqué</v>
          </cell>
          <cell r="F722" t="str">
            <v>134</v>
          </cell>
          <cell r="G722" t="str">
            <v/>
          </cell>
          <cell r="H722" t="str">
            <v>7100</v>
          </cell>
          <cell r="I722" t="str">
            <v>Hainaut</v>
          </cell>
          <cell r="K722" t="str">
            <v>La Louvière</v>
          </cell>
          <cell r="M722" t="str">
            <v>M</v>
          </cell>
          <cell r="O722" t="str">
            <v>064.22.35.42</v>
          </cell>
          <cell r="P722" t="str">
            <v>064.26.08.61</v>
          </cell>
          <cell r="Q722" t="str">
            <v>YVESMICHEL.LEVIE@NOTAIRE.BE</v>
          </cell>
          <cell r="R722">
            <v>2599</v>
          </cell>
        </row>
        <row r="723">
          <cell r="A723">
            <v>722</v>
          </cell>
          <cell r="B723" t="str">
            <v>LHOIR Anny</v>
          </cell>
          <cell r="C723" t="str">
            <v>LHOIR Anny</v>
          </cell>
          <cell r="D723" t="str">
            <v>Notaris</v>
          </cell>
          <cell r="E723" t="str">
            <v>Rue Georges Clémenceau</v>
          </cell>
          <cell r="F723" t="str">
            <v>8</v>
          </cell>
          <cell r="G723" t="str">
            <v/>
          </cell>
          <cell r="H723" t="str">
            <v>7012</v>
          </cell>
          <cell r="I723" t="str">
            <v>Hainaut</v>
          </cell>
          <cell r="K723" t="str">
            <v>Jemappes</v>
          </cell>
          <cell r="M723" t="str">
            <v>Vr</v>
          </cell>
          <cell r="O723" t="str">
            <v>065.82.21.25</v>
          </cell>
          <cell r="P723" t="str">
            <v>065.82.44.63</v>
          </cell>
          <cell r="Q723" t="str">
            <v>anny.lhoir@notaire.be</v>
          </cell>
          <cell r="R723">
            <v>3260</v>
          </cell>
        </row>
        <row r="724">
          <cell r="A724">
            <v>723</v>
          </cell>
          <cell r="B724" t="str">
            <v>LHOTE Jean-Louis</v>
          </cell>
          <cell r="C724" t="str">
            <v>LHOTE Jean-Louis</v>
          </cell>
          <cell r="D724" t="str">
            <v>Notaris</v>
          </cell>
          <cell r="E724" t="str">
            <v>Rue du Roi Albert</v>
          </cell>
          <cell r="F724" t="str">
            <v>15</v>
          </cell>
          <cell r="G724" t="str">
            <v xml:space="preserve"> </v>
          </cell>
          <cell r="H724" t="str">
            <v>7370</v>
          </cell>
          <cell r="I724" t="str">
            <v>Hainaut</v>
          </cell>
          <cell r="K724" t="str">
            <v>Dour</v>
          </cell>
          <cell r="M724" t="str">
            <v>M</v>
          </cell>
          <cell r="O724" t="str">
            <v>065.65.20.62</v>
          </cell>
          <cell r="P724" t="str">
            <v>065.63.11.56</v>
          </cell>
          <cell r="Q724" t="str">
            <v>jeanlouis.lhote@notaire.be</v>
          </cell>
          <cell r="R724">
            <v>958</v>
          </cell>
        </row>
        <row r="725">
          <cell r="A725">
            <v>724</v>
          </cell>
          <cell r="B725" t="str">
            <v>LIARD Doris</v>
          </cell>
          <cell r="C725" t="str">
            <v>LIARD Doris</v>
          </cell>
          <cell r="D725" t="str">
            <v>Notaris</v>
          </cell>
          <cell r="E725" t="str">
            <v>Rue des Arsillières</v>
          </cell>
          <cell r="F725" t="str">
            <v>17</v>
          </cell>
          <cell r="G725" t="str">
            <v/>
          </cell>
          <cell r="H725" t="str">
            <v>6590</v>
          </cell>
          <cell r="I725" t="str">
            <v>Hainaut</v>
          </cell>
          <cell r="K725" t="str">
            <v>Momignies</v>
          </cell>
          <cell r="M725" t="str">
            <v>Vr</v>
          </cell>
          <cell r="O725" t="str">
            <v>060.51.10.23</v>
          </cell>
          <cell r="P725" t="str">
            <v>060.51.27.29</v>
          </cell>
          <cell r="Q725" t="str">
            <v>DORIS.LIARD@NOTAIRE.BE</v>
          </cell>
          <cell r="R725">
            <v>1241</v>
          </cell>
        </row>
        <row r="726">
          <cell r="A726">
            <v>725</v>
          </cell>
          <cell r="B726" t="str">
            <v>CELIS CELIS &amp; LIESSE CVBA</v>
          </cell>
          <cell r="C726" t="str">
            <v>Liesse Frank</v>
          </cell>
          <cell r="D726" t="str">
            <v>Geassocieerd Notaris</v>
          </cell>
          <cell r="E726" t="str">
            <v>Kasteelpleinstraat</v>
          </cell>
          <cell r="F726" t="str">
            <v>59</v>
          </cell>
          <cell r="G726" t="str">
            <v/>
          </cell>
          <cell r="H726" t="str">
            <v>2000</v>
          </cell>
          <cell r="I726" t="str">
            <v>Antwerpen</v>
          </cell>
          <cell r="K726" t="str">
            <v>Antwerpen</v>
          </cell>
          <cell r="M726" t="str">
            <v>M</v>
          </cell>
          <cell r="O726" t="str">
            <v>03.213.86.00</v>
          </cell>
          <cell r="P726" t="str">
            <v>03.213.86.19</v>
          </cell>
          <cell r="Q726" t="str">
            <v>FRANK.LIESSE@NOTARIS.BE</v>
          </cell>
          <cell r="R726">
            <v>3465</v>
          </cell>
        </row>
        <row r="727">
          <cell r="A727">
            <v>726</v>
          </cell>
          <cell r="B727" t="str">
            <v>STEFAN LILIEN &amp; DAVID LILIEN</v>
          </cell>
          <cell r="C727" t="str">
            <v>Lilien David</v>
          </cell>
          <cell r="D727" t="str">
            <v>Geassocieerd Notaris</v>
          </cell>
          <cell r="E727" t="str">
            <v>Rue des Martyrs</v>
          </cell>
          <cell r="F727" t="str">
            <v>28</v>
          </cell>
          <cell r="G727" t="str">
            <v/>
          </cell>
          <cell r="H727" t="str">
            <v>4800</v>
          </cell>
          <cell r="I727" t="str">
            <v>Liège</v>
          </cell>
          <cell r="K727" t="str">
            <v>Verviers</v>
          </cell>
          <cell r="M727" t="str">
            <v>M</v>
          </cell>
          <cell r="O727" t="str">
            <v>087.33.13.92</v>
          </cell>
          <cell r="P727" t="str">
            <v>087.34.06.37</v>
          </cell>
          <cell r="Q727" t="str">
            <v>david.lilien@notaire.be</v>
          </cell>
          <cell r="R727">
            <v>3629</v>
          </cell>
        </row>
        <row r="728">
          <cell r="A728">
            <v>727</v>
          </cell>
          <cell r="B728" t="str">
            <v>LILIEN Renaud</v>
          </cell>
          <cell r="C728" t="str">
            <v>LILIEN Renaud</v>
          </cell>
          <cell r="D728" t="str">
            <v>Notaris</v>
          </cell>
          <cell r="E728" t="str">
            <v>Aachener Strasse</v>
          </cell>
          <cell r="F728" t="str">
            <v>35</v>
          </cell>
          <cell r="G728" t="str">
            <v/>
          </cell>
          <cell r="H728" t="str">
            <v>4700</v>
          </cell>
          <cell r="I728" t="str">
            <v>Liège</v>
          </cell>
          <cell r="K728" t="str">
            <v>Eupen</v>
          </cell>
          <cell r="M728" t="str">
            <v>M</v>
          </cell>
          <cell r="O728" t="str">
            <v>087.74.21.30</v>
          </cell>
          <cell r="P728" t="str">
            <v>087.74.39.61</v>
          </cell>
          <cell r="Q728" t="str">
            <v>RENAUD.LILIEN@NOTAIRE.BE</v>
          </cell>
          <cell r="R728">
            <v>3028</v>
          </cell>
        </row>
        <row r="729">
          <cell r="A729">
            <v>728</v>
          </cell>
          <cell r="B729" t="str">
            <v>STEFAN LILIEN &amp; DAVID LILIEN</v>
          </cell>
          <cell r="C729" t="str">
            <v>Lilien Stefan</v>
          </cell>
          <cell r="D729" t="str">
            <v>Geassocieerd Notaris</v>
          </cell>
          <cell r="E729" t="str">
            <v>Rue des Martyrs</v>
          </cell>
          <cell r="F729" t="str">
            <v>28</v>
          </cell>
          <cell r="G729" t="str">
            <v/>
          </cell>
          <cell r="H729" t="str">
            <v>4800</v>
          </cell>
          <cell r="I729" t="str">
            <v>Liège</v>
          </cell>
          <cell r="K729" t="str">
            <v>Verviers</v>
          </cell>
          <cell r="M729" t="str">
            <v>M</v>
          </cell>
          <cell r="O729" t="str">
            <v>087.33.13.92</v>
          </cell>
          <cell r="P729" t="str">
            <v>087.34.06.37</v>
          </cell>
          <cell r="Q729" t="str">
            <v>stefan.lilien@belnot.be</v>
          </cell>
          <cell r="R729">
            <v>3629</v>
          </cell>
        </row>
        <row r="730">
          <cell r="A730">
            <v>729</v>
          </cell>
          <cell r="B730" t="str">
            <v>Lingier Paul</v>
          </cell>
          <cell r="C730" t="str">
            <v>Lingier Paul</v>
          </cell>
          <cell r="D730" t="str">
            <v>Notaris</v>
          </cell>
          <cell r="E730" t="str">
            <v>Esplanadeplein</v>
          </cell>
          <cell r="F730" t="str">
            <v>11/A</v>
          </cell>
          <cell r="H730">
            <v>9300</v>
          </cell>
          <cell r="I730" t="str">
            <v>Oost-Vlaanderen</v>
          </cell>
          <cell r="J730" t="str">
            <v>Dendermonde</v>
          </cell>
          <cell r="K730" t="str">
            <v>Aalst</v>
          </cell>
          <cell r="M730" t="str">
            <v>M</v>
          </cell>
          <cell r="O730" t="str">
            <v>053.21.42.56</v>
          </cell>
          <cell r="P730" t="str">
            <v>053.79.04.49</v>
          </cell>
          <cell r="Q730" t="str">
            <v>paul.lingier@notaris.be</v>
          </cell>
          <cell r="T730">
            <v>38621</v>
          </cell>
        </row>
        <row r="731">
          <cell r="A731">
            <v>730</v>
          </cell>
          <cell r="B731" t="str">
            <v>LINKER Patrick</v>
          </cell>
          <cell r="C731" t="str">
            <v>LINKER Patrick</v>
          </cell>
          <cell r="D731" t="str">
            <v>Notaris</v>
          </cell>
          <cell r="E731" t="str">
            <v>Chaussée de Gilly</v>
          </cell>
          <cell r="F731" t="str">
            <v>65</v>
          </cell>
          <cell r="G731" t="str">
            <v/>
          </cell>
          <cell r="H731" t="str">
            <v>6040</v>
          </cell>
          <cell r="I731" t="str">
            <v>Hainaut</v>
          </cell>
          <cell r="K731" t="str">
            <v>Jumet Charleroi)</v>
          </cell>
          <cell r="M731" t="str">
            <v>M</v>
          </cell>
          <cell r="O731" t="str">
            <v>071.34.11.11</v>
          </cell>
          <cell r="P731" t="str">
            <v>071.34.14.22</v>
          </cell>
          <cell r="Q731" t="str">
            <v>PATRICK.LINKER@NOTAIRE.BE</v>
          </cell>
          <cell r="R731">
            <v>3579</v>
          </cell>
        </row>
        <row r="732">
          <cell r="A732">
            <v>731</v>
          </cell>
          <cell r="B732" t="str">
            <v>Chantal LOCHé notaire Soc. Civ. SPRL</v>
          </cell>
          <cell r="C732" t="str">
            <v>Loché Chantal</v>
          </cell>
          <cell r="D732" t="str">
            <v>Notaris</v>
          </cell>
          <cell r="E732" t="str">
            <v>Avenue Paul Deschanellaan</v>
          </cell>
          <cell r="F732" t="str">
            <v>50</v>
          </cell>
          <cell r="G732" t="str">
            <v/>
          </cell>
          <cell r="H732" t="str">
            <v>1030</v>
          </cell>
          <cell r="I732" t="str">
            <v>Bruxelles</v>
          </cell>
          <cell r="K732" t="str">
            <v>Bruxelles</v>
          </cell>
          <cell r="M732" t="str">
            <v>Vr</v>
          </cell>
          <cell r="O732" t="str">
            <v>02.215.78.77</v>
          </cell>
          <cell r="P732" t="str">
            <v>02.242.03.25</v>
          </cell>
          <cell r="Q732" t="str">
            <v>CHANTAL.LOCHE@NOTAIRE.BE</v>
          </cell>
          <cell r="R732">
            <v>2445</v>
          </cell>
        </row>
        <row r="733">
          <cell r="A733">
            <v>732</v>
          </cell>
          <cell r="B733" t="str">
            <v>LOGGHE - STAESSENS</v>
          </cell>
          <cell r="C733" t="str">
            <v>Logghe Filip</v>
          </cell>
          <cell r="D733" t="str">
            <v>Geassocieerd Notaris</v>
          </cell>
          <cell r="E733" t="str">
            <v>Fabiolaan</v>
          </cell>
          <cell r="F733" t="str">
            <v>26</v>
          </cell>
          <cell r="G733" t="str">
            <v/>
          </cell>
          <cell r="H733" t="str">
            <v>8930</v>
          </cell>
          <cell r="I733" t="str">
            <v>West-Vlaanderen</v>
          </cell>
          <cell r="K733" t="str">
            <v>Menen</v>
          </cell>
          <cell r="L733">
            <v>25416</v>
          </cell>
          <cell r="M733" t="str">
            <v>M</v>
          </cell>
          <cell r="O733" t="str">
            <v>056/51.15.17</v>
          </cell>
          <cell r="P733" t="str">
            <v>056/51.82.92</v>
          </cell>
          <cell r="Q733" t="str">
            <v>FILIP.LOGGHE@NOTARIS.BE</v>
          </cell>
          <cell r="R733">
            <v>3657</v>
          </cell>
        </row>
        <row r="734">
          <cell r="A734">
            <v>733</v>
          </cell>
          <cell r="B734" t="str">
            <v>LOIX Albert</v>
          </cell>
          <cell r="C734" t="str">
            <v>LOIX Albert</v>
          </cell>
          <cell r="D734" t="str">
            <v>Notaris</v>
          </cell>
          <cell r="E734" t="str">
            <v>Quai Sakkarov</v>
          </cell>
          <cell r="F734" t="str">
            <v>7</v>
          </cell>
          <cell r="G734" t="str">
            <v/>
          </cell>
          <cell r="H734" t="str">
            <v>7500</v>
          </cell>
          <cell r="I734" t="str">
            <v>Hainaut</v>
          </cell>
          <cell r="K734" t="str">
            <v>Tournai</v>
          </cell>
          <cell r="M734" t="str">
            <v>M</v>
          </cell>
          <cell r="O734" t="str">
            <v>069.22.52.15</v>
          </cell>
          <cell r="P734" t="str">
            <v>069.21.63.73</v>
          </cell>
          <cell r="Q734" t="str">
            <v>ALBERT.LOIX@NOTAIRE.BE</v>
          </cell>
          <cell r="R734">
            <v>2591</v>
          </cell>
        </row>
        <row r="735">
          <cell r="A735">
            <v>734</v>
          </cell>
          <cell r="B735" t="str">
            <v>LOIX Tanguy</v>
          </cell>
          <cell r="C735" t="str">
            <v>LOIX Tanguy</v>
          </cell>
          <cell r="D735" t="str">
            <v>Notaris</v>
          </cell>
          <cell r="E735" t="str">
            <v>Rue Léon Desmottes</v>
          </cell>
          <cell r="F735" t="str">
            <v>35</v>
          </cell>
          <cell r="G735" t="str">
            <v/>
          </cell>
          <cell r="H735" t="str">
            <v>7910</v>
          </cell>
          <cell r="I735" t="str">
            <v>Hainaut</v>
          </cell>
          <cell r="K735" t="str">
            <v>Frasnes-lez-Anvaing</v>
          </cell>
          <cell r="M735" t="str">
            <v>M</v>
          </cell>
          <cell r="O735" t="str">
            <v>069.86.65.04</v>
          </cell>
          <cell r="P735" t="str">
            <v>069.86.67.74</v>
          </cell>
          <cell r="Q735" t="str">
            <v>TANGUY.LOIX@NOTAIRE.BE</v>
          </cell>
          <cell r="R735">
            <v>3102</v>
          </cell>
        </row>
        <row r="736">
          <cell r="A736">
            <v>735</v>
          </cell>
          <cell r="B736" t="str">
            <v>L´OLIVIER Hubert</v>
          </cell>
          <cell r="C736" t="str">
            <v>Lolivier Hubert</v>
          </cell>
          <cell r="D736" t="str">
            <v>Notaris</v>
          </cell>
          <cell r="E736" t="str">
            <v>Place Albert Ier</v>
          </cell>
          <cell r="F736" t="str">
            <v>10</v>
          </cell>
          <cell r="G736" t="str">
            <v/>
          </cell>
          <cell r="H736" t="str">
            <v>7170</v>
          </cell>
          <cell r="I736" t="str">
            <v>Hainaut</v>
          </cell>
          <cell r="K736" t="str">
            <v>Fayt-lez-Manage</v>
          </cell>
          <cell r="M736" t="str">
            <v>M</v>
          </cell>
          <cell r="O736" t="str">
            <v>064.54.10.30</v>
          </cell>
          <cell r="P736" t="str">
            <v>064.54.96.30</v>
          </cell>
          <cell r="Q736" t="str">
            <v>HUBERT.LOLIVIER@NOTAIRE.BE</v>
          </cell>
          <cell r="R736">
            <v>948</v>
          </cell>
        </row>
        <row r="737">
          <cell r="A737">
            <v>736</v>
          </cell>
          <cell r="B737" t="str">
            <v>LOMBART Etienne</v>
          </cell>
          <cell r="C737" t="str">
            <v>LOMBART Etienne</v>
          </cell>
          <cell r="D737" t="str">
            <v>Notaris</v>
          </cell>
          <cell r="E737" t="str">
            <v>Rue du Moulin</v>
          </cell>
          <cell r="F737" t="str">
            <v>29</v>
          </cell>
          <cell r="G737" t="str">
            <v/>
          </cell>
          <cell r="H737" t="str">
            <v>5600</v>
          </cell>
          <cell r="I737" t="str">
            <v>Namur</v>
          </cell>
          <cell r="K737" t="str">
            <v>Philippeville</v>
          </cell>
          <cell r="M737" t="str">
            <v>M</v>
          </cell>
          <cell r="O737" t="str">
            <v>071.66.60.30</v>
          </cell>
          <cell r="P737" t="str">
            <v>071.66.75.27</v>
          </cell>
          <cell r="Q737" t="str">
            <v>ETIENNE.LOMBART@NOTAIRE.BE</v>
          </cell>
          <cell r="R737">
            <v>3068</v>
          </cell>
        </row>
        <row r="738">
          <cell r="A738">
            <v>737</v>
          </cell>
          <cell r="B738" t="str">
            <v>LOMMEE Paul BVBA</v>
          </cell>
          <cell r="C738" t="str">
            <v>LOMMEE Paul BVBA</v>
          </cell>
          <cell r="D738" t="str">
            <v>Notaris</v>
          </cell>
          <cell r="E738" t="str">
            <v>Torhoutsesteenweg</v>
          </cell>
          <cell r="F738" t="str">
            <v>80</v>
          </cell>
          <cell r="G738" t="str">
            <v/>
          </cell>
          <cell r="H738" t="str">
            <v>8210</v>
          </cell>
          <cell r="I738" t="str">
            <v>West-Vlaanderen</v>
          </cell>
          <cell r="K738" t="str">
            <v>Zedelgem</v>
          </cell>
          <cell r="L738">
            <v>18972</v>
          </cell>
          <cell r="M738" t="str">
            <v>M</v>
          </cell>
          <cell r="O738" t="str">
            <v>050.20.90.45</v>
          </cell>
          <cell r="P738" t="str">
            <v>050.20.84.03</v>
          </cell>
          <cell r="Q738" t="str">
            <v>PAUL.LOMMEE@NOTARIS.BE</v>
          </cell>
          <cell r="R738">
            <v>2606</v>
          </cell>
          <cell r="S738" t="str">
            <v>000-1415747-32</v>
          </cell>
        </row>
        <row r="739">
          <cell r="A739">
            <v>738</v>
          </cell>
          <cell r="B739" t="str">
            <v>LONCHAY Michel</v>
          </cell>
          <cell r="C739" t="str">
            <v>LONCHAY Michel</v>
          </cell>
          <cell r="D739" t="str">
            <v>Notaris</v>
          </cell>
          <cell r="E739" t="str">
            <v>Rue du Centre</v>
          </cell>
          <cell r="F739" t="str">
            <v>24</v>
          </cell>
          <cell r="G739" t="str">
            <v/>
          </cell>
          <cell r="H739" t="str">
            <v>6640</v>
          </cell>
          <cell r="I739" t="str">
            <v>Luxembourg</v>
          </cell>
          <cell r="K739" t="str">
            <v>Sibret</v>
          </cell>
          <cell r="M739" t="str">
            <v>M</v>
          </cell>
          <cell r="O739" t="str">
            <v>061.26.61.18</v>
          </cell>
          <cell r="P739" t="str">
            <v>061.26.69.30</v>
          </cell>
          <cell r="Q739" t="str">
            <v>MICHEL.LONCHAY@NOTAIRE.BE</v>
          </cell>
          <cell r="R739">
            <v>2524</v>
          </cell>
        </row>
        <row r="740">
          <cell r="A740">
            <v>739</v>
          </cell>
          <cell r="B740" t="str">
            <v>LOONTJENS ALFONS &amp; LOONTJENS BERNARD</v>
          </cell>
          <cell r="C740" t="str">
            <v>Loontjens Alfons</v>
          </cell>
          <cell r="D740" t="str">
            <v>Geassocieerd Notaris</v>
          </cell>
          <cell r="E740" t="str">
            <v>Nieuwstraat</v>
          </cell>
          <cell r="F740" t="str">
            <v>22</v>
          </cell>
          <cell r="G740" t="str">
            <v/>
          </cell>
          <cell r="H740" t="str">
            <v>8870</v>
          </cell>
          <cell r="I740" t="str">
            <v>West-Vlaanderen</v>
          </cell>
          <cell r="K740" t="str">
            <v>Izegem</v>
          </cell>
          <cell r="L740">
            <v>15539</v>
          </cell>
          <cell r="M740" t="str">
            <v>M</v>
          </cell>
          <cell r="O740" t="str">
            <v>051.30.01.01</v>
          </cell>
          <cell r="P740" t="str">
            <v>051.30.78.07</v>
          </cell>
          <cell r="Q740" t="str">
            <v>ALFONS.LOONTJENS@NOTARIS.BE</v>
          </cell>
          <cell r="R740">
            <v>3493</v>
          </cell>
        </row>
        <row r="741">
          <cell r="A741">
            <v>740</v>
          </cell>
          <cell r="B741" t="str">
            <v>LOONTJENS ALFONS &amp; LOONTJENS BERNARD</v>
          </cell>
          <cell r="C741" t="str">
            <v>Loontjens Bernard</v>
          </cell>
          <cell r="D741" t="str">
            <v>Geassocieerd Notaris</v>
          </cell>
          <cell r="E741" t="str">
            <v>Nieuwstraat</v>
          </cell>
          <cell r="F741" t="str">
            <v>22</v>
          </cell>
          <cell r="G741" t="str">
            <v/>
          </cell>
          <cell r="H741" t="str">
            <v>8870</v>
          </cell>
          <cell r="I741" t="str">
            <v>West-Vlaanderen</v>
          </cell>
          <cell r="K741" t="str">
            <v>Izegem</v>
          </cell>
          <cell r="M741" t="str">
            <v>M</v>
          </cell>
          <cell r="O741" t="str">
            <v>051.30.01.01</v>
          </cell>
          <cell r="P741" t="str">
            <v>051.30.78.07</v>
          </cell>
          <cell r="Q741" t="str">
            <v>bernard.loontjens@notaris.be</v>
          </cell>
          <cell r="R741">
            <v>3493</v>
          </cell>
        </row>
        <row r="742">
          <cell r="A742">
            <v>741</v>
          </cell>
          <cell r="B742" t="str">
            <v>BERBEN TOPFF &amp; LOPEZ-HERNANDEZ</v>
          </cell>
          <cell r="C742" t="str">
            <v>LopezHernandez Sylvie</v>
          </cell>
          <cell r="D742" t="str">
            <v>Geassocieerd Notaris</v>
          </cell>
          <cell r="E742" t="str">
            <v>Boseind</v>
          </cell>
          <cell r="F742" t="str">
            <v>23</v>
          </cell>
          <cell r="G742" t="str">
            <v/>
          </cell>
          <cell r="H742" t="str">
            <v>3910</v>
          </cell>
          <cell r="I742" t="str">
            <v>Limburg</v>
          </cell>
          <cell r="K742" t="str">
            <v>Neerpelt</v>
          </cell>
          <cell r="M742" t="str">
            <v>Vr</v>
          </cell>
          <cell r="O742" t="str">
            <v>011.64.10.95</v>
          </cell>
          <cell r="P742" t="str">
            <v>011.64.81.91</v>
          </cell>
          <cell r="Q742" t="str">
            <v>sylvie.lopezhernandez@notaris.be</v>
          </cell>
          <cell r="R742">
            <v>3610</v>
          </cell>
        </row>
        <row r="743">
          <cell r="A743">
            <v>742</v>
          </cell>
          <cell r="B743" t="str">
            <v>LOSSEAU Eric</v>
          </cell>
          <cell r="C743" t="str">
            <v>LOSSEAU Eric</v>
          </cell>
          <cell r="D743" t="str">
            <v>Notaris</v>
          </cell>
          <cell r="E743" t="str">
            <v>Rue Reine Astrid</v>
          </cell>
          <cell r="F743" t="str">
            <v>2</v>
          </cell>
          <cell r="G743" t="str">
            <v/>
          </cell>
          <cell r="H743" t="str">
            <v>6560</v>
          </cell>
          <cell r="I743" t="str">
            <v>Hainaut</v>
          </cell>
          <cell r="K743" t="str">
            <v>Solre-sur-Sambre</v>
          </cell>
          <cell r="M743" t="str">
            <v>M</v>
          </cell>
          <cell r="O743" t="str">
            <v>071.55.54.30</v>
          </cell>
          <cell r="P743" t="str">
            <v>071.55.59.70</v>
          </cell>
          <cell r="Q743" t="str">
            <v>ERIC.LOSSEAU@NOTAIRE.BE</v>
          </cell>
          <cell r="R743">
            <v>3086</v>
          </cell>
        </row>
        <row r="744">
          <cell r="A744">
            <v>743</v>
          </cell>
          <cell r="B744" t="str">
            <v>Notaris Dirk Luyten BVBA</v>
          </cell>
          <cell r="C744" t="str">
            <v>Luyten Dirk</v>
          </cell>
          <cell r="D744" t="str">
            <v>Notaris</v>
          </cell>
          <cell r="E744" t="str">
            <v>Liersesteenweg</v>
          </cell>
          <cell r="F744" t="str">
            <v>182</v>
          </cell>
          <cell r="G744" t="str">
            <v/>
          </cell>
          <cell r="H744" t="str">
            <v>2800</v>
          </cell>
          <cell r="I744" t="str">
            <v>Antwerpen</v>
          </cell>
          <cell r="K744" t="str">
            <v>Mechelen</v>
          </cell>
          <cell r="M744" t="str">
            <v>M</v>
          </cell>
          <cell r="O744" t="str">
            <v>015.28.52.10</v>
          </cell>
          <cell r="P744" t="str">
            <v>015.28.52.15</v>
          </cell>
          <cell r="Q744" t="str">
            <v>dirk.luyten@notaris.be</v>
          </cell>
          <cell r="R744">
            <v>2942</v>
          </cell>
        </row>
        <row r="745">
          <cell r="A745">
            <v>744</v>
          </cell>
          <cell r="B745" t="str">
            <v>LYCOPS Jean-Paul</v>
          </cell>
          <cell r="C745" t="str">
            <v>LYCOPS Jean-Paul</v>
          </cell>
          <cell r="D745" t="str">
            <v>Notaris</v>
          </cell>
          <cell r="E745" t="str">
            <v>Avenue Louise</v>
          </cell>
          <cell r="F745" t="str">
            <v>379</v>
          </cell>
          <cell r="G745" t="str">
            <v>bte 18</v>
          </cell>
          <cell r="H745" t="str">
            <v>1050</v>
          </cell>
          <cell r="I745" t="str">
            <v>Bruxelles</v>
          </cell>
          <cell r="K745" t="str">
            <v>Bruxelles</v>
          </cell>
          <cell r="M745" t="str">
            <v>M</v>
          </cell>
          <cell r="O745" t="str">
            <v>02.647.99.90</v>
          </cell>
          <cell r="P745" t="str">
            <v>02.646.82.73</v>
          </cell>
          <cell r="Q745" t="str">
            <v>JEANPAUL.LYCOPS@NOTAIRE.BE</v>
          </cell>
          <cell r="R745">
            <v>2471</v>
          </cell>
        </row>
        <row r="746">
          <cell r="A746">
            <v>745</v>
          </cell>
          <cell r="B746" t="str">
            <v>MAELFAIT Frederic</v>
          </cell>
          <cell r="C746" t="str">
            <v>MAELFAIT Frederic</v>
          </cell>
          <cell r="D746" t="str">
            <v>Notaris</v>
          </cell>
          <cell r="E746" t="str">
            <v>Stationsplein</v>
          </cell>
          <cell r="F746" t="str">
            <v>2</v>
          </cell>
          <cell r="G746" t="str">
            <v/>
          </cell>
          <cell r="H746" t="str">
            <v>8530</v>
          </cell>
          <cell r="I746" t="str">
            <v>West-Vlaanderen</v>
          </cell>
          <cell r="K746" t="str">
            <v>Harelbeke</v>
          </cell>
          <cell r="L746">
            <v>25021</v>
          </cell>
          <cell r="M746" t="str">
            <v>M</v>
          </cell>
          <cell r="O746" t="str">
            <v>056.73.07.70</v>
          </cell>
          <cell r="P746" t="str">
            <v>056.73.07.71</v>
          </cell>
          <cell r="Q746" t="str">
            <v>FREDERIC.MAELFAIT@NOTARIS.BE</v>
          </cell>
          <cell r="R746">
            <v>3259</v>
          </cell>
        </row>
        <row r="747">
          <cell r="A747">
            <v>746</v>
          </cell>
          <cell r="B747" t="str">
            <v>MAERE Patrick</v>
          </cell>
          <cell r="C747" t="str">
            <v>MAERE Patrick</v>
          </cell>
          <cell r="D747" t="str">
            <v>Notaris</v>
          </cell>
          <cell r="E747" t="str">
            <v>Markt</v>
          </cell>
          <cell r="F747" t="str">
            <v>112</v>
          </cell>
          <cell r="G747" t="str">
            <v>bus 2</v>
          </cell>
          <cell r="H747" t="str">
            <v>9800</v>
          </cell>
          <cell r="I747" t="str">
            <v>Oost-Vlaanderen</v>
          </cell>
          <cell r="K747" t="str">
            <v>Deinze</v>
          </cell>
          <cell r="L747">
            <v>19179</v>
          </cell>
          <cell r="M747" t="str">
            <v>M</v>
          </cell>
          <cell r="O747" t="str">
            <v>09.386.14.27</v>
          </cell>
          <cell r="P747" t="str">
            <v>09.380.05.67</v>
          </cell>
          <cell r="Q747" t="str">
            <v>PATRICK.MAERE@NOTARIS.BE</v>
          </cell>
          <cell r="R747">
            <v>2966</v>
          </cell>
        </row>
        <row r="748">
          <cell r="A748">
            <v>747</v>
          </cell>
          <cell r="B748" t="str">
            <v>MAERE Pierre</v>
          </cell>
          <cell r="C748" t="str">
            <v>MAERE Pierre</v>
          </cell>
          <cell r="D748" t="str">
            <v>Notaris</v>
          </cell>
          <cell r="E748" t="str">
            <v>Esenweg</v>
          </cell>
          <cell r="F748" t="str">
            <v>213</v>
          </cell>
          <cell r="G748" t="str">
            <v/>
          </cell>
          <cell r="H748" t="str">
            <v>8600</v>
          </cell>
          <cell r="I748" t="str">
            <v>West-Vlaanderen</v>
          </cell>
          <cell r="K748" t="str">
            <v>Diksmuide</v>
          </cell>
          <cell r="M748" t="str">
            <v>M</v>
          </cell>
          <cell r="O748" t="str">
            <v>051.50.01.36</v>
          </cell>
          <cell r="P748" t="str">
            <v>051.50.21.53</v>
          </cell>
          <cell r="Q748" t="str">
            <v>PIERRE.MAERE@NOTARIS.BE</v>
          </cell>
          <cell r="R748">
            <v>2584</v>
          </cell>
        </row>
        <row r="749">
          <cell r="A749">
            <v>748</v>
          </cell>
          <cell r="B749" t="str">
            <v>MAERTENS Bernard</v>
          </cell>
          <cell r="C749" t="str">
            <v>MAERTENS Bernard</v>
          </cell>
          <cell r="D749" t="str">
            <v>Notaris</v>
          </cell>
          <cell r="E749" t="str">
            <v>Guido Gezellelaan</v>
          </cell>
          <cell r="F749" t="str">
            <v>3</v>
          </cell>
          <cell r="G749" t="str">
            <v>bus 2</v>
          </cell>
          <cell r="H749" t="str">
            <v>8000</v>
          </cell>
          <cell r="I749" t="str">
            <v>West-Vlaanderen</v>
          </cell>
          <cell r="K749" t="str">
            <v>Brugge</v>
          </cell>
          <cell r="L749">
            <v>21719</v>
          </cell>
          <cell r="M749" t="str">
            <v>M</v>
          </cell>
          <cell r="O749" t="str">
            <v>050.33.15.71</v>
          </cell>
          <cell r="P749" t="str">
            <v>050.33.58.25</v>
          </cell>
          <cell r="Q749" t="str">
            <v>BERNARD.MAERTENS@NOTARIS.BE</v>
          </cell>
          <cell r="R749">
            <v>3034</v>
          </cell>
        </row>
        <row r="750">
          <cell r="A750">
            <v>749</v>
          </cell>
          <cell r="B750" t="str">
            <v>MAERTENS de NOORDHOUT Sébastien</v>
          </cell>
          <cell r="C750" t="str">
            <v>MaertensdeNoordhout Sébastien</v>
          </cell>
          <cell r="D750" t="str">
            <v>Notaris</v>
          </cell>
          <cell r="E750" t="str">
            <v>Boulevard Piercot</v>
          </cell>
          <cell r="F750" t="str">
            <v>17</v>
          </cell>
          <cell r="G750" t="str">
            <v/>
          </cell>
          <cell r="H750" t="str">
            <v>4000</v>
          </cell>
          <cell r="I750" t="str">
            <v>Liège</v>
          </cell>
          <cell r="K750" t="str">
            <v>Liège</v>
          </cell>
          <cell r="M750" t="str">
            <v>M</v>
          </cell>
          <cell r="O750" t="str">
            <v>04.222.15.98</v>
          </cell>
          <cell r="P750" t="str">
            <v>04.223.52.92</v>
          </cell>
          <cell r="Q750" t="str">
            <v>SEBASTIEN.MAERTENSDENOORDHOUT@NOTAIRE.BE</v>
          </cell>
          <cell r="R750">
            <v>3494</v>
          </cell>
        </row>
        <row r="751">
          <cell r="A751">
            <v>750</v>
          </cell>
          <cell r="B751" t="str">
            <v>Notaris Christian Maes bvba</v>
          </cell>
          <cell r="C751" t="str">
            <v>Maes Christian</v>
          </cell>
          <cell r="D751" t="str">
            <v>Notaris</v>
          </cell>
          <cell r="E751" t="str">
            <v>Maria Theresiastraat</v>
          </cell>
          <cell r="F751" t="str">
            <v>107</v>
          </cell>
          <cell r="G751" t="str">
            <v/>
          </cell>
          <cell r="H751" t="str">
            <v>3000</v>
          </cell>
          <cell r="I751" t="str">
            <v>Vlaams Brabant</v>
          </cell>
          <cell r="K751" t="str">
            <v>Leuven</v>
          </cell>
          <cell r="M751" t="str">
            <v>M</v>
          </cell>
          <cell r="O751" t="str">
            <v>016.22.34.87</v>
          </cell>
          <cell r="P751" t="str">
            <v>016.22.33.39</v>
          </cell>
          <cell r="Q751" t="str">
            <v>CHRISTIAN.MAES@NOTARIS.BE</v>
          </cell>
          <cell r="R751">
            <v>2881</v>
          </cell>
        </row>
        <row r="752">
          <cell r="A752">
            <v>751</v>
          </cell>
          <cell r="B752" t="str">
            <v>MAETERLINCK Jean Bernard</v>
          </cell>
          <cell r="C752" t="str">
            <v>MAETERLINCK Jean Bernard</v>
          </cell>
          <cell r="D752" t="str">
            <v>Notaris</v>
          </cell>
          <cell r="E752" t="str">
            <v>Hubert Frère Orbanlaan</v>
          </cell>
          <cell r="F752" t="str">
            <v>65</v>
          </cell>
          <cell r="G752" t="str">
            <v/>
          </cell>
          <cell r="H752" t="str">
            <v>9000</v>
          </cell>
          <cell r="I752" t="str">
            <v>Oost-Vlaanderen</v>
          </cell>
          <cell r="K752" t="str">
            <v>Gent</v>
          </cell>
          <cell r="M752" t="str">
            <v>M</v>
          </cell>
          <cell r="O752" t="str">
            <v>09.225.01.75</v>
          </cell>
          <cell r="P752" t="str">
            <v>09.223.67.86</v>
          </cell>
          <cell r="Q752" t="str">
            <v>JEANBERNARD.MAETERLINCK@NOTARIS.BE</v>
          </cell>
          <cell r="R752">
            <v>365</v>
          </cell>
        </row>
        <row r="753">
          <cell r="A753">
            <v>752</v>
          </cell>
          <cell r="B753" t="str">
            <v>MAEYENS Olivier</v>
          </cell>
          <cell r="C753" t="str">
            <v>MAEYENS Olivier</v>
          </cell>
          <cell r="D753" t="str">
            <v>Notaris</v>
          </cell>
          <cell r="E753" t="str">
            <v>Nieuwstraat</v>
          </cell>
          <cell r="F753" t="str">
            <v>1 C</v>
          </cell>
          <cell r="G753" t="str">
            <v/>
          </cell>
          <cell r="H753" t="str">
            <v>2880</v>
          </cell>
          <cell r="I753" t="str">
            <v>Antwerpen</v>
          </cell>
          <cell r="K753" t="str">
            <v>Bornem</v>
          </cell>
          <cell r="M753" t="str">
            <v>M</v>
          </cell>
          <cell r="O753" t="str">
            <v>03.889.27.89</v>
          </cell>
          <cell r="P753" t="str">
            <v>03.889.96.17</v>
          </cell>
          <cell r="Q753" t="str">
            <v>olivier.maeyens@notaris.be</v>
          </cell>
          <cell r="T753">
            <v>38537</v>
          </cell>
        </row>
        <row r="754">
          <cell r="A754">
            <v>753</v>
          </cell>
          <cell r="B754" t="str">
            <v>DU FAUX L. &amp; MAHIEU M.</v>
          </cell>
          <cell r="C754" t="str">
            <v>Mahieu Alain</v>
          </cell>
          <cell r="D754" t="str">
            <v>Geassocieerd Notaris</v>
          </cell>
          <cell r="E754" t="str">
            <v>Rue de la Station</v>
          </cell>
          <cell r="F754" t="str">
            <v>80</v>
          </cell>
          <cell r="G754" t="str">
            <v/>
          </cell>
          <cell r="H754" t="str">
            <v>7700</v>
          </cell>
          <cell r="I754" t="str">
            <v>Hainaut</v>
          </cell>
          <cell r="K754" t="str">
            <v>Mouscron</v>
          </cell>
          <cell r="M754" t="str">
            <v>M</v>
          </cell>
          <cell r="O754" t="str">
            <v>056.34.22.60</v>
          </cell>
          <cell r="P754" t="str">
            <v>056.34.40.72</v>
          </cell>
          <cell r="Q754" t="str">
            <v>LUDOVIC.DUFAUX@NOTAIRE.BE</v>
          </cell>
          <cell r="R754">
            <v>795</v>
          </cell>
          <cell r="T754">
            <v>38337</v>
          </cell>
        </row>
        <row r="755">
          <cell r="A755">
            <v>754</v>
          </cell>
          <cell r="B755" t="str">
            <v>MAHY Olivier</v>
          </cell>
          <cell r="C755" t="str">
            <v>MAHY Olivier</v>
          </cell>
          <cell r="D755" t="str">
            <v>Notaris</v>
          </cell>
          <cell r="E755" t="str">
            <v>rue de la Westrée</v>
          </cell>
          <cell r="F755" t="str">
            <v>5</v>
          </cell>
          <cell r="G755" t="str">
            <v/>
          </cell>
          <cell r="H755" t="str">
            <v>4360</v>
          </cell>
          <cell r="I755" t="str">
            <v>Liège</v>
          </cell>
          <cell r="K755" t="str">
            <v>Oreye</v>
          </cell>
          <cell r="M755" t="str">
            <v>M</v>
          </cell>
          <cell r="O755" t="str">
            <v>019.67.70.37</v>
          </cell>
          <cell r="P755" t="str">
            <v>019.67.82.20</v>
          </cell>
          <cell r="Q755" t="str">
            <v>OLIVIER.MAHY@NOTAIRE.BE</v>
          </cell>
          <cell r="R755">
            <v>3394</v>
          </cell>
        </row>
        <row r="756">
          <cell r="A756">
            <v>755</v>
          </cell>
          <cell r="B756" t="str">
            <v>MAILLARD Vincent</v>
          </cell>
          <cell r="C756" t="str">
            <v>MAILLARD Vincent</v>
          </cell>
          <cell r="D756" t="str">
            <v>Notaris</v>
          </cell>
          <cell r="E756" t="str">
            <v>Rue de Forges</v>
          </cell>
          <cell r="F756" t="str">
            <v>2</v>
          </cell>
          <cell r="G756" t="str">
            <v/>
          </cell>
          <cell r="H756" t="str">
            <v>6460</v>
          </cell>
          <cell r="I756" t="str">
            <v>Hainaut</v>
          </cell>
          <cell r="K756" t="str">
            <v>Chimay</v>
          </cell>
          <cell r="M756" t="str">
            <v>M</v>
          </cell>
          <cell r="O756" t="str">
            <v>060.21.11.16</v>
          </cell>
          <cell r="P756" t="str">
            <v>060.21.14.35</v>
          </cell>
          <cell r="Q756" t="str">
            <v>VINCENT.MAILLARD@NOTAIRE.BE</v>
          </cell>
          <cell r="R756">
            <v>3026</v>
          </cell>
        </row>
        <row r="757">
          <cell r="A757">
            <v>756</v>
          </cell>
          <cell r="B757" t="str">
            <v>MALENGREAUX Jean-Louis</v>
          </cell>
          <cell r="C757" t="str">
            <v>MALENGREAUX Jean-Louis</v>
          </cell>
          <cell r="D757" t="str">
            <v>Notaris</v>
          </cell>
          <cell r="E757" t="str">
            <v>Rue de l´Eglise</v>
          </cell>
          <cell r="F757" t="str">
            <v>82</v>
          </cell>
          <cell r="G757" t="str">
            <v/>
          </cell>
          <cell r="H757" t="str">
            <v>7340</v>
          </cell>
          <cell r="I757" t="str">
            <v>Hainaut</v>
          </cell>
          <cell r="K757" t="str">
            <v>Pâturages</v>
          </cell>
          <cell r="M757" t="str">
            <v>M</v>
          </cell>
          <cell r="O757" t="str">
            <v>065.67.20.32</v>
          </cell>
          <cell r="P757" t="str">
            <v>065.67.55.31</v>
          </cell>
          <cell r="Q757" t="str">
            <v>JEANLOUIS.MALENGREAUX@NOTAIRE.BE</v>
          </cell>
          <cell r="R757">
            <v>2946</v>
          </cell>
        </row>
        <row r="758">
          <cell r="A758">
            <v>757</v>
          </cell>
          <cell r="B758" t="str">
            <v>MALLENTJER Yves</v>
          </cell>
          <cell r="C758" t="str">
            <v>MALLENTJER Yves</v>
          </cell>
          <cell r="D758" t="str">
            <v>Notaris</v>
          </cell>
          <cell r="E758" t="str">
            <v>Kioskplaats</v>
          </cell>
          <cell r="F758" t="str">
            <v>24</v>
          </cell>
          <cell r="G758" t="str">
            <v/>
          </cell>
          <cell r="H758" t="str">
            <v>2660</v>
          </cell>
          <cell r="I758" t="str">
            <v>Antwerpen</v>
          </cell>
          <cell r="K758" t="str">
            <v>Hoboken Antwerpen)</v>
          </cell>
          <cell r="M758" t="str">
            <v>M</v>
          </cell>
          <cell r="O758" t="str">
            <v>03.827.53.96</v>
          </cell>
          <cell r="P758" t="str">
            <v>03.830.32.28</v>
          </cell>
          <cell r="Q758" t="str">
            <v>yves.mallentjer@notaris.be</v>
          </cell>
          <cell r="R758">
            <v>248</v>
          </cell>
        </row>
        <row r="759">
          <cell r="A759">
            <v>758</v>
          </cell>
          <cell r="B759" t="str">
            <v>de ROCHELEE Thierry-Didier &amp; MANIQUET Martine</v>
          </cell>
          <cell r="C759" t="str">
            <v>Maniquet Martine</v>
          </cell>
          <cell r="D759" t="str">
            <v>Geassocieerd Notaris</v>
          </cell>
          <cell r="E759" t="str">
            <v>rue de Bas Oha</v>
          </cell>
          <cell r="F759" t="str">
            <v>252A</v>
          </cell>
          <cell r="G759" t="str">
            <v/>
          </cell>
          <cell r="H759" t="str">
            <v>4520</v>
          </cell>
          <cell r="I759" t="str">
            <v>Liège</v>
          </cell>
          <cell r="K759" t="str">
            <v>Wanze</v>
          </cell>
          <cell r="M759" t="str">
            <v>M</v>
          </cell>
          <cell r="O759" t="str">
            <v>085.21.12.68</v>
          </cell>
          <cell r="P759" t="str">
            <v>085.21.62.69</v>
          </cell>
          <cell r="Q759" t="str">
            <v>THIERRY.DEROCHELEE@NOTAIRE.BE</v>
          </cell>
          <cell r="R759">
            <v>3010</v>
          </cell>
          <cell r="T759">
            <v>38679</v>
          </cell>
        </row>
        <row r="760">
          <cell r="A760">
            <v>759</v>
          </cell>
          <cell r="B760" t="str">
            <v>RAUCQ Gilberte MAQUET Sophie &amp; GERNAIJ Michel</v>
          </cell>
          <cell r="C760" t="str">
            <v>Maquet Sophie</v>
          </cell>
          <cell r="D760" t="str">
            <v>Geassocieerd Notaris</v>
          </cell>
          <cell r="E760" t="str">
            <v>rue du Monastère</v>
          </cell>
          <cell r="F760" t="str">
            <v>22</v>
          </cell>
          <cell r="G760" t="str">
            <v/>
          </cell>
          <cell r="H760" t="str">
            <v>1000</v>
          </cell>
          <cell r="I760" t="str">
            <v>Bruxelles</v>
          </cell>
          <cell r="K760" t="str">
            <v>Bruxelles</v>
          </cell>
          <cell r="M760" t="str">
            <v>Vr</v>
          </cell>
          <cell r="O760" t="str">
            <v>02.649.71.36</v>
          </cell>
          <cell r="P760" t="str">
            <v>02.649.03.46</v>
          </cell>
          <cell r="Q760" t="str">
            <v>sophie.maquet@notaire.be</v>
          </cell>
          <cell r="R760">
            <v>3496</v>
          </cell>
        </row>
        <row r="761">
          <cell r="A761">
            <v>760</v>
          </cell>
          <cell r="B761" t="str">
            <v>MAQUOI Gaby</v>
          </cell>
          <cell r="C761" t="str">
            <v>MAQUOI Gaby</v>
          </cell>
          <cell r="D761" t="str">
            <v>Notaris</v>
          </cell>
          <cell r="E761" t="str">
            <v>Leuvensesteenweg</v>
          </cell>
          <cell r="F761" t="str">
            <v>317</v>
          </cell>
          <cell r="G761" t="str">
            <v>bus A</v>
          </cell>
          <cell r="H761" t="str">
            <v>3370</v>
          </cell>
          <cell r="I761" t="str">
            <v>Vlaams Brabant</v>
          </cell>
          <cell r="K761" t="str">
            <v>Boutersem</v>
          </cell>
          <cell r="M761" t="str">
            <v>Vr</v>
          </cell>
          <cell r="O761" t="str">
            <v>016.72.07.20</v>
          </cell>
          <cell r="P761" t="str">
            <v>016.72.07.25</v>
          </cell>
          <cell r="Q761" t="str">
            <v>GABY.MAQUOI@NOTARIS.BE</v>
          </cell>
          <cell r="R761">
            <v>3039</v>
          </cell>
        </row>
        <row r="762">
          <cell r="A762">
            <v>761</v>
          </cell>
          <cell r="B762" t="str">
            <v>Erwin Maraite Notaire SC SPRL</v>
          </cell>
          <cell r="C762" t="str">
            <v>Maraite Erwin</v>
          </cell>
          <cell r="D762" t="str">
            <v>Notaris</v>
          </cell>
          <cell r="E762" t="str">
            <v>Rue Abbé Peters</v>
          </cell>
          <cell r="F762" t="str">
            <v>32</v>
          </cell>
          <cell r="G762" t="str">
            <v/>
          </cell>
          <cell r="H762" t="str">
            <v>4960</v>
          </cell>
          <cell r="I762" t="str">
            <v>Liège</v>
          </cell>
          <cell r="K762" t="str">
            <v>Malmédy</v>
          </cell>
          <cell r="M762" t="str">
            <v>M</v>
          </cell>
          <cell r="O762" t="str">
            <v>080.33.08.86</v>
          </cell>
          <cell r="P762" t="str">
            <v>080.33.98.76</v>
          </cell>
          <cell r="Q762" t="str">
            <v>ERWIN.MARAITE@NOTAIRE.BE</v>
          </cell>
          <cell r="R762">
            <v>917</v>
          </cell>
        </row>
        <row r="763">
          <cell r="A763">
            <v>762</v>
          </cell>
          <cell r="B763" t="str">
            <v>SNYERS d´ATTENHOVEN &amp; MARCELIS</v>
          </cell>
          <cell r="C763" t="str">
            <v>Marcelis Louis-Philippe</v>
          </cell>
          <cell r="D763" t="str">
            <v>Geassocieerd Notaris</v>
          </cell>
          <cell r="E763" t="str">
            <v>avenue Louise</v>
          </cell>
          <cell r="F763" t="str">
            <v>131A</v>
          </cell>
          <cell r="G763" t="str">
            <v/>
          </cell>
          <cell r="H763" t="str">
            <v>1050</v>
          </cell>
          <cell r="I763" t="str">
            <v>Bruxelles</v>
          </cell>
          <cell r="K763" t="str">
            <v>Bruxelles</v>
          </cell>
          <cell r="M763" t="str">
            <v>M</v>
          </cell>
          <cell r="O763" t="str">
            <v>02.543.11.80</v>
          </cell>
          <cell r="P763" t="str">
            <v>02.537.82.09</v>
          </cell>
          <cell r="Q763" t="str">
            <v>louisphilippe@notaire.be</v>
          </cell>
          <cell r="R763">
            <v>3497</v>
          </cell>
        </row>
        <row r="764">
          <cell r="A764">
            <v>763</v>
          </cell>
          <cell r="B764" t="str">
            <v>MARCHANT Jean-Pierre</v>
          </cell>
          <cell r="C764" t="str">
            <v>MARCHANT Jean-Pierre</v>
          </cell>
          <cell r="D764" t="str">
            <v>Notaris</v>
          </cell>
          <cell r="E764" t="str">
            <v>Avenue Brugmannlaan</v>
          </cell>
          <cell r="F764" t="str">
            <v>480</v>
          </cell>
          <cell r="G764" t="str">
            <v/>
          </cell>
          <cell r="H764" t="str">
            <v>1180</v>
          </cell>
          <cell r="I764" t="str">
            <v>Bruxelles</v>
          </cell>
          <cell r="K764" t="str">
            <v>Bruxelles</v>
          </cell>
          <cell r="M764" t="str">
            <v>M</v>
          </cell>
          <cell r="O764" t="str">
            <v>02.374.35.74</v>
          </cell>
          <cell r="P764" t="str">
            <v>02.374.12.73</v>
          </cell>
          <cell r="Q764" t="str">
            <v>JEANPIERRE.MARCHANT@NOTAIRE.BE</v>
          </cell>
          <cell r="R764">
            <v>3083</v>
          </cell>
        </row>
        <row r="765">
          <cell r="A765">
            <v>764</v>
          </cell>
          <cell r="B765" t="str">
            <v>MARECHAL Paul</v>
          </cell>
          <cell r="C765" t="str">
            <v>MARECHAL Paul</v>
          </cell>
          <cell r="D765" t="str">
            <v>Notaris</v>
          </cell>
          <cell r="E765" t="str">
            <v>Rue d´Esneux</v>
          </cell>
          <cell r="F765" t="str">
            <v>26</v>
          </cell>
          <cell r="G765" t="str">
            <v/>
          </cell>
          <cell r="H765" t="str">
            <v>4121</v>
          </cell>
          <cell r="I765" t="str">
            <v>Liège</v>
          </cell>
          <cell r="K765" t="str">
            <v>Neuville-en-Condroz</v>
          </cell>
          <cell r="M765" t="str">
            <v>M</v>
          </cell>
          <cell r="O765" t="str">
            <v>04.371.40.11</v>
          </cell>
          <cell r="P765" t="str">
            <v>04.372.02.70</v>
          </cell>
          <cell r="Q765" t="str">
            <v>PAUL.MARECHAL@NOTAIRE.BE</v>
          </cell>
          <cell r="R765">
            <v>964</v>
          </cell>
        </row>
        <row r="766">
          <cell r="A766">
            <v>765</v>
          </cell>
          <cell r="B766" t="str">
            <v>MARIENS Bruno</v>
          </cell>
          <cell r="C766" t="str">
            <v>MARIENS Bruno</v>
          </cell>
          <cell r="D766" t="str">
            <v>Notaris</v>
          </cell>
          <cell r="E766" t="str">
            <v>Dokter Victor De Walsplein</v>
          </cell>
          <cell r="F766" t="str">
            <v>26</v>
          </cell>
          <cell r="G766" t="str">
            <v/>
          </cell>
          <cell r="H766" t="str">
            <v>3070</v>
          </cell>
          <cell r="I766" t="str">
            <v>Vlaams Brabant</v>
          </cell>
          <cell r="K766" t="str">
            <v>Kortenberg</v>
          </cell>
          <cell r="M766" t="str">
            <v>M</v>
          </cell>
          <cell r="O766" t="str">
            <v>02.759.65.03</v>
          </cell>
          <cell r="P766" t="str">
            <v>02.757.93.90</v>
          </cell>
          <cell r="Q766" t="str">
            <v>BRUNO.MARIENS@NOTARIS.BE</v>
          </cell>
          <cell r="R766">
            <v>3269</v>
          </cell>
        </row>
        <row r="767">
          <cell r="A767">
            <v>766</v>
          </cell>
          <cell r="B767" t="str">
            <v>MARKEY Erwin</v>
          </cell>
          <cell r="C767" t="str">
            <v>MARKEY Erwin</v>
          </cell>
          <cell r="D767" t="str">
            <v>Notaris</v>
          </cell>
          <cell r="E767" t="str">
            <v>Fostierlaan</v>
          </cell>
          <cell r="F767" t="str">
            <v>51</v>
          </cell>
          <cell r="G767" t="str">
            <v/>
          </cell>
          <cell r="H767" t="str">
            <v>9600</v>
          </cell>
          <cell r="I767" t="str">
            <v>Oost-Vlaanderen</v>
          </cell>
          <cell r="K767" t="str">
            <v>Ronse</v>
          </cell>
          <cell r="M767" t="str">
            <v>M</v>
          </cell>
          <cell r="O767" t="str">
            <v>055.21.32.52</v>
          </cell>
          <cell r="P767" t="str">
            <v>055.23.70.40</v>
          </cell>
          <cell r="Q767" t="str">
            <v>ERWIN.MARKEY@NOTARIS.BE</v>
          </cell>
          <cell r="R767">
            <v>3082</v>
          </cell>
        </row>
        <row r="768">
          <cell r="A768">
            <v>767</v>
          </cell>
          <cell r="B768" t="str">
            <v>MAROY Jean-Louis</v>
          </cell>
          <cell r="C768" t="str">
            <v>MAROY Jean-Louis</v>
          </cell>
          <cell r="D768" t="str">
            <v>Notaris</v>
          </cell>
          <cell r="E768" t="str">
            <v>Rue des Minimes</v>
          </cell>
          <cell r="F768" t="str">
            <v>73</v>
          </cell>
          <cell r="G768" t="str">
            <v/>
          </cell>
          <cell r="H768" t="str">
            <v>1000</v>
          </cell>
          <cell r="I768" t="str">
            <v>Bruxelles</v>
          </cell>
          <cell r="K768" t="str">
            <v>Bruxelles</v>
          </cell>
          <cell r="M768" t="str">
            <v>M</v>
          </cell>
          <cell r="O768" t="str">
            <v>02.511.81.47</v>
          </cell>
          <cell r="P768" t="str">
            <v>02.512.36.52</v>
          </cell>
          <cell r="Q768" t="str">
            <v>jeanlouis.maroy@notaire.be</v>
          </cell>
          <cell r="R768">
            <v>2433</v>
          </cell>
        </row>
        <row r="769">
          <cell r="A769">
            <v>768</v>
          </cell>
          <cell r="B769" t="str">
            <v>MARTIN Thierry</v>
          </cell>
          <cell r="C769" t="str">
            <v>MARTIN Thierry</v>
          </cell>
          <cell r="D769" t="str">
            <v>Notaris</v>
          </cell>
          <cell r="E769" t="str">
            <v>Avenue de Navagne</v>
          </cell>
          <cell r="F769" t="str">
            <v>8</v>
          </cell>
          <cell r="G769" t="str">
            <v/>
          </cell>
          <cell r="H769" t="str">
            <v>4600</v>
          </cell>
          <cell r="I769" t="str">
            <v>Liège</v>
          </cell>
          <cell r="K769" t="str">
            <v>Visé</v>
          </cell>
          <cell r="M769" t="str">
            <v>M</v>
          </cell>
          <cell r="O769" t="str">
            <v>04.379.11.40</v>
          </cell>
          <cell r="P769" t="str">
            <v>04.379.78.35</v>
          </cell>
          <cell r="Q769" t="str">
            <v>THIERRY.MARTIN@NOTAIRE.BE</v>
          </cell>
          <cell r="R769">
            <v>431</v>
          </cell>
        </row>
        <row r="770">
          <cell r="A770">
            <v>769</v>
          </cell>
          <cell r="B770" t="str">
            <v>MARYNEN Didier</v>
          </cell>
          <cell r="C770" t="str">
            <v>MARYNEN Didier</v>
          </cell>
          <cell r="D770" t="str">
            <v>Notaris</v>
          </cell>
          <cell r="E770" t="str">
            <v>Hoogeind</v>
          </cell>
          <cell r="F770" t="str">
            <v>33</v>
          </cell>
          <cell r="G770" t="str">
            <v/>
          </cell>
          <cell r="H770" t="str">
            <v>2940</v>
          </cell>
          <cell r="I770" t="str">
            <v>Antwerpen</v>
          </cell>
          <cell r="K770" t="str">
            <v>Stabroek</v>
          </cell>
          <cell r="M770" t="str">
            <v>M</v>
          </cell>
          <cell r="O770" t="str">
            <v>03.568.60.04</v>
          </cell>
          <cell r="P770" t="str">
            <v>03.568.15.94</v>
          </cell>
          <cell r="Q770" t="str">
            <v>DIDIER.MARYNEN@NOTARIS.BE</v>
          </cell>
          <cell r="R770">
            <v>2539</v>
          </cell>
        </row>
        <row r="771">
          <cell r="A771">
            <v>770</v>
          </cell>
          <cell r="B771" t="str">
            <v>Paul J. Maselis, Notaris BVBA</v>
          </cell>
          <cell r="C771" t="str">
            <v>Maselis Paul</v>
          </cell>
          <cell r="D771" t="str">
            <v>Notaris</v>
          </cell>
          <cell r="E771" t="str">
            <v>Riga Square Riga</v>
          </cell>
          <cell r="F771" t="str">
            <v>37</v>
          </cell>
          <cell r="G771" t="str">
            <v/>
          </cell>
          <cell r="H771" t="str">
            <v>1030</v>
          </cell>
          <cell r="I771" t="str">
            <v>Bruxelles</v>
          </cell>
          <cell r="K771" t="str">
            <v>Bruxelles</v>
          </cell>
          <cell r="M771" t="str">
            <v>M</v>
          </cell>
          <cell r="O771" t="str">
            <v>02.215.14.03</v>
          </cell>
          <cell r="P771" t="str">
            <v>02.215.53.97</v>
          </cell>
          <cell r="Q771" t="str">
            <v>PAUL.MASELIS@NOTARIS.BE</v>
          </cell>
          <cell r="R771">
            <v>3055</v>
          </cell>
          <cell r="S771" t="str">
            <v>434-3181112-01</v>
          </cell>
          <cell r="T771" t="str">
            <v>*1992</v>
          </cell>
        </row>
        <row r="772">
          <cell r="A772">
            <v>771</v>
          </cell>
          <cell r="B772" t="str">
            <v>MASSINON Véronique</v>
          </cell>
          <cell r="C772" t="str">
            <v>MASSINON Véronique</v>
          </cell>
          <cell r="D772" t="str">
            <v>Notaris</v>
          </cell>
          <cell r="E772" t="str">
            <v>Rue De Vitrival</v>
          </cell>
          <cell r="F772" t="str">
            <v>4</v>
          </cell>
          <cell r="G772" t="str">
            <v/>
          </cell>
          <cell r="H772" t="str">
            <v>5070</v>
          </cell>
          <cell r="I772" t="str">
            <v>Namur</v>
          </cell>
          <cell r="K772" t="str">
            <v>Fosses-la-Ville</v>
          </cell>
          <cell r="M772" t="str">
            <v>Vr</v>
          </cell>
          <cell r="O772" t="str">
            <v>071.71.10.05</v>
          </cell>
          <cell r="P772" t="str">
            <v>071.71.38.85</v>
          </cell>
          <cell r="Q772" t="str">
            <v>VERONIQUE.MASSINON@NOTAIRE.BE</v>
          </cell>
          <cell r="R772">
            <v>2980</v>
          </cell>
        </row>
        <row r="773">
          <cell r="A773">
            <v>772</v>
          </cell>
          <cell r="B773" t="str">
            <v>MASSON Valérie</v>
          </cell>
          <cell r="C773" t="str">
            <v>MASSON Valérie</v>
          </cell>
          <cell r="D773" t="str">
            <v>Notaris</v>
          </cell>
          <cell r="E773" t="str">
            <v>Rue de Clairvaux</v>
          </cell>
          <cell r="F773" t="str">
            <v>40</v>
          </cell>
          <cell r="G773" t="str">
            <v/>
          </cell>
          <cell r="H773" t="str">
            <v>1348</v>
          </cell>
          <cell r="I773" t="str">
            <v>Brabant Wallon</v>
          </cell>
          <cell r="K773" t="str">
            <v>Louvain-la-Neuve</v>
          </cell>
          <cell r="M773" t="str">
            <v>Vr</v>
          </cell>
          <cell r="O773" t="str">
            <v>010.81.35.61</v>
          </cell>
          <cell r="P773" t="str">
            <v>010.81.61.76</v>
          </cell>
          <cell r="Q773" t="str">
            <v>VALERIE.MASSON@NOTAIRE.BE</v>
          </cell>
          <cell r="R773">
            <v>3601</v>
          </cell>
        </row>
        <row r="774">
          <cell r="A774">
            <v>773</v>
          </cell>
          <cell r="B774" t="str">
            <v>MATHIEU André</v>
          </cell>
          <cell r="C774" t="str">
            <v>MATHIEU André</v>
          </cell>
          <cell r="D774" t="str">
            <v>Notaris</v>
          </cell>
          <cell r="E774" t="str">
            <v>Rue Abbé Peters</v>
          </cell>
          <cell r="F774" t="str">
            <v>49</v>
          </cell>
          <cell r="G774" t="str">
            <v>bte B1</v>
          </cell>
          <cell r="H774" t="str">
            <v>4960</v>
          </cell>
          <cell r="I774" t="str">
            <v>Liège</v>
          </cell>
          <cell r="K774" t="str">
            <v>Malmédy</v>
          </cell>
          <cell r="M774" t="str">
            <v>M</v>
          </cell>
          <cell r="O774" t="str">
            <v>080.33.06.20</v>
          </cell>
          <cell r="P774" t="str">
            <v>080.33.05.18</v>
          </cell>
          <cell r="Q774" t="str">
            <v>ANDRE.MATHIEU@NOTAIRE.BE</v>
          </cell>
          <cell r="R774">
            <v>2538</v>
          </cell>
        </row>
        <row r="775">
          <cell r="A775">
            <v>774</v>
          </cell>
          <cell r="B775" t="str">
            <v>Mathonet François</v>
          </cell>
          <cell r="C775" t="str">
            <v>Mathonet François</v>
          </cell>
          <cell r="D775" t="str">
            <v>Notaris</v>
          </cell>
          <cell r="E775" t="str">
            <v>Rue du Pont</v>
          </cell>
          <cell r="F775" t="str">
            <v>35</v>
          </cell>
          <cell r="G775" t="str">
            <v/>
          </cell>
          <cell r="H775" t="str">
            <v>4000</v>
          </cell>
          <cell r="I775" t="str">
            <v>Liège</v>
          </cell>
          <cell r="K775" t="str">
            <v>Liège</v>
          </cell>
          <cell r="M775" t="str">
            <v>M</v>
          </cell>
          <cell r="O775" t="str">
            <v>04.221.15.49</v>
          </cell>
          <cell r="P775" t="str">
            <v>04.221.15.59</v>
          </cell>
          <cell r="Q775" t="str">
            <v>francois.mathonet@notaire.be</v>
          </cell>
          <cell r="R775">
            <v>2652</v>
          </cell>
          <cell r="T775">
            <v>38621</v>
          </cell>
        </row>
        <row r="776">
          <cell r="A776">
            <v>775</v>
          </cell>
          <cell r="B776" t="str">
            <v>MATHY Etienne</v>
          </cell>
          <cell r="C776" t="str">
            <v>MATHY Etienne</v>
          </cell>
          <cell r="D776" t="str">
            <v>Notaris</v>
          </cell>
          <cell r="E776" t="str">
            <v>rue des Fabriques</v>
          </cell>
          <cell r="F776" t="str">
            <v>17</v>
          </cell>
          <cell r="G776" t="str">
            <v/>
          </cell>
          <cell r="H776" t="str">
            <v>4300</v>
          </cell>
          <cell r="I776" t="str">
            <v>Liège</v>
          </cell>
          <cell r="K776" t="str">
            <v>Waremme</v>
          </cell>
          <cell r="M776" t="str">
            <v>M</v>
          </cell>
          <cell r="O776" t="str">
            <v>019.32.23.08</v>
          </cell>
          <cell r="P776" t="str">
            <v>019.33.01.20</v>
          </cell>
          <cell r="Q776" t="str">
            <v>ETIENNE.MATHY@NOTAIRE.BE</v>
          </cell>
          <cell r="R776">
            <v>2979</v>
          </cell>
        </row>
        <row r="777">
          <cell r="A777">
            <v>776</v>
          </cell>
          <cell r="B777" t="str">
            <v>MATTHYS Jean</v>
          </cell>
          <cell r="C777" t="str">
            <v>MATTHYS Jean</v>
          </cell>
          <cell r="D777" t="str">
            <v>Notaris</v>
          </cell>
          <cell r="E777" t="str">
            <v>Kerkstraat</v>
          </cell>
          <cell r="F777" t="str">
            <v>66</v>
          </cell>
          <cell r="G777" t="str">
            <v/>
          </cell>
          <cell r="H777" t="str">
            <v>9160</v>
          </cell>
          <cell r="I777" t="str">
            <v>Oost-Vlaanderen</v>
          </cell>
          <cell r="K777" t="str">
            <v>Lokeren</v>
          </cell>
          <cell r="M777" t="str">
            <v>M</v>
          </cell>
          <cell r="O777" t="str">
            <v>09.348.13.25</v>
          </cell>
          <cell r="P777" t="str">
            <v>09.348.92.70</v>
          </cell>
          <cell r="Q777" t="str">
            <v>JEAN.MATTHYS@NOTARIS.BE</v>
          </cell>
          <cell r="R777">
            <v>2436</v>
          </cell>
        </row>
        <row r="778">
          <cell r="A778">
            <v>777</v>
          </cell>
          <cell r="B778" t="str">
            <v>MATTOT Henri</v>
          </cell>
          <cell r="C778" t="str">
            <v>MATTOT Henri</v>
          </cell>
          <cell r="D778" t="str">
            <v>Notaris</v>
          </cell>
          <cell r="E778" t="str">
            <v>Rue de la Station</v>
          </cell>
          <cell r="F778" t="str">
            <v>19</v>
          </cell>
          <cell r="G778" t="str">
            <v/>
          </cell>
          <cell r="H778" t="str">
            <v>5500</v>
          </cell>
          <cell r="I778" t="str">
            <v>Namur</v>
          </cell>
          <cell r="K778" t="str">
            <v>Dinant</v>
          </cell>
          <cell r="M778" t="str">
            <v>M</v>
          </cell>
          <cell r="O778" t="str">
            <v>082.22.20.46</v>
          </cell>
          <cell r="P778" t="str">
            <v>082.22.68.53</v>
          </cell>
          <cell r="Q778" t="str">
            <v>FRANCOIS.DEBOUCHE@NOTAIRE.BE</v>
          </cell>
          <cell r="R778">
            <v>3602</v>
          </cell>
        </row>
        <row r="779">
          <cell r="A779">
            <v>778</v>
          </cell>
          <cell r="B779" t="str">
            <v>MAUFROID Luc</v>
          </cell>
          <cell r="C779" t="str">
            <v>MAUFROID Luc</v>
          </cell>
          <cell r="D779" t="str">
            <v>Notaris</v>
          </cell>
          <cell r="E779" t="str">
            <v>Chemin d´Hameau</v>
          </cell>
          <cell r="F779" t="str">
            <v>74</v>
          </cell>
          <cell r="G779" t="str">
            <v/>
          </cell>
          <cell r="H779" t="str">
            <v>6120</v>
          </cell>
          <cell r="I779" t="str">
            <v>Hainaut</v>
          </cell>
          <cell r="K779" t="str">
            <v>Ham-sur-Heure-Nalinnes</v>
          </cell>
          <cell r="M779" t="str">
            <v>M</v>
          </cell>
          <cell r="O779" t="str">
            <v>071.21.30.47</v>
          </cell>
          <cell r="P779" t="str">
            <v>071.21.51.62</v>
          </cell>
          <cell r="Q779" t="str">
            <v>LUC.MAUFROID@NOTAIRE.BE</v>
          </cell>
          <cell r="R779">
            <v>2407</v>
          </cell>
        </row>
        <row r="780">
          <cell r="A780">
            <v>779</v>
          </cell>
          <cell r="B780" t="str">
            <v>MAUS de ROLLEY Hubert</v>
          </cell>
          <cell r="C780" t="str">
            <v>MausdeRolley Hubert</v>
          </cell>
          <cell r="D780" t="str">
            <v>Notaris</v>
          </cell>
          <cell r="E780" t="str">
            <v>Rue de la Faloise</v>
          </cell>
          <cell r="F780" t="str">
            <v>17</v>
          </cell>
          <cell r="G780" t="str">
            <v/>
          </cell>
          <cell r="H780" t="str">
            <v>6840</v>
          </cell>
          <cell r="I780" t="str">
            <v>Luxembourg</v>
          </cell>
          <cell r="K780" t="str">
            <v>Neufchâteau</v>
          </cell>
          <cell r="M780" t="str">
            <v>M</v>
          </cell>
          <cell r="O780" t="str">
            <v>061.27.70.78</v>
          </cell>
          <cell r="P780" t="str">
            <v>061.27.76.40</v>
          </cell>
          <cell r="Q780" t="str">
            <v>HUBERT.MAUSDEROLLEY@NOTAIRE.BE</v>
          </cell>
          <cell r="R780">
            <v>2505</v>
          </cell>
        </row>
        <row r="781">
          <cell r="A781">
            <v>780</v>
          </cell>
          <cell r="B781" t="str">
            <v>MAUS de ROLLEY Jean-Michel &amp; de WASSEIGE Philippe</v>
          </cell>
          <cell r="C781" t="str">
            <v>MausdeRolley Jean-Michel</v>
          </cell>
          <cell r="D781" t="str">
            <v>Geassocieerd Notaris</v>
          </cell>
          <cell r="E781" t="str">
            <v>Devant Sauvenière</v>
          </cell>
          <cell r="F781" t="str">
            <v>12</v>
          </cell>
          <cell r="G781" t="str">
            <v/>
          </cell>
          <cell r="H781" t="str">
            <v>5580</v>
          </cell>
          <cell r="I781" t="str">
            <v>Namur</v>
          </cell>
          <cell r="K781" t="str">
            <v>Rochefort</v>
          </cell>
          <cell r="M781" t="str">
            <v>M</v>
          </cell>
          <cell r="O781" t="str">
            <v>084.21.12.89</v>
          </cell>
          <cell r="P781" t="str">
            <v>084.21.42.60</v>
          </cell>
          <cell r="Q781" t="str">
            <v>JEANMICHEL.MAUSDEROLLEY@NOTAIRE.BE</v>
          </cell>
          <cell r="R781">
            <v>1189</v>
          </cell>
        </row>
        <row r="782">
          <cell r="A782">
            <v>781</v>
          </cell>
          <cell r="B782" t="str">
            <v>MEERSMAN-WILMUS</v>
          </cell>
          <cell r="C782" t="str">
            <v>Meersman Hugo</v>
          </cell>
          <cell r="D782" t="str">
            <v>Notaris</v>
          </cell>
          <cell r="E782" t="str">
            <v>Avenue d´Auderghem</v>
          </cell>
          <cell r="F782" t="str">
            <v>328</v>
          </cell>
          <cell r="G782" t="str">
            <v/>
          </cell>
          <cell r="H782" t="str">
            <v>1040</v>
          </cell>
          <cell r="I782" t="str">
            <v>Bruxelles</v>
          </cell>
          <cell r="K782" t="str">
            <v>Bruxelles</v>
          </cell>
          <cell r="M782" t="str">
            <v>M</v>
          </cell>
          <cell r="O782" t="str">
            <v>02.647.40.93</v>
          </cell>
          <cell r="P782" t="str">
            <v>02.646.25.86</v>
          </cell>
          <cell r="Q782" t="str">
            <v>HUGO.MEERSMAN@NOTAIRE.BE</v>
          </cell>
          <cell r="R782">
            <v>3495</v>
          </cell>
        </row>
        <row r="783">
          <cell r="A783">
            <v>782</v>
          </cell>
          <cell r="B783" t="str">
            <v>MEERT Benoit</v>
          </cell>
          <cell r="C783" t="str">
            <v>MEERT Benoit</v>
          </cell>
          <cell r="D783" t="str">
            <v>Notaris</v>
          </cell>
          <cell r="E783" t="str">
            <v>Van Breestraat</v>
          </cell>
          <cell r="F783" t="str">
            <v>23</v>
          </cell>
          <cell r="G783" t="str">
            <v/>
          </cell>
          <cell r="H783" t="str">
            <v>2018</v>
          </cell>
          <cell r="I783" t="str">
            <v>Antwerpen</v>
          </cell>
          <cell r="K783" t="str">
            <v>Antwerpen</v>
          </cell>
          <cell r="M783" t="str">
            <v>M</v>
          </cell>
          <cell r="O783" t="str">
            <v>03.232.74.03</v>
          </cell>
          <cell r="P783" t="str">
            <v>03.231.80.87</v>
          </cell>
          <cell r="Q783" t="str">
            <v>BENOIT.MEERT@NOTARIS.BE</v>
          </cell>
          <cell r="R783">
            <v>2820</v>
          </cell>
        </row>
        <row r="784">
          <cell r="A784">
            <v>783</v>
          </cell>
          <cell r="B784" t="str">
            <v>MEERT Daniel &amp; Stéphane</v>
          </cell>
          <cell r="C784" t="str">
            <v>Meert Daniel</v>
          </cell>
          <cell r="D784" t="str">
            <v>Notaris</v>
          </cell>
          <cell r="E784" t="str">
            <v>Gentsesteenweg</v>
          </cell>
          <cell r="F784" t="str">
            <v>6</v>
          </cell>
          <cell r="G784" t="str">
            <v/>
          </cell>
          <cell r="H784" t="str">
            <v>9420</v>
          </cell>
          <cell r="I784" t="str">
            <v>Oost-Vlaanderen</v>
          </cell>
          <cell r="K784" t="str">
            <v>Erpe</v>
          </cell>
          <cell r="M784" t="str">
            <v>M</v>
          </cell>
          <cell r="O784" t="str">
            <v>053/80.15.58</v>
          </cell>
          <cell r="P784" t="str">
            <v>053/80.65.16</v>
          </cell>
          <cell r="Q784" t="str">
            <v>DANIEL.MEERT@NOTARIS.BE</v>
          </cell>
          <cell r="R784">
            <v>3666</v>
          </cell>
        </row>
        <row r="785">
          <cell r="A785">
            <v>784</v>
          </cell>
          <cell r="B785" t="str">
            <v>MEERT Henri</v>
          </cell>
          <cell r="C785" t="str">
            <v>MEERT Henri</v>
          </cell>
          <cell r="D785" t="str">
            <v>Notaris</v>
          </cell>
          <cell r="E785" t="str">
            <v>Parklaan</v>
          </cell>
          <cell r="F785" t="str">
            <v>18</v>
          </cell>
          <cell r="G785" t="str">
            <v/>
          </cell>
          <cell r="H785" t="str">
            <v>9100</v>
          </cell>
          <cell r="I785" t="str">
            <v>Oost-Vlaanderen</v>
          </cell>
          <cell r="K785" t="str">
            <v>Sint-Niklaas</v>
          </cell>
          <cell r="M785" t="str">
            <v>M</v>
          </cell>
          <cell r="O785" t="str">
            <v>03.776.02.67</v>
          </cell>
          <cell r="P785" t="str">
            <v>03.760.16.30</v>
          </cell>
          <cell r="Q785" t="str">
            <v>HENRI.MEERT@NOTARIS.BE</v>
          </cell>
          <cell r="R785">
            <v>2953</v>
          </cell>
        </row>
        <row r="786">
          <cell r="A786">
            <v>785</v>
          </cell>
          <cell r="B786" t="str">
            <v>MEERT Daniel &amp; Stéphane</v>
          </cell>
          <cell r="C786" t="str">
            <v>Meert Stéphane</v>
          </cell>
          <cell r="D786" t="str">
            <v>Notaris</v>
          </cell>
          <cell r="E786" t="str">
            <v>Gentsesteenweg</v>
          </cell>
          <cell r="F786" t="str">
            <v>6</v>
          </cell>
          <cell r="G786" t="str">
            <v/>
          </cell>
          <cell r="H786" t="str">
            <v>9420</v>
          </cell>
          <cell r="I786" t="str">
            <v>Oost-Vlaanderen</v>
          </cell>
          <cell r="K786" t="str">
            <v>Erpe</v>
          </cell>
          <cell r="M786" t="str">
            <v>M</v>
          </cell>
          <cell r="O786" t="str">
            <v>053/80.15.58</v>
          </cell>
          <cell r="P786" t="str">
            <v>053/80.65.16</v>
          </cell>
          <cell r="Q786" t="str">
            <v/>
          </cell>
          <cell r="R786">
            <v>3666</v>
          </cell>
        </row>
        <row r="787">
          <cell r="A787">
            <v>786</v>
          </cell>
          <cell r="B787" t="str">
            <v>MENNE Jean-Louis</v>
          </cell>
          <cell r="C787" t="str">
            <v>MENNE Jean-Louis</v>
          </cell>
          <cell r="D787" t="str">
            <v>Notaris</v>
          </cell>
          <cell r="E787" t="str">
            <v>Chaussée de Philippeville</v>
          </cell>
          <cell r="F787" t="str">
            <v>24</v>
          </cell>
          <cell r="G787" t="str">
            <v/>
          </cell>
          <cell r="H787" t="str">
            <v>6010</v>
          </cell>
          <cell r="I787" t="str">
            <v>Hainaut</v>
          </cell>
          <cell r="K787" t="str">
            <v>Couillet Charleroi)</v>
          </cell>
          <cell r="M787" t="str">
            <v>M</v>
          </cell>
          <cell r="O787" t="str">
            <v>071.36.15.76</v>
          </cell>
          <cell r="P787" t="str">
            <v>071.36.01.56</v>
          </cell>
          <cell r="Q787" t="str">
            <v>JEANLOUIS.MENNE@NOTAIRE.BE</v>
          </cell>
          <cell r="R787">
            <v>2799</v>
          </cell>
        </row>
        <row r="788">
          <cell r="A788">
            <v>787</v>
          </cell>
          <cell r="B788" t="str">
            <v>MENNES Walter</v>
          </cell>
          <cell r="C788" t="str">
            <v>MENNES Walter</v>
          </cell>
          <cell r="D788" t="str">
            <v>Notaris</v>
          </cell>
          <cell r="E788" t="str">
            <v>Burgemeester Kenisstraat</v>
          </cell>
          <cell r="F788" t="str">
            <v>6</v>
          </cell>
          <cell r="G788" t="str">
            <v/>
          </cell>
          <cell r="H788" t="str">
            <v>2910</v>
          </cell>
          <cell r="I788" t="str">
            <v>Antwerpen</v>
          </cell>
          <cell r="K788" t="str">
            <v>Essen</v>
          </cell>
          <cell r="M788" t="str">
            <v>M</v>
          </cell>
          <cell r="O788" t="str">
            <v>03.667.22.39</v>
          </cell>
          <cell r="P788" t="str">
            <v>03.667.73.81</v>
          </cell>
          <cell r="Q788" t="str">
            <v>WALTER.MENNES@NOTARIS.BE</v>
          </cell>
          <cell r="R788">
            <v>374</v>
          </cell>
        </row>
        <row r="789">
          <cell r="A789">
            <v>788</v>
          </cell>
          <cell r="B789" t="str">
            <v>MERGAERT Claudine</v>
          </cell>
          <cell r="C789" t="str">
            <v>MERGAERT Claudine</v>
          </cell>
          <cell r="D789" t="str">
            <v>Notaris</v>
          </cell>
          <cell r="E789" t="str">
            <v>Bruggestraat</v>
          </cell>
          <cell r="F789" t="str">
            <v>35</v>
          </cell>
          <cell r="G789" t="str">
            <v/>
          </cell>
          <cell r="H789" t="str">
            <v>8840</v>
          </cell>
          <cell r="I789" t="str">
            <v>West-Vlaanderen</v>
          </cell>
          <cell r="K789" t="str">
            <v>Staden</v>
          </cell>
          <cell r="L789">
            <v>19524</v>
          </cell>
          <cell r="M789" t="str">
            <v>Vr</v>
          </cell>
          <cell r="O789" t="str">
            <v>051.70.12.78</v>
          </cell>
          <cell r="P789" t="str">
            <v>051.70.37.76</v>
          </cell>
          <cell r="Q789" t="str">
            <v>CLAUDINE.MERGAERT@NOTARIS.BE</v>
          </cell>
          <cell r="R789">
            <v>2797</v>
          </cell>
        </row>
        <row r="790">
          <cell r="A790">
            <v>789</v>
          </cell>
          <cell r="B790" t="str">
            <v>MERLO Dorine</v>
          </cell>
          <cell r="C790" t="str">
            <v>MERLO Dorine</v>
          </cell>
          <cell r="D790" t="str">
            <v>Notaris</v>
          </cell>
          <cell r="E790" t="str">
            <v>Pater Verboislaan</v>
          </cell>
          <cell r="F790" t="str">
            <v>13</v>
          </cell>
          <cell r="G790" t="str">
            <v/>
          </cell>
          <cell r="H790" t="str">
            <v>3621</v>
          </cell>
          <cell r="I790" t="str">
            <v>Limburg</v>
          </cell>
          <cell r="K790" t="str">
            <v>Rekem</v>
          </cell>
          <cell r="M790" t="str">
            <v>Vr</v>
          </cell>
          <cell r="O790" t="str">
            <v>089.71.43.63</v>
          </cell>
          <cell r="P790" t="str">
            <v>089.71.84.83</v>
          </cell>
          <cell r="Q790" t="str">
            <v>DORINE.MERLO@NOTARIS.BE</v>
          </cell>
          <cell r="R790">
            <v>3565</v>
          </cell>
        </row>
        <row r="791">
          <cell r="A791">
            <v>790</v>
          </cell>
          <cell r="B791" t="str">
            <v>MERTENS Jean-Louis</v>
          </cell>
          <cell r="C791" t="str">
            <v>MERTENS Jean-Louis</v>
          </cell>
          <cell r="D791" t="str">
            <v>Notaris</v>
          </cell>
          <cell r="E791" t="str">
            <v>Rue de Tournai</v>
          </cell>
          <cell r="F791" t="str">
            <v>24</v>
          </cell>
          <cell r="G791" t="str">
            <v/>
          </cell>
          <cell r="H791" t="str">
            <v>7900</v>
          </cell>
          <cell r="I791" t="str">
            <v>Hainaut</v>
          </cell>
          <cell r="K791" t="str">
            <v>Leuze-en-Hainaut</v>
          </cell>
          <cell r="M791" t="str">
            <v>M</v>
          </cell>
          <cell r="O791" t="str">
            <v>069.66.20.33</v>
          </cell>
          <cell r="P791" t="str">
            <v>069.66.61.67</v>
          </cell>
          <cell r="Q791" t="str">
            <v>JEANLOUIS.MERTENS@NOTAIRE.BE</v>
          </cell>
          <cell r="R791">
            <v>2924</v>
          </cell>
        </row>
        <row r="792">
          <cell r="A792">
            <v>791</v>
          </cell>
          <cell r="B792" t="str">
            <v>MERTENS Michaël</v>
          </cell>
          <cell r="C792" t="str">
            <v>MERTENS Michaël</v>
          </cell>
          <cell r="D792" t="str">
            <v>Notaris</v>
          </cell>
          <cell r="E792" t="str">
            <v>Ambachtenstraat</v>
          </cell>
          <cell r="F792" t="str">
            <v>10</v>
          </cell>
          <cell r="G792" t="str">
            <v/>
          </cell>
          <cell r="H792" t="str">
            <v>8900</v>
          </cell>
          <cell r="I792" t="str">
            <v>West-Vlaanderen</v>
          </cell>
          <cell r="K792" t="str">
            <v>Ieper</v>
          </cell>
          <cell r="L792">
            <v>22692</v>
          </cell>
          <cell r="M792" t="str">
            <v>M</v>
          </cell>
          <cell r="O792" t="str">
            <v>057.20.25.32</v>
          </cell>
          <cell r="P792" t="str">
            <v>057.20.99.49</v>
          </cell>
          <cell r="Q792" t="str">
            <v>MICHAEL.MERTENS@NOTARIS.BE</v>
          </cell>
          <cell r="R792">
            <v>3439</v>
          </cell>
        </row>
        <row r="793">
          <cell r="A793">
            <v>792</v>
          </cell>
          <cell r="B793" t="str">
            <v>MERTENS Philippe</v>
          </cell>
          <cell r="C793" t="str">
            <v>MERTENS Philippe</v>
          </cell>
          <cell r="D793" t="str">
            <v>Notaris</v>
          </cell>
          <cell r="E793" t="str">
            <v>Place de la Victoire</v>
          </cell>
          <cell r="F793" t="str">
            <v>2</v>
          </cell>
          <cell r="G793" t="str">
            <v/>
          </cell>
          <cell r="H793" t="str">
            <v>4880</v>
          </cell>
          <cell r="I793" t="str">
            <v>Liège</v>
          </cell>
          <cell r="K793" t="str">
            <v>Aubel</v>
          </cell>
          <cell r="M793" t="str">
            <v>M</v>
          </cell>
          <cell r="O793" t="str">
            <v>087.68.02.88</v>
          </cell>
          <cell r="P793" t="str">
            <v>087.68.02.80</v>
          </cell>
          <cell r="Q793" t="str">
            <v>PHILIPPE.MERTENS@NOTAIRE.BE</v>
          </cell>
          <cell r="R793">
            <v>2807</v>
          </cell>
        </row>
        <row r="794">
          <cell r="A794">
            <v>793</v>
          </cell>
          <cell r="B794" t="str">
            <v>MESSIAEN François</v>
          </cell>
          <cell r="C794" t="str">
            <v>MESSIAEN François</v>
          </cell>
          <cell r="D794" t="str">
            <v>Notaris</v>
          </cell>
          <cell r="E794" t="str">
            <v>Place de Bronckart</v>
          </cell>
          <cell r="F794" t="str">
            <v>17</v>
          </cell>
          <cell r="G794" t="str">
            <v/>
          </cell>
          <cell r="H794" t="str">
            <v>4000</v>
          </cell>
          <cell r="I794" t="str">
            <v>Liège</v>
          </cell>
          <cell r="K794" t="str">
            <v>Liège</v>
          </cell>
          <cell r="M794" t="str">
            <v>M</v>
          </cell>
          <cell r="O794" t="str">
            <v>04.254.51.71</v>
          </cell>
          <cell r="P794" t="str">
            <v>04.254.42.79</v>
          </cell>
          <cell r="Q794" t="str">
            <v>FRANCOIS.MESSIAEN@NOTAIRE.BE</v>
          </cell>
          <cell r="R794">
            <v>2568</v>
          </cell>
        </row>
        <row r="795">
          <cell r="A795">
            <v>794</v>
          </cell>
          <cell r="B795" t="str">
            <v>MEULDERS Laurent</v>
          </cell>
          <cell r="C795" t="str">
            <v>MEULDERS Laurent</v>
          </cell>
          <cell r="D795" t="str">
            <v>Notaris</v>
          </cell>
          <cell r="E795" t="str">
            <v>Place de l´Eglise</v>
          </cell>
          <cell r="F795" t="str">
            <v>2</v>
          </cell>
          <cell r="G795" t="str">
            <v/>
          </cell>
          <cell r="H795" t="str">
            <v>1341</v>
          </cell>
          <cell r="I795" t="str">
            <v>Brabant Wallon</v>
          </cell>
          <cell r="K795" t="str">
            <v>Céroux-Mousty</v>
          </cell>
          <cell r="M795" t="str">
            <v>M</v>
          </cell>
          <cell r="O795" t="str">
            <v>010.41.50.27</v>
          </cell>
          <cell r="P795" t="str">
            <v>010.41.70.57</v>
          </cell>
          <cell r="Q795" t="str">
            <v>LAURENT.MEULDERS@NOTAIRE.BE</v>
          </cell>
          <cell r="R795">
            <v>3053</v>
          </cell>
        </row>
        <row r="796">
          <cell r="A796">
            <v>795</v>
          </cell>
          <cell r="B796" t="str">
            <v>MEUNIER Alain</v>
          </cell>
          <cell r="C796" t="str">
            <v>MEUNIER Alain</v>
          </cell>
          <cell r="D796" t="str">
            <v>Notaris</v>
          </cell>
          <cell r="E796" t="str">
            <v>rue H. Francotte</v>
          </cell>
          <cell r="F796" t="str">
            <v>59</v>
          </cell>
          <cell r="G796" t="str">
            <v/>
          </cell>
          <cell r="H796" t="str">
            <v>4607</v>
          </cell>
          <cell r="I796" t="str">
            <v>Liège</v>
          </cell>
          <cell r="K796" t="str">
            <v>Dalhem</v>
          </cell>
          <cell r="M796" t="str">
            <v>M</v>
          </cell>
          <cell r="O796" t="str">
            <v>04.379.23.00</v>
          </cell>
          <cell r="P796" t="str">
            <v>04.379.74.12</v>
          </cell>
          <cell r="Q796" t="str">
            <v>ALAIN.MEUNIER@NOTAIRE.BE</v>
          </cell>
          <cell r="R796">
            <v>3362</v>
          </cell>
        </row>
        <row r="797">
          <cell r="A797">
            <v>796</v>
          </cell>
          <cell r="B797" t="str">
            <v>MEUNIER José</v>
          </cell>
          <cell r="C797" t="str">
            <v>MEUNIER José</v>
          </cell>
          <cell r="D797" t="str">
            <v>Notaris</v>
          </cell>
          <cell r="E797" t="str">
            <v>Falise</v>
          </cell>
          <cell r="F797" t="str">
            <v>1</v>
          </cell>
          <cell r="G797" t="str">
            <v/>
          </cell>
          <cell r="H797" t="str">
            <v>4877</v>
          </cell>
          <cell r="I797" t="str">
            <v>Liège</v>
          </cell>
          <cell r="K797" t="str">
            <v>Olne</v>
          </cell>
          <cell r="M797" t="str">
            <v>M</v>
          </cell>
          <cell r="O797" t="str">
            <v>087.26.60.80</v>
          </cell>
          <cell r="P797" t="str">
            <v>087.26.60.79</v>
          </cell>
          <cell r="Q797" t="str">
            <v>JOSE.MEUNIER@NOTAIRE.BE</v>
          </cell>
          <cell r="R797">
            <v>2956</v>
          </cell>
        </row>
        <row r="798">
          <cell r="A798">
            <v>797</v>
          </cell>
          <cell r="B798" t="str">
            <v>MEUNIER Marie-France</v>
          </cell>
          <cell r="C798" t="str">
            <v>MEUNIER Marie-France</v>
          </cell>
          <cell r="D798" t="str">
            <v>Notaris</v>
          </cell>
          <cell r="E798" t="str">
            <v>Chaussée de Bruxelles</v>
          </cell>
          <cell r="F798" t="str">
            <v>553</v>
          </cell>
          <cell r="G798" t="str">
            <v/>
          </cell>
          <cell r="H798" t="str">
            <v>6210</v>
          </cell>
          <cell r="I798" t="str">
            <v>Hainaut</v>
          </cell>
          <cell r="K798" t="str">
            <v>Les Bons Villers</v>
          </cell>
          <cell r="M798" t="str">
            <v>Vr</v>
          </cell>
          <cell r="O798" t="str">
            <v>071.85.24.44</v>
          </cell>
          <cell r="P798" t="str">
            <v>071.85.37.64</v>
          </cell>
          <cell r="Q798" t="str">
            <v>MARIEFRANCE.MEUNIER@NOTAIRE.BE</v>
          </cell>
          <cell r="R798">
            <v>1364</v>
          </cell>
        </row>
        <row r="799">
          <cell r="A799">
            <v>798</v>
          </cell>
          <cell r="B799" t="str">
            <v>MEUNIER Robert</v>
          </cell>
          <cell r="C799" t="str">
            <v>MEUNIER Robert</v>
          </cell>
          <cell r="D799" t="str">
            <v>Notaris</v>
          </cell>
          <cell r="E799" t="str">
            <v>Rue de la Province</v>
          </cell>
          <cell r="F799" t="str">
            <v>15</v>
          </cell>
          <cell r="G799" t="str">
            <v/>
          </cell>
          <cell r="H799" t="str">
            <v>4100</v>
          </cell>
          <cell r="I799" t="str">
            <v>Liège</v>
          </cell>
          <cell r="K799" t="str">
            <v>Seraing</v>
          </cell>
          <cell r="M799" t="str">
            <v>M</v>
          </cell>
          <cell r="O799" t="str">
            <v>04.337.07.38</v>
          </cell>
          <cell r="P799" t="str">
            <v>04.338.01.59</v>
          </cell>
          <cell r="Q799" t="str">
            <v>robert.meunier@belnot.be</v>
          </cell>
          <cell r="R799">
            <v>2903</v>
          </cell>
        </row>
        <row r="800">
          <cell r="A800">
            <v>799</v>
          </cell>
          <cell r="B800" t="str">
            <v>MEURICE Jean</v>
          </cell>
          <cell r="C800" t="str">
            <v>MEURICE Jean</v>
          </cell>
          <cell r="D800" t="str">
            <v>Notaris</v>
          </cell>
          <cell r="E800" t="str">
            <v>Route de Mons</v>
          </cell>
          <cell r="F800" t="str">
            <v>1</v>
          </cell>
          <cell r="G800" t="str">
            <v/>
          </cell>
          <cell r="H800" t="str">
            <v>6031</v>
          </cell>
          <cell r="I800" t="str">
            <v>Hainaut</v>
          </cell>
          <cell r="K800" t="str">
            <v>Monceau-sur-Sambre</v>
          </cell>
          <cell r="M800" t="str">
            <v>M</v>
          </cell>
          <cell r="O800" t="str">
            <v>071.32.15.59</v>
          </cell>
          <cell r="P800" t="str">
            <v>071.32.59.23</v>
          </cell>
          <cell r="Q800" t="str">
            <v>JEAN.MEURICE@NOTAIRE.BE</v>
          </cell>
          <cell r="R800">
            <v>3160</v>
          </cell>
        </row>
        <row r="801">
          <cell r="A801">
            <v>800</v>
          </cell>
          <cell r="B801" t="str">
            <v>TIMMERMANS &amp; MEURIS BVBA</v>
          </cell>
          <cell r="C801" t="str">
            <v>Meuris Christel</v>
          </cell>
          <cell r="D801" t="str">
            <v>Geassocieerd Notaris</v>
          </cell>
          <cell r="E801" t="str">
            <v>Molenstraat</v>
          </cell>
          <cell r="F801" t="str">
            <v>46</v>
          </cell>
          <cell r="G801" t="str">
            <v/>
          </cell>
          <cell r="H801" t="str">
            <v>3270</v>
          </cell>
          <cell r="I801" t="str">
            <v>Vlaams Brabant</v>
          </cell>
          <cell r="K801" t="str">
            <v>Scherpenheuvel-Zichem</v>
          </cell>
          <cell r="M801" t="str">
            <v>Vr</v>
          </cell>
          <cell r="O801" t="str">
            <v>013.77.23.00</v>
          </cell>
          <cell r="P801" t="str">
            <v>013.77.84.50</v>
          </cell>
          <cell r="Q801" t="str">
            <v>CHRISTEL.MEURIS@NOTARIS.BE</v>
          </cell>
          <cell r="R801">
            <v>3563</v>
          </cell>
        </row>
        <row r="802">
          <cell r="A802">
            <v>801</v>
          </cell>
          <cell r="B802" t="str">
            <v>MICHAUX Bernard</v>
          </cell>
          <cell r="C802" t="str">
            <v>MICHAUX Bernard</v>
          </cell>
          <cell r="D802" t="str">
            <v>Notaris</v>
          </cell>
          <cell r="E802" t="str">
            <v>Boulevard L. Schmidtlaan</v>
          </cell>
          <cell r="F802" t="str">
            <v>78</v>
          </cell>
          <cell r="G802" t="str">
            <v>bte 33</v>
          </cell>
          <cell r="H802" t="str">
            <v>1040</v>
          </cell>
          <cell r="I802" t="str">
            <v>Bruxelles</v>
          </cell>
          <cell r="K802" t="str">
            <v>Bruxelles</v>
          </cell>
          <cell r="M802" t="str">
            <v>M</v>
          </cell>
          <cell r="O802" t="str">
            <v>02.736.31.24</v>
          </cell>
          <cell r="P802" t="str">
            <v>02.736.38.64</v>
          </cell>
          <cell r="Q802" t="str">
            <v>BERNARD.MICHAUX@NOTAIRE.BE</v>
          </cell>
          <cell r="R802">
            <v>2602</v>
          </cell>
        </row>
        <row r="803">
          <cell r="A803">
            <v>802</v>
          </cell>
          <cell r="B803" t="str">
            <v>Michaux Jean-Pierre &amp; Christophe</v>
          </cell>
          <cell r="C803" t="str">
            <v>Michaux Christophe</v>
          </cell>
          <cell r="D803" t="str">
            <v>Geassocieerd Notaris</v>
          </cell>
          <cell r="E803" t="str">
            <v>Rue Godefroid</v>
          </cell>
          <cell r="F803" t="str">
            <v>17</v>
          </cell>
          <cell r="G803" t="str">
            <v/>
          </cell>
          <cell r="H803" t="str">
            <v>5000</v>
          </cell>
          <cell r="I803" t="str">
            <v>Namur</v>
          </cell>
          <cell r="K803" t="str">
            <v>Namur</v>
          </cell>
          <cell r="M803" t="str">
            <v>M</v>
          </cell>
          <cell r="O803" t="str">
            <v>081.22.03.84</v>
          </cell>
          <cell r="P803" t="str">
            <v>081.22.51.60</v>
          </cell>
          <cell r="Q803" t="str">
            <v>JEANPIERRE.MICHAUX@NOTAIRE.BE</v>
          </cell>
          <cell r="R803">
            <v>974</v>
          </cell>
          <cell r="T803">
            <v>38331</v>
          </cell>
        </row>
        <row r="804">
          <cell r="A804">
            <v>803</v>
          </cell>
          <cell r="B804" t="str">
            <v>MICHAUX Etienne</v>
          </cell>
          <cell r="C804" t="str">
            <v>MICHAUX Etienne</v>
          </cell>
          <cell r="D804" t="str">
            <v>Notaris</v>
          </cell>
          <cell r="E804" t="str">
            <v>Avenue Roi Albert</v>
          </cell>
          <cell r="F804" t="str">
            <v>29-31</v>
          </cell>
          <cell r="G804" t="str">
            <v/>
          </cell>
          <cell r="H804" t="str">
            <v>5300</v>
          </cell>
          <cell r="I804" t="str">
            <v>Namur</v>
          </cell>
          <cell r="K804" t="str">
            <v>Andenne</v>
          </cell>
          <cell r="M804" t="str">
            <v>M</v>
          </cell>
          <cell r="O804" t="str">
            <v>085.84.18.51</v>
          </cell>
          <cell r="P804" t="str">
            <v>085.84.16.74</v>
          </cell>
          <cell r="Q804" t="str">
            <v>etienne.michaux@belnot.be</v>
          </cell>
          <cell r="R804">
            <v>2858</v>
          </cell>
        </row>
        <row r="805">
          <cell r="A805">
            <v>804</v>
          </cell>
          <cell r="B805" t="str">
            <v>Michaux Jean-Pierre &amp; Christophe</v>
          </cell>
          <cell r="C805" t="str">
            <v>Michaux Jean-Pierre</v>
          </cell>
          <cell r="D805" t="str">
            <v>Geassocieerd Notaris</v>
          </cell>
          <cell r="E805" t="str">
            <v>Rue Godefroid</v>
          </cell>
          <cell r="F805" t="str">
            <v>17</v>
          </cell>
          <cell r="G805" t="str">
            <v/>
          </cell>
          <cell r="H805" t="str">
            <v>5000</v>
          </cell>
          <cell r="I805" t="str">
            <v>Namur</v>
          </cell>
          <cell r="K805" t="str">
            <v>Namur</v>
          </cell>
          <cell r="M805" t="str">
            <v>M</v>
          </cell>
          <cell r="O805" t="str">
            <v>081.22.03.84</v>
          </cell>
          <cell r="P805" t="str">
            <v>081.22.51.60</v>
          </cell>
          <cell r="Q805" t="str">
            <v>JEANPIERRE.MICHAUX@NOTAIRE.BE</v>
          </cell>
          <cell r="R805">
            <v>974</v>
          </cell>
        </row>
        <row r="806">
          <cell r="A806">
            <v>805</v>
          </cell>
          <cell r="B806" t="str">
            <v>MICHEL Anne</v>
          </cell>
          <cell r="C806" t="str">
            <v>MICHEL Anne</v>
          </cell>
          <cell r="D806" t="str">
            <v>Notaris</v>
          </cell>
          <cell r="E806" t="str">
            <v>Boulevard Leopold II-laan</v>
          </cell>
          <cell r="F806" t="str">
            <v>92</v>
          </cell>
          <cell r="G806" t="str">
            <v/>
          </cell>
          <cell r="H806" t="str">
            <v>1080</v>
          </cell>
          <cell r="I806" t="str">
            <v>Bruxelles</v>
          </cell>
          <cell r="K806" t="str">
            <v>Bruxelles</v>
          </cell>
          <cell r="M806" t="str">
            <v>Vr</v>
          </cell>
          <cell r="O806" t="str">
            <v>02.414.16.17</v>
          </cell>
          <cell r="P806" t="str">
            <v>02.414.16.27</v>
          </cell>
          <cell r="Q806" t="str">
            <v>ANNE.MICHEL@NOTAIRE.BE</v>
          </cell>
          <cell r="R806">
            <v>3568</v>
          </cell>
        </row>
        <row r="807">
          <cell r="A807">
            <v>806</v>
          </cell>
          <cell r="B807" t="str">
            <v>MICHEL Hubert</v>
          </cell>
          <cell r="C807" t="str">
            <v>MICHEL Hubert</v>
          </cell>
          <cell r="D807" t="str">
            <v>Notaris</v>
          </cell>
          <cell r="E807" t="str">
            <v>Rue du Fort</v>
          </cell>
          <cell r="F807" t="str">
            <v>24</v>
          </cell>
          <cell r="G807" t="str">
            <v/>
          </cell>
          <cell r="H807" t="str">
            <v>6000</v>
          </cell>
          <cell r="I807" t="str">
            <v>Hainaut</v>
          </cell>
          <cell r="K807" t="str">
            <v>Charleroi</v>
          </cell>
          <cell r="M807" t="str">
            <v>M</v>
          </cell>
          <cell r="O807" t="str">
            <v>071.32.07.25</v>
          </cell>
          <cell r="P807" t="str">
            <v>071.31.68.74</v>
          </cell>
          <cell r="Q807" t="str">
            <v>HUBERT.MICHEL@NOTAIRE.BE</v>
          </cell>
          <cell r="R807">
            <v>2518</v>
          </cell>
        </row>
        <row r="808">
          <cell r="A808">
            <v>807</v>
          </cell>
          <cell r="B808" t="str">
            <v>MICHIELS &amp; STROEYKENS</v>
          </cell>
          <cell r="C808" t="str">
            <v>Michiels Dirk</v>
          </cell>
          <cell r="D808" t="str">
            <v>Geassocieerd Notaris</v>
          </cell>
          <cell r="E808" t="str">
            <v>Boudewijnlaan</v>
          </cell>
          <cell r="F808" t="str">
            <v>19</v>
          </cell>
          <cell r="G808" t="str">
            <v/>
          </cell>
          <cell r="H808" t="str">
            <v>3200</v>
          </cell>
          <cell r="I808" t="str">
            <v>Vlaams Brabant</v>
          </cell>
          <cell r="K808" t="str">
            <v>Aarschot</v>
          </cell>
          <cell r="M808" t="str">
            <v>M</v>
          </cell>
          <cell r="O808" t="str">
            <v>016/56.17.74</v>
          </cell>
          <cell r="P808" t="str">
            <v>016/56.72.66</v>
          </cell>
          <cell r="Q808" t="str">
            <v>DIRK.MICHIELS@NOTARIS.BE</v>
          </cell>
          <cell r="R808">
            <v>3665</v>
          </cell>
        </row>
        <row r="809">
          <cell r="A809">
            <v>808</v>
          </cell>
          <cell r="B809" t="str">
            <v>BVBA Notaris André Michielsens</v>
          </cell>
          <cell r="C809" t="str">
            <v>Michielsens André</v>
          </cell>
          <cell r="D809" t="str">
            <v>Notaris</v>
          </cell>
          <cell r="E809" t="str">
            <v>Turnhoutsebaan</v>
          </cell>
          <cell r="F809" t="str">
            <v>309</v>
          </cell>
          <cell r="G809" t="str">
            <v/>
          </cell>
          <cell r="H809" t="str">
            <v>2110</v>
          </cell>
          <cell r="I809" t="str">
            <v>Antwerpen</v>
          </cell>
          <cell r="K809" t="str">
            <v>Wijnegem</v>
          </cell>
          <cell r="M809" t="str">
            <v>M</v>
          </cell>
          <cell r="O809" t="str">
            <v>03.355.27.27</v>
          </cell>
          <cell r="P809" t="str">
            <v>03.353.80.88</v>
          </cell>
          <cell r="Q809" t="str">
            <v>ANDRE.MICHIELSENS@NOTARIS.BE</v>
          </cell>
          <cell r="R809">
            <v>2579</v>
          </cell>
        </row>
        <row r="810">
          <cell r="A810">
            <v>809</v>
          </cell>
          <cell r="B810" t="str">
            <v>MICHOEL Eric</v>
          </cell>
          <cell r="C810" t="str">
            <v>MICHOEL Eric</v>
          </cell>
          <cell r="D810" t="str">
            <v>Notaris</v>
          </cell>
          <cell r="E810" t="str">
            <v>Cogelsplein</v>
          </cell>
          <cell r="F810" t="str">
            <v>21</v>
          </cell>
          <cell r="G810" t="str">
            <v/>
          </cell>
          <cell r="H810" t="str">
            <v>2100</v>
          </cell>
          <cell r="I810" t="str">
            <v>Antwerpen</v>
          </cell>
          <cell r="K810" t="str">
            <v>Deurne Antwerpen)</v>
          </cell>
          <cell r="M810" t="str">
            <v>M</v>
          </cell>
          <cell r="O810" t="str">
            <v>03.326.49.99</v>
          </cell>
          <cell r="P810" t="str">
            <v>03.326.06.58</v>
          </cell>
          <cell r="Q810" t="str">
            <v>ERIC.MICHOEL@NOTARIS.BE</v>
          </cell>
          <cell r="R810">
            <v>3271</v>
          </cell>
        </row>
        <row r="811">
          <cell r="A811">
            <v>810</v>
          </cell>
          <cell r="B811" t="str">
            <v>Jan MICHOEL &amp; Filip MICHOEL</v>
          </cell>
          <cell r="C811" t="str">
            <v>Michoel Filip</v>
          </cell>
          <cell r="D811" t="str">
            <v>Geassocieerd Notaris</v>
          </cell>
          <cell r="E811" t="str">
            <v>Burgemeester J. Van Aperenstraat</v>
          </cell>
          <cell r="F811" t="str">
            <v>8</v>
          </cell>
          <cell r="G811" t="str">
            <v/>
          </cell>
          <cell r="H811" t="str">
            <v>2320</v>
          </cell>
          <cell r="I811" t="str">
            <v>Antwerpen</v>
          </cell>
          <cell r="K811" t="str">
            <v>Hoogstraten</v>
          </cell>
          <cell r="M811" t="str">
            <v>M</v>
          </cell>
          <cell r="O811" t="str">
            <v>03/314.51.77</v>
          </cell>
          <cell r="P811" t="str">
            <v>03/314.65.56</v>
          </cell>
          <cell r="Q811" t="str">
            <v>filip.michoel@notaris.be</v>
          </cell>
          <cell r="R811">
            <v>3658</v>
          </cell>
        </row>
        <row r="812">
          <cell r="A812">
            <v>811</v>
          </cell>
          <cell r="B812" t="str">
            <v>Jan MICHOEL &amp; Filip MICHOEL</v>
          </cell>
          <cell r="C812" t="str">
            <v>Michoel Jan</v>
          </cell>
          <cell r="D812" t="str">
            <v>Geassocieerd Notaris</v>
          </cell>
          <cell r="E812" t="str">
            <v>Burgemeester J. Van Aperenstraat</v>
          </cell>
          <cell r="F812" t="str">
            <v>8</v>
          </cell>
          <cell r="G812" t="str">
            <v/>
          </cell>
          <cell r="H812" t="str">
            <v>2320</v>
          </cell>
          <cell r="I812" t="str">
            <v>Antwerpen</v>
          </cell>
          <cell r="K812" t="str">
            <v>Hoogstraten</v>
          </cell>
          <cell r="M812" t="str">
            <v>M</v>
          </cell>
          <cell r="O812" t="str">
            <v>03/314.51.77</v>
          </cell>
          <cell r="P812" t="str">
            <v>03/314.65.56</v>
          </cell>
          <cell r="Q812" t="str">
            <v>JAN.MICHOEL@NOTARIS.BE</v>
          </cell>
          <cell r="R812">
            <v>3658</v>
          </cell>
        </row>
        <row r="813">
          <cell r="A813">
            <v>812</v>
          </cell>
          <cell r="B813" t="str">
            <v>MIGNON Jean-Paul</v>
          </cell>
          <cell r="C813" t="str">
            <v>MIGNON Jean-Paul</v>
          </cell>
          <cell r="D813" t="str">
            <v>Notaris</v>
          </cell>
          <cell r="E813" t="str">
            <v>Rue de la Montagne</v>
          </cell>
          <cell r="F813" t="str">
            <v>46</v>
          </cell>
          <cell r="G813" t="str">
            <v/>
          </cell>
          <cell r="H813" t="str">
            <v>1460</v>
          </cell>
          <cell r="I813" t="str">
            <v>Brabant Wallon</v>
          </cell>
          <cell r="K813" t="str">
            <v>Ittre</v>
          </cell>
          <cell r="M813" t="str">
            <v>M</v>
          </cell>
          <cell r="O813" t="str">
            <v>067.64.84.19</v>
          </cell>
          <cell r="P813" t="str">
            <v>067.64.81.26</v>
          </cell>
          <cell r="Q813" t="str">
            <v>JEANPAUL.MIGNON@NOTAIRE.BE</v>
          </cell>
          <cell r="R813">
            <v>2897</v>
          </cell>
        </row>
        <row r="814">
          <cell r="A814">
            <v>813</v>
          </cell>
          <cell r="B814" t="str">
            <v>BOUQUELLE Stéphane &amp; MIKOLAJCZAK O.</v>
          </cell>
          <cell r="C814" t="str">
            <v>Mikolajczak O.</v>
          </cell>
          <cell r="D814" t="str">
            <v>Geassocieerd Notaris</v>
          </cell>
          <cell r="E814" t="str">
            <v>Rue de Monnel</v>
          </cell>
          <cell r="F814" t="str">
            <v>3</v>
          </cell>
          <cell r="G814" t="str">
            <v/>
          </cell>
          <cell r="H814" t="str">
            <v>7500</v>
          </cell>
          <cell r="I814" t="str">
            <v>Hainaut</v>
          </cell>
          <cell r="K814" t="str">
            <v>Tournai</v>
          </cell>
          <cell r="M814" t="str">
            <v>Vr</v>
          </cell>
          <cell r="O814" t="str">
            <v>069.22.54.27</v>
          </cell>
          <cell r="P814" t="str">
            <v>069.84.36.79</v>
          </cell>
          <cell r="Q814" t="str">
            <v>STEPHANE.BOUQUELLE@NOTAIRE.BE</v>
          </cell>
          <cell r="R814">
            <v>1326</v>
          </cell>
          <cell r="T814">
            <v>38723</v>
          </cell>
        </row>
        <row r="815">
          <cell r="A815">
            <v>814</v>
          </cell>
          <cell r="B815" t="str">
            <v>MISONNE Anne-Marie</v>
          </cell>
          <cell r="C815" t="str">
            <v>MISONNE Anne-Marie</v>
          </cell>
          <cell r="D815" t="str">
            <v>Notaris</v>
          </cell>
          <cell r="E815" t="str">
            <v>Rue Vankeerberghen</v>
          </cell>
          <cell r="F815" t="str">
            <v>19</v>
          </cell>
          <cell r="G815" t="str">
            <v/>
          </cell>
          <cell r="H815" t="str">
            <v>4500</v>
          </cell>
          <cell r="I815" t="str">
            <v>Liège</v>
          </cell>
          <cell r="K815" t="str">
            <v>Huy</v>
          </cell>
          <cell r="M815" t="str">
            <v>Vr</v>
          </cell>
          <cell r="O815" t="str">
            <v>085.21.12.47</v>
          </cell>
          <cell r="P815" t="str">
            <v>085.21.12.47</v>
          </cell>
          <cell r="Q815" t="str">
            <v>ANNEMARIE.MISONNE@NOTAIRE.BE</v>
          </cell>
          <cell r="R815">
            <v>3262</v>
          </cell>
        </row>
        <row r="816">
          <cell r="A816">
            <v>815</v>
          </cell>
          <cell r="B816" t="str">
            <v>MISONNE Paul</v>
          </cell>
          <cell r="C816" t="str">
            <v>MISONNE Paul</v>
          </cell>
          <cell r="D816" t="str">
            <v>Notaris</v>
          </cell>
          <cell r="E816" t="str">
            <v>Boulevard Dewandre</v>
          </cell>
          <cell r="F816" t="str">
            <v>3</v>
          </cell>
          <cell r="G816" t="str">
            <v/>
          </cell>
          <cell r="H816" t="str">
            <v>6000</v>
          </cell>
          <cell r="I816" t="str">
            <v>Hainaut</v>
          </cell>
          <cell r="K816" t="str">
            <v>Charleroi</v>
          </cell>
          <cell r="M816" t="str">
            <v>M</v>
          </cell>
          <cell r="O816" t="str">
            <v>071.31.48.62</v>
          </cell>
          <cell r="P816" t="str">
            <v>071.30.10.07</v>
          </cell>
          <cell r="Q816" t="str">
            <v>PAUL.MISONNE@NOTAIRE.BE</v>
          </cell>
          <cell r="R816">
            <v>2993</v>
          </cell>
        </row>
        <row r="817">
          <cell r="A817">
            <v>816</v>
          </cell>
          <cell r="B817" t="str">
            <v>MISONNE Vincent</v>
          </cell>
          <cell r="C817" t="str">
            <v>MISONNE Vincent</v>
          </cell>
          <cell r="D817" t="str">
            <v>Notaire</v>
          </cell>
          <cell r="E817" t="str">
            <v>Rue de Montigny</v>
          </cell>
          <cell r="F817" t="str">
            <v>46</v>
          </cell>
          <cell r="G817" t="str">
            <v/>
          </cell>
          <cell r="H817" t="str">
            <v>6000</v>
          </cell>
          <cell r="I817" t="str">
            <v>Hainaut</v>
          </cell>
          <cell r="K817" t="str">
            <v>Charleroi</v>
          </cell>
          <cell r="M817" t="str">
            <v>M</v>
          </cell>
          <cell r="O817" t="str">
            <v>071.32.66.81</v>
          </cell>
          <cell r="P817" t="str">
            <v>071.33.24.05</v>
          </cell>
          <cell r="Q817" t="str">
            <v>vincent.misonne@notaire.be</v>
          </cell>
          <cell r="R817">
            <v>773</v>
          </cell>
          <cell r="T817">
            <v>38679</v>
          </cell>
        </row>
        <row r="818">
          <cell r="A818">
            <v>817</v>
          </cell>
          <cell r="B818" t="str">
            <v>MISSON Jean-Pierre</v>
          </cell>
          <cell r="C818" t="str">
            <v>MISSON Jean-Pierre</v>
          </cell>
          <cell r="D818" t="str">
            <v>Notaris</v>
          </cell>
          <cell r="E818" t="str">
            <v>Rue Courtejoie</v>
          </cell>
          <cell r="F818" t="str">
            <v>57</v>
          </cell>
          <cell r="G818" t="str">
            <v>bte 6</v>
          </cell>
          <cell r="H818" t="str">
            <v>5590</v>
          </cell>
          <cell r="I818" t="str">
            <v>Namur</v>
          </cell>
          <cell r="K818" t="str">
            <v>Ciney</v>
          </cell>
          <cell r="M818" t="str">
            <v>M</v>
          </cell>
          <cell r="O818" t="str">
            <v>083.21.29.21</v>
          </cell>
          <cell r="P818" t="str">
            <v>083.21.65.27</v>
          </cell>
          <cell r="Q818" t="str">
            <v>JEANPIERRE.MISSON@NOTAIRE.BE</v>
          </cell>
          <cell r="R818">
            <v>2810</v>
          </cell>
        </row>
        <row r="819">
          <cell r="A819">
            <v>818</v>
          </cell>
          <cell r="B819" t="str">
            <v>Notaris Baudouin Moerman BVBA</v>
          </cell>
          <cell r="C819" t="str">
            <v>Moerman Baudouin</v>
          </cell>
          <cell r="D819" t="str">
            <v>Notaris</v>
          </cell>
          <cell r="E819" t="str">
            <v>Louis Verweestraat</v>
          </cell>
          <cell r="F819" t="str">
            <v>6</v>
          </cell>
          <cell r="G819" t="str">
            <v/>
          </cell>
          <cell r="H819" t="str">
            <v>8500</v>
          </cell>
          <cell r="I819" t="str">
            <v>West-Vlaanderen</v>
          </cell>
          <cell r="K819" t="str">
            <v>Kortrijk</v>
          </cell>
          <cell r="L819">
            <v>21120</v>
          </cell>
          <cell r="M819" t="str">
            <v>M</v>
          </cell>
          <cell r="O819" t="str">
            <v>056.22.39.51</v>
          </cell>
          <cell r="P819" t="str">
            <v>056.22.81.31</v>
          </cell>
          <cell r="Q819" t="str">
            <v>BAUDOUIN.MOERMAN@NOTARIS.BE</v>
          </cell>
          <cell r="R819">
            <v>2852</v>
          </cell>
        </row>
        <row r="820">
          <cell r="A820">
            <v>819</v>
          </cell>
          <cell r="B820" t="str">
            <v>MOEYKENS Francis</v>
          </cell>
          <cell r="C820" t="str">
            <v>MOEYKENS Francis</v>
          </cell>
          <cell r="D820" t="str">
            <v>Notaris</v>
          </cell>
          <cell r="E820" t="str">
            <v>Moerkerkse Steenweg</v>
          </cell>
          <cell r="F820" t="str">
            <v>274</v>
          </cell>
          <cell r="G820" t="str">
            <v/>
          </cell>
          <cell r="H820" t="str">
            <v>8310</v>
          </cell>
          <cell r="I820" t="str">
            <v>West-Vlaanderen</v>
          </cell>
          <cell r="K820" t="str">
            <v>Sint-Kruis Brugge)</v>
          </cell>
          <cell r="L820">
            <v>25239</v>
          </cell>
          <cell r="M820" t="str">
            <v>M</v>
          </cell>
          <cell r="O820" t="str">
            <v>050.32.34.06</v>
          </cell>
          <cell r="P820" t="str">
            <v>050.32.34.08</v>
          </cell>
          <cell r="Q820" t="str">
            <v>FRANCIS.MOEYKENS@NOTARIS.BE</v>
          </cell>
          <cell r="R820">
            <v>3536</v>
          </cell>
        </row>
        <row r="821">
          <cell r="A821">
            <v>820</v>
          </cell>
          <cell r="B821" t="str">
            <v>MONBALLYU Godelieve</v>
          </cell>
          <cell r="C821" t="str">
            <v>MONBALLYU Godelieve</v>
          </cell>
          <cell r="D821" t="str">
            <v>Notaris</v>
          </cell>
          <cell r="E821" t="str">
            <v>Wielewaalstraat</v>
          </cell>
          <cell r="F821" t="str">
            <v>3</v>
          </cell>
          <cell r="G821" t="str">
            <v/>
          </cell>
          <cell r="H821" t="str">
            <v>8740</v>
          </cell>
          <cell r="I821" t="str">
            <v>West-Vlaanderen</v>
          </cell>
          <cell r="K821" t="str">
            <v>Pittem</v>
          </cell>
          <cell r="L821">
            <v>17201</v>
          </cell>
          <cell r="M821" t="str">
            <v>Vr</v>
          </cell>
          <cell r="O821" t="str">
            <v>051.46.78.58</v>
          </cell>
          <cell r="P821" t="str">
            <v>051.46.70.49</v>
          </cell>
          <cell r="Q821" t="str">
            <v>GODELIEVE.MONBALLYU@NOTARIS.BE</v>
          </cell>
          <cell r="R821">
            <v>2890</v>
          </cell>
        </row>
        <row r="822">
          <cell r="A822">
            <v>821</v>
          </cell>
          <cell r="B822" t="str">
            <v>Pierre PAULUS de CHATELET et Françoise MONTFORT</v>
          </cell>
          <cell r="C822" t="str">
            <v>Montfort Françoise</v>
          </cell>
          <cell r="D822" t="str">
            <v>Geassocieerd Notaris</v>
          </cell>
          <cell r="E822" t="str">
            <v>rue de l´Eglise</v>
          </cell>
          <cell r="F822" t="str">
            <v>34</v>
          </cell>
          <cell r="G822" t="str">
            <v/>
          </cell>
          <cell r="H822" t="str">
            <v>1330</v>
          </cell>
          <cell r="I822" t="str">
            <v>Brabant Wallon</v>
          </cell>
          <cell r="K822" t="str">
            <v>Rixensart</v>
          </cell>
          <cell r="M822" t="str">
            <v>Vr</v>
          </cell>
          <cell r="O822" t="str">
            <v>02.653.34.12</v>
          </cell>
          <cell r="P822" t="str">
            <v>02.653.19.53</v>
          </cell>
          <cell r="Q822" t="str">
            <v>francoise.montfort@notaire.be</v>
          </cell>
          <cell r="R822">
            <v>3668</v>
          </cell>
        </row>
        <row r="823">
          <cell r="A823">
            <v>822</v>
          </cell>
          <cell r="B823" t="str">
            <v>MOORTGAT Luc</v>
          </cell>
          <cell r="C823" t="str">
            <v>MOORTGAT Luc</v>
          </cell>
          <cell r="D823" t="str">
            <v>Notaris</v>
          </cell>
          <cell r="E823" t="str">
            <v>Stationsstraat</v>
          </cell>
          <cell r="F823" t="str">
            <v>131</v>
          </cell>
          <cell r="G823" t="str">
            <v/>
          </cell>
          <cell r="H823" t="str">
            <v>2440</v>
          </cell>
          <cell r="I823" t="str">
            <v>Antwerpen</v>
          </cell>
          <cell r="K823" t="str">
            <v>Geel</v>
          </cell>
          <cell r="M823" t="str">
            <v>M</v>
          </cell>
          <cell r="O823" t="str">
            <v>014.58.80.98</v>
          </cell>
          <cell r="P823" t="str">
            <v>014.59.02.36</v>
          </cell>
          <cell r="Q823" t="str">
            <v>LUC.MOORTGAT@NOTARIS.BE</v>
          </cell>
          <cell r="R823">
            <v>2961</v>
          </cell>
        </row>
        <row r="824">
          <cell r="A824">
            <v>823</v>
          </cell>
          <cell r="B824" t="str">
            <v>MOREAU Raymond</v>
          </cell>
          <cell r="C824" t="str">
            <v>MOREAU Raymond</v>
          </cell>
          <cell r="D824" t="str">
            <v>Notaris</v>
          </cell>
          <cell r="E824" t="str">
            <v>de Grunnelaan</v>
          </cell>
          <cell r="F824" t="str">
            <v>6</v>
          </cell>
          <cell r="G824" t="str">
            <v/>
          </cell>
          <cell r="H824" t="str">
            <v>1970</v>
          </cell>
          <cell r="I824" t="str">
            <v>Vlaams Brabant</v>
          </cell>
          <cell r="K824" t="str">
            <v>Wezembeek-Oppem</v>
          </cell>
          <cell r="M824" t="str">
            <v>M</v>
          </cell>
          <cell r="O824" t="str">
            <v>02.731.08.61</v>
          </cell>
          <cell r="P824" t="str">
            <v/>
          </cell>
          <cell r="Q824" t="str">
            <v>raymond.moreau@notaris.be</v>
          </cell>
          <cell r="R824">
            <v>2793</v>
          </cell>
        </row>
        <row r="825">
          <cell r="A825">
            <v>824</v>
          </cell>
          <cell r="B825" t="str">
            <v>MORRENS Jacques</v>
          </cell>
          <cell r="C825" t="str">
            <v>MORRENS Jacques</v>
          </cell>
          <cell r="D825" t="str">
            <v>Notaris</v>
          </cell>
          <cell r="E825" t="str">
            <v>Grote Heidestraat</v>
          </cell>
          <cell r="F825" t="str">
            <v>2</v>
          </cell>
          <cell r="G825" t="str">
            <v/>
          </cell>
          <cell r="H825" t="str">
            <v>2820</v>
          </cell>
          <cell r="I825" t="str">
            <v>Antwerpen</v>
          </cell>
          <cell r="K825" t="str">
            <v>Bonheiden</v>
          </cell>
          <cell r="M825" t="str">
            <v>M</v>
          </cell>
          <cell r="O825" t="str">
            <v>015.51.52.45</v>
          </cell>
          <cell r="P825" t="str">
            <v>015.51.80.79</v>
          </cell>
          <cell r="Q825" t="str">
            <v>JACQUES.MORRENS@NOTARIS.BE</v>
          </cell>
          <cell r="R825">
            <v>1337</v>
          </cell>
        </row>
        <row r="826">
          <cell r="A826">
            <v>825</v>
          </cell>
          <cell r="B826" t="str">
            <v>MORTELMANS Frans</v>
          </cell>
          <cell r="C826" t="str">
            <v>MORTELMANS Frans</v>
          </cell>
          <cell r="D826" t="str">
            <v>Notaris</v>
          </cell>
          <cell r="E826" t="str">
            <v>Mechelsesteenweg</v>
          </cell>
          <cell r="F826" t="str">
            <v>111</v>
          </cell>
          <cell r="G826" t="str">
            <v/>
          </cell>
          <cell r="H826" t="str">
            <v>2018</v>
          </cell>
          <cell r="I826" t="str">
            <v>Antwerpen</v>
          </cell>
          <cell r="K826" t="str">
            <v>Antwerpen</v>
          </cell>
          <cell r="M826" t="str">
            <v>M</v>
          </cell>
          <cell r="O826" t="str">
            <v>03.230.25.84</v>
          </cell>
          <cell r="P826" t="str">
            <v>03.230.05.19</v>
          </cell>
          <cell r="Q826" t="str">
            <v>FRANS.MORTELMANS@NOTARIS.BE</v>
          </cell>
          <cell r="R826">
            <v>1190</v>
          </cell>
        </row>
        <row r="827">
          <cell r="A827">
            <v>826</v>
          </cell>
          <cell r="B827" t="str">
            <v>MORTELMANS Luc</v>
          </cell>
          <cell r="C827" t="str">
            <v>MORTELMANS Luc</v>
          </cell>
          <cell r="D827" t="str">
            <v>Notaris</v>
          </cell>
          <cell r="E827" t="str">
            <v>Cruyslei</v>
          </cell>
          <cell r="F827" t="str">
            <v>88</v>
          </cell>
          <cell r="G827" t="str">
            <v/>
          </cell>
          <cell r="H827" t="str">
            <v>2100</v>
          </cell>
          <cell r="I827" t="str">
            <v>Antwerpen</v>
          </cell>
          <cell r="K827" t="str">
            <v>Deurne Antwerpen)</v>
          </cell>
          <cell r="M827" t="str">
            <v>M</v>
          </cell>
          <cell r="O827" t="str">
            <v>03.321.79.41</v>
          </cell>
          <cell r="P827" t="str">
            <v>03.321.53.36</v>
          </cell>
          <cell r="Q827" t="str">
            <v>LUC.MORTELMANS@NOTARIS.BE</v>
          </cell>
          <cell r="R827">
            <v>3466</v>
          </cell>
        </row>
        <row r="828">
          <cell r="A828">
            <v>827</v>
          </cell>
          <cell r="B828" t="str">
            <v>MOSTAERT Albert</v>
          </cell>
          <cell r="C828" t="str">
            <v>MOSTAERT Albert</v>
          </cell>
          <cell r="D828" t="str">
            <v>Notaris</v>
          </cell>
          <cell r="E828" t="str">
            <v>Rue G. Maisier</v>
          </cell>
          <cell r="F828" t="str">
            <v>33-35</v>
          </cell>
          <cell r="G828" t="str">
            <v/>
          </cell>
          <cell r="H828" t="str">
            <v>4830</v>
          </cell>
          <cell r="I828" t="str">
            <v>Liège</v>
          </cell>
          <cell r="K828" t="str">
            <v>Limbourg</v>
          </cell>
          <cell r="M828" t="str">
            <v>M</v>
          </cell>
          <cell r="O828" t="str">
            <v>087.76.20.05</v>
          </cell>
          <cell r="P828" t="str">
            <v>087.76.30.39</v>
          </cell>
          <cell r="Q828" t="str">
            <v>ALBERT.MOSTAERT@NOTAIRE.BE</v>
          </cell>
          <cell r="R828">
            <v>14</v>
          </cell>
        </row>
        <row r="829">
          <cell r="A829">
            <v>828</v>
          </cell>
          <cell r="B829" t="str">
            <v>MOTTARD Bruno &amp; HUGE Aline</v>
          </cell>
          <cell r="C829" t="str">
            <v>Mottard Bruno</v>
          </cell>
          <cell r="D829" t="str">
            <v>Geassocieerd Notaris</v>
          </cell>
          <cell r="E829" t="str">
            <v>Boulevard d´Avroy</v>
          </cell>
          <cell r="F829" t="str">
            <v>7C</v>
          </cell>
          <cell r="G829" t="str">
            <v/>
          </cell>
          <cell r="H829" t="str">
            <v>4000</v>
          </cell>
          <cell r="I829" t="str">
            <v>Liège</v>
          </cell>
          <cell r="K829" t="str">
            <v>Liège</v>
          </cell>
          <cell r="M829" t="str">
            <v>M</v>
          </cell>
          <cell r="O829" t="str">
            <v>04.232.19.27</v>
          </cell>
          <cell r="P829" t="str">
            <v>04.232.17.57</v>
          </cell>
          <cell r="Q829" t="str">
            <v>BRUNO.MOTTARD@NOTAIRE.BE</v>
          </cell>
          <cell r="R829">
            <v>3253</v>
          </cell>
        </row>
        <row r="830">
          <cell r="A830">
            <v>829</v>
          </cell>
          <cell r="B830" t="str">
            <v>MOTTARD Philippe</v>
          </cell>
          <cell r="C830" t="str">
            <v>MOTTARD Philippe</v>
          </cell>
          <cell r="D830" t="str">
            <v>Notaris</v>
          </cell>
          <cell r="E830" t="str">
            <v>Rue de l´Araine</v>
          </cell>
          <cell r="F830" t="str">
            <v>40</v>
          </cell>
          <cell r="G830" t="str">
            <v/>
          </cell>
          <cell r="H830" t="str">
            <v>4020</v>
          </cell>
          <cell r="I830" t="str">
            <v>Liège</v>
          </cell>
          <cell r="K830" t="str">
            <v>Jupille-sur-Meuse</v>
          </cell>
          <cell r="M830" t="str">
            <v>M</v>
          </cell>
          <cell r="O830" t="str">
            <v>04.362.85.77</v>
          </cell>
          <cell r="P830" t="str">
            <v>04.362.70.52</v>
          </cell>
          <cell r="Q830" t="str">
            <v>PHILIPPE.MOTTARD@NOTAIRE.BE</v>
          </cell>
          <cell r="R830">
            <v>2870</v>
          </cell>
        </row>
        <row r="831">
          <cell r="A831">
            <v>830</v>
          </cell>
          <cell r="B831" t="str">
            <v>SC - SPRL Roger MOTTARD Notaire</v>
          </cell>
          <cell r="C831" t="str">
            <v>Mottard Roger</v>
          </cell>
          <cell r="D831" t="str">
            <v>Notaris</v>
          </cell>
          <cell r="E831" t="str">
            <v>Rue Adrien Materne</v>
          </cell>
          <cell r="F831" t="str">
            <v>99</v>
          </cell>
          <cell r="G831" t="str">
            <v/>
          </cell>
          <cell r="H831" t="str">
            <v>4460</v>
          </cell>
          <cell r="I831" t="str">
            <v>Liège</v>
          </cell>
          <cell r="K831" t="str">
            <v>Grâce-Hollogne</v>
          </cell>
          <cell r="M831" t="str">
            <v>M</v>
          </cell>
          <cell r="O831" t="str">
            <v>04.239.75.15</v>
          </cell>
          <cell r="P831" t="str">
            <v>04.239.75.10</v>
          </cell>
          <cell r="Q831" t="str">
            <v>ROGER.MOTTARD@NOTAIRE.BE</v>
          </cell>
          <cell r="R831">
            <v>3103</v>
          </cell>
        </row>
        <row r="832">
          <cell r="A832">
            <v>831</v>
          </cell>
          <cell r="B832" t="str">
            <v>MOULIN Pierre</v>
          </cell>
          <cell r="C832" t="str">
            <v>MOULIN Pierre</v>
          </cell>
          <cell r="D832" t="str">
            <v>Notaris</v>
          </cell>
          <cell r="E832" t="str">
            <v>Dendermondsesteenweg</v>
          </cell>
          <cell r="F832" t="str">
            <v>432</v>
          </cell>
          <cell r="G832" t="str">
            <v/>
          </cell>
          <cell r="H832" t="str">
            <v>9070</v>
          </cell>
          <cell r="I832" t="str">
            <v>Oost-Vlaanderen</v>
          </cell>
          <cell r="K832" t="str">
            <v>Destelbergen</v>
          </cell>
          <cell r="M832" t="str">
            <v>M</v>
          </cell>
          <cell r="O832" t="str">
            <v>09.228.16.48</v>
          </cell>
          <cell r="P832" t="str">
            <v>09.228.50.07</v>
          </cell>
          <cell r="Q832" t="str">
            <v>PIERRE.MOULIN@NOTARIS.BE</v>
          </cell>
          <cell r="R832">
            <v>2533</v>
          </cell>
        </row>
        <row r="833">
          <cell r="A833">
            <v>832</v>
          </cell>
          <cell r="B833" t="str">
            <v>MOUREAU TAYMANS d´EYPERNON Hervé</v>
          </cell>
          <cell r="C833" t="str">
            <v>MoureauTaymansdEypernon Hervé</v>
          </cell>
          <cell r="D833" t="str">
            <v>Notaris</v>
          </cell>
          <cell r="E833" t="str">
            <v>Kerkstraat</v>
          </cell>
          <cell r="F833" t="str">
            <v>3</v>
          </cell>
          <cell r="G833" t="str">
            <v/>
          </cell>
          <cell r="H833" t="str">
            <v>3980</v>
          </cell>
          <cell r="I833" t="str">
            <v>Limburg</v>
          </cell>
          <cell r="K833" t="str">
            <v>Tessenderlo</v>
          </cell>
          <cell r="M833" t="str">
            <v>M</v>
          </cell>
          <cell r="O833" t="str">
            <v>013.67.84.44</v>
          </cell>
          <cell r="P833" t="str">
            <v>013.67.80.11</v>
          </cell>
          <cell r="Q833" t="str">
            <v>herve.moureautaymansdeypernon@belnot.be</v>
          </cell>
          <cell r="R833">
            <v>3586</v>
          </cell>
        </row>
        <row r="834">
          <cell r="A834">
            <v>833</v>
          </cell>
          <cell r="B834" t="str">
            <v>MOUREAU TAYMANS d´EYPERNON Hervé</v>
          </cell>
          <cell r="C834" t="str">
            <v>MoureauTaymansdEypernon Hervé</v>
          </cell>
          <cell r="D834" t="str">
            <v>Notaris</v>
          </cell>
          <cell r="E834" t="str">
            <v>Rue de Genève</v>
          </cell>
          <cell r="F834" t="str">
            <v>113</v>
          </cell>
          <cell r="G834" t="str">
            <v>bte 6</v>
          </cell>
          <cell r="H834" t="str">
            <v>1140</v>
          </cell>
          <cell r="I834" t="str">
            <v>Bruxelles</v>
          </cell>
          <cell r="K834" t="str">
            <v>Bruxelles</v>
          </cell>
          <cell r="M834" t="str">
            <v>M</v>
          </cell>
          <cell r="O834" t="str">
            <v>02.705.30.33</v>
          </cell>
          <cell r="P834" t="str">
            <v>02.705.66.70</v>
          </cell>
          <cell r="Q834" t="str">
            <v>herve.moureautaymansdeypernon@belnot.be</v>
          </cell>
          <cell r="R834">
            <v>1114</v>
          </cell>
        </row>
        <row r="835">
          <cell r="A835">
            <v>834</v>
          </cell>
          <cell r="B835" t="str">
            <v>Notaris Christophe Mouriau BVBA</v>
          </cell>
          <cell r="C835" t="str">
            <v>MouriaudeMuelenacker Christophe</v>
          </cell>
          <cell r="D835" t="str">
            <v>Notaris</v>
          </cell>
          <cell r="E835" t="str">
            <v>Aartrijkestraat</v>
          </cell>
          <cell r="F835" t="str">
            <v>28</v>
          </cell>
          <cell r="G835" t="str">
            <v/>
          </cell>
          <cell r="H835" t="str">
            <v>8820</v>
          </cell>
          <cell r="I835" t="str">
            <v>West-Vlaanderen</v>
          </cell>
          <cell r="K835" t="str">
            <v>Torhout</v>
          </cell>
          <cell r="L835">
            <v>23936</v>
          </cell>
          <cell r="M835" t="str">
            <v>M</v>
          </cell>
          <cell r="O835" t="str">
            <v>050.21.24.87</v>
          </cell>
          <cell r="P835" t="str">
            <v>050.21.69.31</v>
          </cell>
          <cell r="Q835" t="str">
            <v>CHRISTOPHE.MOURIAUDEMEULENACKER@NOTARIS.BE</v>
          </cell>
          <cell r="R835">
            <v>3333</v>
          </cell>
        </row>
        <row r="836">
          <cell r="A836">
            <v>835</v>
          </cell>
          <cell r="B836" t="str">
            <v>Notaris Stephan Mourisse BVBA</v>
          </cell>
          <cell r="C836" t="str">
            <v>Mourisse Stephan</v>
          </cell>
          <cell r="D836" t="str">
            <v>Notaris</v>
          </cell>
          <cell r="E836" t="str">
            <v>Prof. Rubbrechtstraat</v>
          </cell>
          <cell r="F836" t="str">
            <v>6</v>
          </cell>
          <cell r="G836" t="str">
            <v/>
          </cell>
          <cell r="H836" t="str">
            <v>8972</v>
          </cell>
          <cell r="I836" t="str">
            <v>West-Vlaanderen</v>
          </cell>
          <cell r="K836" t="str">
            <v>Roesbrugge-Haringe</v>
          </cell>
          <cell r="L836">
            <v>24211</v>
          </cell>
          <cell r="M836" t="str">
            <v>M</v>
          </cell>
          <cell r="O836" t="str">
            <v>057.30.03.83</v>
          </cell>
          <cell r="P836" t="str">
            <v>057.30.13.46</v>
          </cell>
          <cell r="Q836" t="str">
            <v>STEPHAN.MOURISSE@NOTARIS.BE</v>
          </cell>
          <cell r="R836">
            <v>3214</v>
          </cell>
          <cell r="S836" t="str">
            <v>285-0339049-63</v>
          </cell>
        </row>
        <row r="837">
          <cell r="A837">
            <v>836</v>
          </cell>
          <cell r="B837" t="str">
            <v>MOURLON BEERNAERT Juan</v>
          </cell>
          <cell r="C837" t="str">
            <v>MourlonBeernaert Juan</v>
          </cell>
          <cell r="D837" t="str">
            <v>Notaris</v>
          </cell>
          <cell r="E837" t="str">
            <v>Avenue des Arts</v>
          </cell>
          <cell r="F837" t="str">
            <v>50</v>
          </cell>
          <cell r="G837" t="str">
            <v>bte 1</v>
          </cell>
          <cell r="H837" t="str">
            <v>1000</v>
          </cell>
          <cell r="I837" t="str">
            <v>Bruxelles</v>
          </cell>
          <cell r="K837" t="str">
            <v>Bruxelles</v>
          </cell>
          <cell r="M837" t="str">
            <v>M</v>
          </cell>
          <cell r="O837" t="str">
            <v>02.512.02.70</v>
          </cell>
          <cell r="P837" t="str">
            <v>02.514.25.99</v>
          </cell>
          <cell r="Q837" t="str">
            <v>JUAN.MOURLONBEERNAERT@NOTAIRE.BE</v>
          </cell>
          <cell r="R837">
            <v>1264</v>
          </cell>
        </row>
        <row r="838">
          <cell r="A838">
            <v>837</v>
          </cell>
          <cell r="B838" t="str">
            <v>MOURUE Françoise</v>
          </cell>
          <cell r="C838" t="str">
            <v>MOURUE Françoise</v>
          </cell>
          <cell r="D838" t="str">
            <v>Notaris</v>
          </cell>
          <cell r="E838" t="str">
            <v>Grand´Place</v>
          </cell>
          <cell r="F838" t="str">
            <v>37</v>
          </cell>
          <cell r="G838" t="str">
            <v/>
          </cell>
          <cell r="H838" t="str">
            <v>6567</v>
          </cell>
          <cell r="I838" t="str">
            <v>Hainaut</v>
          </cell>
          <cell r="K838" t="str">
            <v>Merbes-le-Château</v>
          </cell>
          <cell r="M838" t="str">
            <v>Vr</v>
          </cell>
          <cell r="O838" t="str">
            <v>071.55.53.92</v>
          </cell>
          <cell r="P838" t="str">
            <v>071.55.86.79</v>
          </cell>
          <cell r="Q838" t="str">
            <v>FRANCOISE.MOURUE@NOTAIRE.BE</v>
          </cell>
          <cell r="R838">
            <v>3408</v>
          </cell>
        </row>
        <row r="839">
          <cell r="A839">
            <v>838</v>
          </cell>
          <cell r="B839" t="str">
            <v>Mouton Roland</v>
          </cell>
          <cell r="C839" t="str">
            <v>Mouton Roland</v>
          </cell>
          <cell r="D839" t="str">
            <v>Notaris</v>
          </cell>
          <cell r="E839" t="str">
            <v>Place Astrid</v>
          </cell>
          <cell r="F839" t="str">
            <v>1</v>
          </cell>
          <cell r="G839" t="str">
            <v/>
          </cell>
          <cell r="H839" t="str">
            <v>6820</v>
          </cell>
          <cell r="I839" t="str">
            <v>Luxembourg</v>
          </cell>
          <cell r="K839" t="str">
            <v>Florenville</v>
          </cell>
          <cell r="M839" t="str">
            <v>M</v>
          </cell>
          <cell r="O839" t="str">
            <v>061.31.14.77</v>
          </cell>
          <cell r="P839" t="str">
            <v>061.31.40.63</v>
          </cell>
          <cell r="Q839" t="str">
            <v>roland.mouton@notaire.be</v>
          </cell>
          <cell r="R839">
            <v>2704</v>
          </cell>
        </row>
        <row r="840">
          <cell r="A840">
            <v>839</v>
          </cell>
          <cell r="B840" t="str">
            <v>MOYERSOEN Nicolas</v>
          </cell>
          <cell r="C840" t="str">
            <v>MOYERSOEN Nicolas</v>
          </cell>
          <cell r="D840" t="str">
            <v>Notaris</v>
          </cell>
          <cell r="E840" t="str">
            <v>Keizersplein</v>
          </cell>
          <cell r="F840" t="str">
            <v>34</v>
          </cell>
          <cell r="G840" t="str">
            <v/>
          </cell>
          <cell r="H840" t="str">
            <v>9300</v>
          </cell>
          <cell r="I840" t="str">
            <v>Oost-Vlaanderen</v>
          </cell>
          <cell r="K840" t="str">
            <v>Aalst</v>
          </cell>
          <cell r="M840" t="str">
            <v>M</v>
          </cell>
          <cell r="O840" t="str">
            <v>053.77.94.38</v>
          </cell>
          <cell r="P840" t="str">
            <v>053.78.14.72</v>
          </cell>
          <cell r="Q840" t="str">
            <v>NICOLAS.MOYERSOEN@NOTARIS.BE</v>
          </cell>
          <cell r="R840">
            <v>3443</v>
          </cell>
        </row>
        <row r="841">
          <cell r="A841">
            <v>840</v>
          </cell>
          <cell r="B841" t="str">
            <v>MOYSON Marianda</v>
          </cell>
          <cell r="C841" t="str">
            <v>MOYSON Marianda</v>
          </cell>
          <cell r="D841" t="str">
            <v>Notaris</v>
          </cell>
          <cell r="E841" t="str">
            <v>Acacialaan</v>
          </cell>
          <cell r="F841" t="str">
            <v>37</v>
          </cell>
          <cell r="G841" t="str">
            <v/>
          </cell>
          <cell r="H841" t="str">
            <v>1880</v>
          </cell>
          <cell r="I841" t="str">
            <v>Vlaams Brabant</v>
          </cell>
          <cell r="K841" t="str">
            <v>Kapelle-op-den-Bos</v>
          </cell>
          <cell r="M841" t="str">
            <v>Vr</v>
          </cell>
          <cell r="O841" t="str">
            <v>015.71.23.78</v>
          </cell>
          <cell r="P841" t="str">
            <v>015.71.38.75</v>
          </cell>
          <cell r="Q841" t="str">
            <v>MARIANDA.MOYSON@NOTARIS.BE</v>
          </cell>
          <cell r="R841">
            <v>3533</v>
          </cell>
        </row>
        <row r="842">
          <cell r="A842">
            <v>841</v>
          </cell>
          <cell r="B842" t="str">
            <v>MULLER Frank</v>
          </cell>
          <cell r="C842" t="str">
            <v>MULLER Frank</v>
          </cell>
          <cell r="D842" t="str">
            <v>Notaris</v>
          </cell>
          <cell r="E842" t="str">
            <v>Polenlaan</v>
          </cell>
          <cell r="F842" t="str">
            <v>55</v>
          </cell>
          <cell r="G842" t="str">
            <v/>
          </cell>
          <cell r="H842" t="str">
            <v>9190</v>
          </cell>
          <cell r="I842" t="str">
            <v>Oost-Vlaanderen</v>
          </cell>
          <cell r="K842" t="str">
            <v>Stekene</v>
          </cell>
          <cell r="M842" t="str">
            <v>M</v>
          </cell>
          <cell r="O842" t="str">
            <v>03.777.77.77</v>
          </cell>
          <cell r="P842" t="str">
            <v>03.779.91.17</v>
          </cell>
          <cell r="Q842" t="str">
            <v>FRANK.MULLER@NOTARIS.BE</v>
          </cell>
          <cell r="R842">
            <v>3534</v>
          </cell>
        </row>
        <row r="843">
          <cell r="A843">
            <v>842</v>
          </cell>
          <cell r="B843" t="str">
            <v>BVBA Jan Muller Notaris</v>
          </cell>
          <cell r="C843" t="str">
            <v>Muller Jan</v>
          </cell>
          <cell r="D843" t="str">
            <v>Notaris</v>
          </cell>
          <cell r="E843" t="str">
            <v>Kerkstraat</v>
          </cell>
          <cell r="F843" t="str">
            <v>25</v>
          </cell>
          <cell r="G843" t="str">
            <v/>
          </cell>
          <cell r="H843" t="str">
            <v>9250</v>
          </cell>
          <cell r="I843" t="str">
            <v>Oost-Vlaanderen</v>
          </cell>
          <cell r="K843" t="str">
            <v>Waasmunster</v>
          </cell>
          <cell r="M843" t="str">
            <v>M</v>
          </cell>
          <cell r="O843" t="str">
            <v>052.46.12.79</v>
          </cell>
          <cell r="P843" t="str">
            <v>052.46.21.51</v>
          </cell>
          <cell r="Q843" t="str">
            <v>jan.muller@belnot.be</v>
          </cell>
          <cell r="R843">
            <v>2487</v>
          </cell>
        </row>
        <row r="844">
          <cell r="A844">
            <v>843</v>
          </cell>
          <cell r="B844" t="str">
            <v>MUYLLE Bernard</v>
          </cell>
          <cell r="C844" t="str">
            <v>MUYLLE Bernard</v>
          </cell>
          <cell r="D844" t="str">
            <v>Notaris</v>
          </cell>
          <cell r="E844" t="str">
            <v>Koninginnelaan</v>
          </cell>
          <cell r="F844" t="str">
            <v>52</v>
          </cell>
          <cell r="G844" t="str">
            <v>bus 15</v>
          </cell>
          <cell r="H844" t="str">
            <v>8430</v>
          </cell>
          <cell r="I844" t="str">
            <v>West-Vlaanderen</v>
          </cell>
          <cell r="K844" t="str">
            <v>Middelkerke</v>
          </cell>
          <cell r="L844">
            <v>24240</v>
          </cell>
          <cell r="M844" t="str">
            <v>M</v>
          </cell>
          <cell r="O844" t="str">
            <v>059.30.04.32</v>
          </cell>
          <cell r="P844" t="str">
            <v>059.30.29.75</v>
          </cell>
          <cell r="Q844" t="str">
            <v>BERNARD.MUYLLE@NOTARIS.BE</v>
          </cell>
          <cell r="R844">
            <v>3316</v>
          </cell>
        </row>
        <row r="845">
          <cell r="A845">
            <v>844</v>
          </cell>
          <cell r="B845" t="str">
            <v>MUYSHONDT Jos</v>
          </cell>
          <cell r="C845" t="str">
            <v>MUYSHONDT Jos</v>
          </cell>
          <cell r="D845" t="str">
            <v>Notaris</v>
          </cell>
          <cell r="E845" t="str">
            <v>Dekenstraat</v>
          </cell>
          <cell r="F845" t="str">
            <v>20</v>
          </cell>
          <cell r="G845" t="str">
            <v/>
          </cell>
          <cell r="H845" t="str">
            <v>1500</v>
          </cell>
          <cell r="I845" t="str">
            <v>Vlaams Brabant</v>
          </cell>
          <cell r="K845" t="str">
            <v>Halle</v>
          </cell>
          <cell r="M845" t="str">
            <v>M</v>
          </cell>
          <cell r="O845" t="str">
            <v>02.356.52.42</v>
          </cell>
          <cell r="P845" t="str">
            <v>02.361.04.62</v>
          </cell>
          <cell r="Q845" t="str">
            <v>JOS.MUYSHONDT@NOTARIS.BE</v>
          </cell>
          <cell r="R845">
            <v>2588</v>
          </cell>
        </row>
        <row r="846">
          <cell r="A846">
            <v>845</v>
          </cell>
          <cell r="B846" t="str">
            <v>MYNCKE Jan</v>
          </cell>
          <cell r="C846" t="str">
            <v>MYNCKE Jan</v>
          </cell>
          <cell r="D846" t="str">
            <v>Notaris</v>
          </cell>
          <cell r="E846" t="str">
            <v>Oudenaardsesteenweg</v>
          </cell>
          <cell r="F846" t="str">
            <v>97</v>
          </cell>
          <cell r="G846" t="str">
            <v/>
          </cell>
          <cell r="H846" t="str">
            <v>9000</v>
          </cell>
          <cell r="I846" t="str">
            <v>Oost-Vlaanderen</v>
          </cell>
          <cell r="K846" t="str">
            <v>Gent</v>
          </cell>
          <cell r="M846" t="str">
            <v>M</v>
          </cell>
          <cell r="O846" t="str">
            <v>09.222.13.71</v>
          </cell>
          <cell r="P846" t="str">
            <v>09.222.17.61</v>
          </cell>
          <cell r="Q846" t="str">
            <v>JAN.MYNCKE@NOTARIS.BE</v>
          </cell>
          <cell r="R846">
            <v>2849</v>
          </cell>
        </row>
        <row r="847">
          <cell r="A847">
            <v>846</v>
          </cell>
          <cell r="B847" t="str">
            <v>NAETS Bruno</v>
          </cell>
          <cell r="C847" t="str">
            <v>NAETS Bruno</v>
          </cell>
          <cell r="D847" t="str">
            <v>Notaris</v>
          </cell>
          <cell r="E847" t="str">
            <v>Boerenkrijglaan</v>
          </cell>
          <cell r="F847" t="str">
            <v>52</v>
          </cell>
          <cell r="G847" t="str">
            <v/>
          </cell>
          <cell r="H847" t="str">
            <v>2260</v>
          </cell>
          <cell r="I847" t="str">
            <v>Antwerpen</v>
          </cell>
          <cell r="K847" t="str">
            <v>Westerlo</v>
          </cell>
          <cell r="M847" t="str">
            <v>M</v>
          </cell>
          <cell r="O847" t="str">
            <v>014.54.40.43</v>
          </cell>
          <cell r="P847" t="str">
            <v>014.54.17.49</v>
          </cell>
          <cell r="Q847" t="str">
            <v>BRUNO.NAETS@NOTARIS.BE</v>
          </cell>
          <cell r="R847">
            <v>3015</v>
          </cell>
        </row>
        <row r="848">
          <cell r="A848">
            <v>847</v>
          </cell>
          <cell r="B848" t="str">
            <v>NASSEAUX GUY &amp; WATERKEYN OLIVIER</v>
          </cell>
          <cell r="C848" t="str">
            <v>Nasseaux Guy</v>
          </cell>
          <cell r="D848" t="str">
            <v>Geassocieerd Notaris</v>
          </cell>
          <cell r="E848" t="str">
            <v>Chaussée de Bruxelles</v>
          </cell>
          <cell r="F848" t="str">
            <v>109</v>
          </cell>
          <cell r="G848" t="str">
            <v/>
          </cell>
          <cell r="H848" t="str">
            <v>1410</v>
          </cell>
          <cell r="I848" t="str">
            <v>Brabant Wallon</v>
          </cell>
          <cell r="K848" t="str">
            <v>Waterloo</v>
          </cell>
          <cell r="M848" t="str">
            <v>M</v>
          </cell>
          <cell r="O848" t="str">
            <v>02.354.03.00</v>
          </cell>
          <cell r="P848" t="str">
            <v>02.354.47.52</v>
          </cell>
          <cell r="Q848" t="str">
            <v>guy.nasseaux@belnot.be</v>
          </cell>
          <cell r="R848">
            <v>3643</v>
          </cell>
        </row>
        <row r="849">
          <cell r="A849">
            <v>848</v>
          </cell>
          <cell r="B849" t="str">
            <v>NEIRINCKX Lucas</v>
          </cell>
          <cell r="C849" t="str">
            <v>NEIRINCKX Lucas</v>
          </cell>
          <cell r="D849" t="str">
            <v>Notaris</v>
          </cell>
          <cell r="E849" t="str">
            <v>Markt</v>
          </cell>
          <cell r="F849" t="str">
            <v>13/B</v>
          </cell>
          <cell r="G849" t="str">
            <v>bus 2</v>
          </cell>
          <cell r="H849" t="str">
            <v>9140</v>
          </cell>
          <cell r="I849" t="str">
            <v>Oost-Vlaanderen</v>
          </cell>
          <cell r="K849" t="str">
            <v>Temse</v>
          </cell>
          <cell r="M849" t="str">
            <v>M</v>
          </cell>
          <cell r="O849" t="str">
            <v>03.711.08.27</v>
          </cell>
          <cell r="P849" t="str">
            <v>03.711.17.52</v>
          </cell>
          <cell r="Q849" t="str">
            <v>LUCAS.NEIRINCKX@NOTARIS.BE</v>
          </cell>
          <cell r="R849">
            <v>3009</v>
          </cell>
        </row>
        <row r="850">
          <cell r="A850">
            <v>849</v>
          </cell>
          <cell r="B850" t="str">
            <v>NOTAIRES DUPONT NERINCX &amp; VINCKE</v>
          </cell>
          <cell r="C850" t="str">
            <v>Nerincx Bertrand</v>
          </cell>
          <cell r="D850" t="str">
            <v>Geassocieerd Notaris</v>
          </cell>
          <cell r="E850" t="str">
            <v>Rue de l´industrie</v>
          </cell>
          <cell r="F850" t="str">
            <v>24</v>
          </cell>
          <cell r="G850" t="str">
            <v/>
          </cell>
          <cell r="H850" t="str">
            <v>1040</v>
          </cell>
          <cell r="I850" t="str">
            <v>Bruxelles</v>
          </cell>
          <cell r="K850" t="str">
            <v>Bruxelles</v>
          </cell>
          <cell r="M850" t="str">
            <v>M</v>
          </cell>
          <cell r="O850" t="str">
            <v>02.513.89.55</v>
          </cell>
          <cell r="P850" t="str">
            <v>02.513.97.18</v>
          </cell>
          <cell r="Q850" t="str">
            <v>BERTRAND.NERINCX@NOTAIRE.BE</v>
          </cell>
          <cell r="R850">
            <v>3641</v>
          </cell>
        </row>
        <row r="851">
          <cell r="A851">
            <v>850</v>
          </cell>
          <cell r="B851" t="str">
            <v>NEVE de MEVERGNIES Ferdinand</v>
          </cell>
          <cell r="C851" t="str">
            <v>NevedeMevergnies Ferdinand</v>
          </cell>
          <cell r="D851" t="str">
            <v>Notaris</v>
          </cell>
          <cell r="E851" t="str">
            <v>Burgstraat</v>
          </cell>
          <cell r="F851" t="str">
            <v>122</v>
          </cell>
          <cell r="G851" t="str">
            <v/>
          </cell>
          <cell r="H851" t="str">
            <v>9000</v>
          </cell>
          <cell r="I851" t="str">
            <v>Oost-Vlaanderen</v>
          </cell>
          <cell r="K851" t="str">
            <v>Gent</v>
          </cell>
          <cell r="M851" t="str">
            <v>M</v>
          </cell>
          <cell r="O851" t="str">
            <v>09.225.28.33</v>
          </cell>
          <cell r="P851" t="str">
            <v>09.224.14.53</v>
          </cell>
          <cell r="Q851" t="str">
            <v>FERDINAND.NEVEDEMEVERGNIES@NOTARIS.BE</v>
          </cell>
          <cell r="R851">
            <v>2522</v>
          </cell>
        </row>
        <row r="852">
          <cell r="A852">
            <v>851</v>
          </cell>
          <cell r="B852" t="str">
            <v>NEVEN Eric</v>
          </cell>
          <cell r="C852" t="str">
            <v>NEVEN Eric</v>
          </cell>
          <cell r="D852" t="str">
            <v>Notaris</v>
          </cell>
          <cell r="E852" t="str">
            <v>Chaussée d´Alsembergsesteenweg</v>
          </cell>
          <cell r="F852" t="str">
            <v>295</v>
          </cell>
          <cell r="G852" t="str">
            <v/>
          </cell>
          <cell r="H852" t="str">
            <v>1190</v>
          </cell>
          <cell r="I852" t="str">
            <v>Bruxelles</v>
          </cell>
          <cell r="K852" t="str">
            <v>Bruxelles</v>
          </cell>
          <cell r="M852" t="str">
            <v>M</v>
          </cell>
          <cell r="O852" t="str">
            <v>02.344.09.14</v>
          </cell>
          <cell r="P852" t="str">
            <v>02.344.42.30</v>
          </cell>
          <cell r="Q852" t="str">
            <v>ERIC.NEVEN@NOTARIS.BE</v>
          </cell>
          <cell r="R852">
            <v>3238</v>
          </cell>
        </row>
        <row r="853">
          <cell r="A853">
            <v>852</v>
          </cell>
          <cell r="B853" t="str">
            <v>Neyrinck Olivier</v>
          </cell>
          <cell r="C853" t="str">
            <v>Neyrinck Olivier</v>
          </cell>
          <cell r="D853" t="str">
            <v>Notaris</v>
          </cell>
          <cell r="E853" t="str">
            <v>rue Stevens Belannoystraat</v>
          </cell>
          <cell r="F853" t="str">
            <v>29</v>
          </cell>
          <cell r="G853" t="str">
            <v/>
          </cell>
          <cell r="H853" t="str">
            <v>1020</v>
          </cell>
          <cell r="I853" t="str">
            <v>Bruxelles</v>
          </cell>
          <cell r="K853" t="str">
            <v>Bruxelles</v>
          </cell>
          <cell r="M853" t="str">
            <v>M</v>
          </cell>
          <cell r="O853" t="str">
            <v>02.478.67.32</v>
          </cell>
          <cell r="P853" t="str">
            <v>02.478.24.16</v>
          </cell>
          <cell r="Q853" t="str">
            <v>olivier.neyrinck@notaire.be</v>
          </cell>
          <cell r="R853">
            <v>1274</v>
          </cell>
          <cell r="S853" t="str">
            <v>310-1646401-09</v>
          </cell>
          <cell r="T853">
            <v>38279</v>
          </cell>
        </row>
        <row r="854">
          <cell r="A854">
            <v>853</v>
          </cell>
          <cell r="B854" t="str">
            <v>SPRL PIERRE NICAISE et BENOIT COLMANT</v>
          </cell>
          <cell r="C854" t="str">
            <v>Nicaise Pierre</v>
          </cell>
          <cell r="D854" t="str">
            <v>Geassocieerd Notaris</v>
          </cell>
          <cell r="E854" t="str">
            <v>Allée du bois de bercuit</v>
          </cell>
          <cell r="F854" t="str">
            <v>14</v>
          </cell>
          <cell r="G854" t="str">
            <v/>
          </cell>
          <cell r="H854" t="str">
            <v>1390</v>
          </cell>
          <cell r="I854" t="str">
            <v>Brabant Wallon</v>
          </cell>
          <cell r="K854" t="str">
            <v>Grez-Doiceau</v>
          </cell>
          <cell r="M854" t="str">
            <v>M</v>
          </cell>
          <cell r="O854" t="str">
            <v>010.84.81.50</v>
          </cell>
          <cell r="P854" t="str">
            <v>010.84.19.18</v>
          </cell>
          <cell r="Q854" t="str">
            <v>PIERRE.NICAISE@NOTAIRE.BE</v>
          </cell>
          <cell r="R854">
            <v>3637</v>
          </cell>
        </row>
        <row r="855">
          <cell r="A855">
            <v>854</v>
          </cell>
          <cell r="B855" t="str">
            <v>NIJS André</v>
          </cell>
          <cell r="C855" t="str">
            <v>NIJS André</v>
          </cell>
          <cell r="D855" t="str">
            <v>Notaris</v>
          </cell>
          <cell r="E855" t="str">
            <v>Herentalsstraat</v>
          </cell>
          <cell r="F855" t="str">
            <v>75</v>
          </cell>
          <cell r="G855" t="str">
            <v/>
          </cell>
          <cell r="H855" t="str">
            <v>2300</v>
          </cell>
          <cell r="I855" t="str">
            <v>Antwerpen</v>
          </cell>
          <cell r="K855" t="str">
            <v>Turnhout</v>
          </cell>
          <cell r="M855" t="str">
            <v>M</v>
          </cell>
          <cell r="O855" t="str">
            <v>014.41.15.79</v>
          </cell>
          <cell r="P855" t="str">
            <v>014.42.92.76</v>
          </cell>
          <cell r="Q855" t="str">
            <v>ANDRE.NIJS@NOTARIS.BE</v>
          </cell>
          <cell r="R855">
            <v>1339</v>
          </cell>
        </row>
        <row r="856">
          <cell r="A856">
            <v>855</v>
          </cell>
          <cell r="B856" t="str">
            <v>NOBELS Luc</v>
          </cell>
          <cell r="C856" t="str">
            <v>NOBELS Luc</v>
          </cell>
          <cell r="D856" t="str">
            <v>Notaris</v>
          </cell>
          <cell r="E856" t="str">
            <v>Grotestraat</v>
          </cell>
          <cell r="F856" t="str">
            <v>157</v>
          </cell>
          <cell r="G856" t="str">
            <v/>
          </cell>
          <cell r="H856" t="str">
            <v>8421</v>
          </cell>
          <cell r="I856" t="str">
            <v>West-Vlaanderen</v>
          </cell>
          <cell r="K856" t="str">
            <v>Vlissegem</v>
          </cell>
          <cell r="M856" t="str">
            <v>M</v>
          </cell>
          <cell r="O856" t="str">
            <v>059.23.42.91</v>
          </cell>
          <cell r="P856" t="str">
            <v>059.23.67.00</v>
          </cell>
          <cell r="Q856" t="str">
            <v>luc.nobels@notaris.be</v>
          </cell>
          <cell r="R856">
            <v>3216</v>
          </cell>
        </row>
        <row r="857">
          <cell r="A857">
            <v>856</v>
          </cell>
          <cell r="B857" t="str">
            <v>NOE François</v>
          </cell>
          <cell r="C857" t="str">
            <v>NOE François</v>
          </cell>
          <cell r="D857" t="str">
            <v>Notaris</v>
          </cell>
          <cell r="E857" t="str">
            <v>Rue du Géant</v>
          </cell>
          <cell r="F857" t="str">
            <v>2</v>
          </cell>
          <cell r="G857" t="str">
            <v>bte 5</v>
          </cell>
          <cell r="H857" t="str">
            <v>1400</v>
          </cell>
          <cell r="I857" t="str">
            <v>Brabant Wallon</v>
          </cell>
          <cell r="K857" t="str">
            <v>Nivelles</v>
          </cell>
          <cell r="M857" t="str">
            <v>M</v>
          </cell>
          <cell r="O857" t="str">
            <v>067.41.15.80</v>
          </cell>
          <cell r="P857" t="str">
            <v>067.21.25.75</v>
          </cell>
          <cell r="Q857" t="str">
            <v>FRANCOIS.NOE@NOTAIRE.BE</v>
          </cell>
          <cell r="R857">
            <v>3569</v>
          </cell>
        </row>
        <row r="858">
          <cell r="A858">
            <v>857</v>
          </cell>
          <cell r="B858" t="str">
            <v>NOKERMAN Etienne</v>
          </cell>
          <cell r="C858" t="str">
            <v>NOKERMAN Etienne</v>
          </cell>
          <cell r="D858" t="str">
            <v>Notaris</v>
          </cell>
          <cell r="E858" t="str">
            <v>Rue Ledoux</v>
          </cell>
          <cell r="F858" t="str">
            <v>34</v>
          </cell>
          <cell r="G858" t="str">
            <v/>
          </cell>
          <cell r="H858" t="str">
            <v>6040</v>
          </cell>
          <cell r="I858" t="str">
            <v>Hainaut</v>
          </cell>
          <cell r="K858" t="str">
            <v>Jumet Charleroi)</v>
          </cell>
          <cell r="M858" t="str">
            <v>M</v>
          </cell>
          <cell r="O858" t="str">
            <v>071.35.51.90</v>
          </cell>
          <cell r="P858" t="str">
            <v>071.35.94.34</v>
          </cell>
          <cell r="Q858" t="str">
            <v>ETIENNE.NOKERMAN@NOTAIRE.BE</v>
          </cell>
          <cell r="R858">
            <v>2894</v>
          </cell>
        </row>
        <row r="859">
          <cell r="A859">
            <v>858</v>
          </cell>
          <cell r="B859" t="str">
            <v>NOLENS Christophe</v>
          </cell>
          <cell r="C859" t="str">
            <v>NOLENS Christophe</v>
          </cell>
          <cell r="D859" t="str">
            <v>Notaris</v>
          </cell>
          <cell r="E859" t="str">
            <v>Tiensesteenweg</v>
          </cell>
          <cell r="F859" t="str">
            <v>38</v>
          </cell>
          <cell r="G859" t="str">
            <v/>
          </cell>
          <cell r="H859" t="str">
            <v>3800</v>
          </cell>
          <cell r="I859" t="str">
            <v>Limburg</v>
          </cell>
          <cell r="K859" t="str">
            <v>Sint-Truiden</v>
          </cell>
          <cell r="M859" t="str">
            <v>M</v>
          </cell>
          <cell r="O859" t="str">
            <v>011.68.52.55</v>
          </cell>
          <cell r="P859" t="str">
            <v>011.67.36.54</v>
          </cell>
          <cell r="Q859" t="str">
            <v>christophe.nolens@notaris.be</v>
          </cell>
          <cell r="R859">
            <v>1262</v>
          </cell>
          <cell r="S859" t="str">
            <v>733-0218717-12</v>
          </cell>
          <cell r="T859" t="str">
            <v>*2004</v>
          </cell>
        </row>
        <row r="860">
          <cell r="A860">
            <v>859</v>
          </cell>
          <cell r="B860" t="str">
            <v>NOLENS Michel</v>
          </cell>
          <cell r="C860" t="str">
            <v>NOLENS Michel</v>
          </cell>
          <cell r="D860" t="str">
            <v>Notaris</v>
          </cell>
          <cell r="E860" t="str">
            <v>Wechelsebaan</v>
          </cell>
          <cell r="F860" t="str">
            <v>184</v>
          </cell>
          <cell r="G860" t="str">
            <v/>
          </cell>
          <cell r="H860" t="str">
            <v>2275</v>
          </cell>
          <cell r="I860" t="str">
            <v>Antwerpen</v>
          </cell>
          <cell r="K860" t="str">
            <v>Lille</v>
          </cell>
          <cell r="M860" t="str">
            <v>M</v>
          </cell>
          <cell r="O860" t="str">
            <v>014.88.10.62</v>
          </cell>
          <cell r="P860" t="str">
            <v>014.88.10.52</v>
          </cell>
          <cell r="Q860" t="str">
            <v>MICHEL.NOLENS@NOTARIS.BE</v>
          </cell>
          <cell r="R860">
            <v>1194</v>
          </cell>
        </row>
        <row r="861">
          <cell r="A861">
            <v>860</v>
          </cell>
          <cell r="B861" t="str">
            <v>NOTERIS Pierre-Edouard</v>
          </cell>
          <cell r="C861" t="str">
            <v>NOTERIS Pierre-Edouard</v>
          </cell>
          <cell r="D861" t="str">
            <v>Notaris</v>
          </cell>
          <cell r="E861" t="str">
            <v>Avenue Brugmannlaan</v>
          </cell>
          <cell r="F861" t="str">
            <v>587</v>
          </cell>
          <cell r="G861" t="str">
            <v>bte 7</v>
          </cell>
          <cell r="H861" t="str">
            <v>1180</v>
          </cell>
          <cell r="I861" t="str">
            <v>Bruxelles</v>
          </cell>
          <cell r="K861" t="str">
            <v>Bruxelles</v>
          </cell>
          <cell r="M861" t="str">
            <v>M</v>
          </cell>
          <cell r="O861" t="str">
            <v>02.344.01.46</v>
          </cell>
          <cell r="P861" t="str">
            <v>02.344.18.11</v>
          </cell>
          <cell r="Q861" t="str">
            <v>PIERREEDOUARD.NOTERIS@NOTAIRE.BE</v>
          </cell>
          <cell r="R861">
            <v>3156</v>
          </cell>
        </row>
        <row r="862">
          <cell r="A862">
            <v>861</v>
          </cell>
          <cell r="B862" t="str">
            <v>GEERT NOUWKENS &amp; WOUTER NOUWKENS</v>
          </cell>
          <cell r="C862" t="str">
            <v>Nouwkens Geert</v>
          </cell>
          <cell r="D862" t="str">
            <v>Geassocieerd Notaris</v>
          </cell>
          <cell r="E862" t="str">
            <v>Hoge Warande</v>
          </cell>
          <cell r="F862" t="str">
            <v>10</v>
          </cell>
          <cell r="G862" t="str">
            <v>bus 1</v>
          </cell>
          <cell r="H862" t="str">
            <v>2390</v>
          </cell>
          <cell r="I862" t="str">
            <v>Antwerpen</v>
          </cell>
          <cell r="K862" t="str">
            <v>Oostmalle</v>
          </cell>
          <cell r="M862" t="str">
            <v>M</v>
          </cell>
          <cell r="O862" t="str">
            <v>03.312.20.28</v>
          </cell>
          <cell r="P862" t="str">
            <v>03.311.73.24</v>
          </cell>
          <cell r="Q862" t="str">
            <v>GEERT.NOUWKENS@NOTARIS.BE</v>
          </cell>
          <cell r="R862">
            <v>3525</v>
          </cell>
        </row>
        <row r="863">
          <cell r="A863">
            <v>862</v>
          </cell>
          <cell r="B863" t="str">
            <v>GEERT NOUWKENS &amp; WOUTER NOUWKENS</v>
          </cell>
          <cell r="C863" t="str">
            <v>Nouwkens Wouter</v>
          </cell>
          <cell r="D863" t="str">
            <v>Geassocieerd Notaris</v>
          </cell>
          <cell r="E863" t="str">
            <v>Hoge Warande</v>
          </cell>
          <cell r="F863" t="str">
            <v>10</v>
          </cell>
          <cell r="G863" t="str">
            <v>bus 1</v>
          </cell>
          <cell r="H863" t="str">
            <v>2390</v>
          </cell>
          <cell r="I863" t="str">
            <v>Antwerpen</v>
          </cell>
          <cell r="K863" t="str">
            <v>Oostmalle</v>
          </cell>
          <cell r="M863" t="str">
            <v>M</v>
          </cell>
          <cell r="O863" t="str">
            <v>03.312.20.28</v>
          </cell>
          <cell r="P863" t="str">
            <v>03.311.73.24</v>
          </cell>
          <cell r="Q863" t="str">
            <v>wouter.nouwkens@notaire.be</v>
          </cell>
          <cell r="R863">
            <v>3525</v>
          </cell>
        </row>
        <row r="864">
          <cell r="A864">
            <v>863</v>
          </cell>
          <cell r="B864" t="str">
            <v>BERQUIN NOTARISSEN - BERQUIN NOTAIRES</v>
          </cell>
          <cell r="C864" t="str">
            <v>Ockerman Carl</v>
          </cell>
          <cell r="D864" t="str">
            <v>Geassocieerd Notaris</v>
          </cell>
          <cell r="E864" t="str">
            <v>Avenue Lloyd Georgelaan</v>
          </cell>
          <cell r="F864" t="str">
            <v>11</v>
          </cell>
          <cell r="G864" t="str">
            <v/>
          </cell>
          <cell r="H864" t="str">
            <v>1000</v>
          </cell>
          <cell r="I864" t="str">
            <v>Bruxelles</v>
          </cell>
          <cell r="K864" t="str">
            <v>Bruxelles</v>
          </cell>
          <cell r="M864" t="str">
            <v>M</v>
          </cell>
          <cell r="O864" t="str">
            <v>02.645.19.45</v>
          </cell>
          <cell r="P864" t="str">
            <v>02.645.19.86</v>
          </cell>
          <cell r="Q864" t="str">
            <v>CARL.OCKERMAN@NOTARIS.BE</v>
          </cell>
          <cell r="R864">
            <v>3224</v>
          </cell>
        </row>
        <row r="865">
          <cell r="A865">
            <v>864</v>
          </cell>
          <cell r="B865" t="str">
            <v>ODEURS Philip</v>
          </cell>
          <cell r="C865" t="str">
            <v>ODEURS Philip</v>
          </cell>
          <cell r="D865" t="str">
            <v>Notaris</v>
          </cell>
          <cell r="E865" t="str">
            <v>Houtmarkt</v>
          </cell>
          <cell r="F865" t="str">
            <v>3</v>
          </cell>
          <cell r="G865" t="str">
            <v/>
          </cell>
          <cell r="H865" t="str">
            <v>3800</v>
          </cell>
          <cell r="I865" t="str">
            <v>Limburg</v>
          </cell>
          <cell r="K865" t="str">
            <v>Sint-Truiden</v>
          </cell>
          <cell r="M865" t="str">
            <v>M</v>
          </cell>
          <cell r="O865" t="str">
            <v>011.68.22.30</v>
          </cell>
          <cell r="P865" t="str">
            <v>011.67.37.42</v>
          </cell>
          <cell r="Q865" t="str">
            <v>PHILIP.ODEURS@NOTARIS.BE</v>
          </cell>
          <cell r="R865">
            <v>3264</v>
          </cell>
        </row>
        <row r="866">
          <cell r="A866">
            <v>865</v>
          </cell>
          <cell r="B866" t="str">
            <v>OLEMANS Michel</v>
          </cell>
          <cell r="C866" t="str">
            <v>OLEMANS Michel</v>
          </cell>
          <cell r="D866" t="str">
            <v>Notaris</v>
          </cell>
          <cell r="E866" t="str">
            <v>Kasteelstraat</v>
          </cell>
          <cell r="F866" t="str">
            <v>60</v>
          </cell>
          <cell r="G866" t="str">
            <v/>
          </cell>
          <cell r="H866" t="str">
            <v>9660</v>
          </cell>
          <cell r="I866" t="str">
            <v>Oost-Vlaanderen</v>
          </cell>
          <cell r="K866" t="str">
            <v>Brakel</v>
          </cell>
          <cell r="M866" t="str">
            <v>M</v>
          </cell>
          <cell r="O866" t="str">
            <v>055.42.31.70</v>
          </cell>
          <cell r="P866" t="str">
            <v>055.42.67.40</v>
          </cell>
          <cell r="Q866" t="str">
            <v>MICHEL.OLEMANS@NOTARIS.BE</v>
          </cell>
          <cell r="R866">
            <v>2463</v>
          </cell>
        </row>
        <row r="867">
          <cell r="A867">
            <v>866</v>
          </cell>
          <cell r="B867" t="str">
            <v>Notaris Frederic Opsomer BVBA</v>
          </cell>
          <cell r="C867" t="str">
            <v>Opsomer Frederic</v>
          </cell>
          <cell r="D867" t="str">
            <v>Notaris</v>
          </cell>
          <cell r="E867" t="str">
            <v>Doorniksewijk</v>
          </cell>
          <cell r="F867" t="str">
            <v>40</v>
          </cell>
          <cell r="G867" t="str">
            <v/>
          </cell>
          <cell r="H867" t="str">
            <v>8500</v>
          </cell>
          <cell r="I867" t="str">
            <v>West-Vlaanderen</v>
          </cell>
          <cell r="K867" t="str">
            <v>Kortrijk</v>
          </cell>
          <cell r="L867">
            <v>23984</v>
          </cell>
          <cell r="M867" t="str">
            <v>M</v>
          </cell>
          <cell r="O867" t="str">
            <v>056.22.39.08</v>
          </cell>
          <cell r="P867" t="str">
            <v>056.22.94.92</v>
          </cell>
          <cell r="Q867" t="str">
            <v>FREDERIC.OPSOMER@NOTARIS.BE</v>
          </cell>
          <cell r="R867">
            <v>3147</v>
          </cell>
          <cell r="S867" t="str">
            <v>460-0034471-76</v>
          </cell>
        </row>
        <row r="868">
          <cell r="A868">
            <v>867</v>
          </cell>
          <cell r="B868" t="str">
            <v>OSWALD Geneviève</v>
          </cell>
          <cell r="C868" t="str">
            <v>OSWALD Geneviève</v>
          </cell>
          <cell r="D868" t="str">
            <v>Notaris</v>
          </cell>
          <cell r="E868" t="str">
            <v>Avenue de la Libération</v>
          </cell>
          <cell r="F868" t="str">
            <v>34</v>
          </cell>
          <cell r="G868" t="str">
            <v/>
          </cell>
          <cell r="H868" t="str">
            <v>6791</v>
          </cell>
          <cell r="I868" t="str">
            <v>Luxembourg</v>
          </cell>
          <cell r="K868" t="str">
            <v>Athus</v>
          </cell>
          <cell r="M868" t="str">
            <v>Vr</v>
          </cell>
          <cell r="O868" t="str">
            <v>063.38.54.23</v>
          </cell>
          <cell r="P868" t="str">
            <v>063.38.73.57</v>
          </cell>
          <cell r="Q868" t="str">
            <v>GENEVIEVE.OSWALD@NOTAIRE.BE</v>
          </cell>
          <cell r="R868">
            <v>2803</v>
          </cell>
        </row>
        <row r="869">
          <cell r="A869">
            <v>868</v>
          </cell>
          <cell r="B869" t="str">
            <v>INGEVELD Bernadette &amp; OTTE Jérôme</v>
          </cell>
          <cell r="C869" t="str">
            <v>Otte Jérôme</v>
          </cell>
          <cell r="D869" t="str">
            <v>Geassocieerd Notaris</v>
          </cell>
          <cell r="E869" t="str">
            <v>rue de l´Abbaye</v>
          </cell>
          <cell r="F869" t="str">
            <v>54</v>
          </cell>
          <cell r="G869" t="str">
            <v/>
          </cell>
          <cell r="H869" t="str">
            <v>1050</v>
          </cell>
          <cell r="I869" t="str">
            <v>Bruxelles</v>
          </cell>
          <cell r="K869" t="str">
            <v>Bruxelles</v>
          </cell>
          <cell r="M869" t="str">
            <v>M</v>
          </cell>
          <cell r="O869" t="str">
            <v>02.340.00.20</v>
          </cell>
          <cell r="P869" t="str">
            <v>02.343.05.23</v>
          </cell>
          <cell r="Q869" t="str">
            <v>jerome.otte@notaire.be</v>
          </cell>
          <cell r="R869">
            <v>2544</v>
          </cell>
          <cell r="T869">
            <v>38786</v>
          </cell>
        </row>
        <row r="870">
          <cell r="A870">
            <v>869</v>
          </cell>
          <cell r="B870" t="str">
            <v>PAEPS Pierre</v>
          </cell>
          <cell r="C870" t="str">
            <v>PAEPS Pierre</v>
          </cell>
          <cell r="D870" t="str">
            <v>Notaris</v>
          </cell>
          <cell r="E870" t="str">
            <v>Heirbaan</v>
          </cell>
          <cell r="F870" t="str">
            <v>115</v>
          </cell>
          <cell r="G870" t="str">
            <v/>
          </cell>
          <cell r="H870" t="str">
            <v>1830</v>
          </cell>
          <cell r="I870" t="str">
            <v>Vlaams Brabant</v>
          </cell>
          <cell r="K870" t="str">
            <v>Machelen Brabant)</v>
          </cell>
          <cell r="M870" t="str">
            <v>M</v>
          </cell>
          <cell r="O870" t="str">
            <v>02.251.24.80</v>
          </cell>
          <cell r="P870" t="str">
            <v>02.251.81.50</v>
          </cell>
          <cell r="Q870" t="str">
            <v>PIERRE.PAEPS@NOTARIS.BE</v>
          </cell>
          <cell r="R870">
            <v>2997</v>
          </cell>
        </row>
        <row r="871">
          <cell r="A871">
            <v>870</v>
          </cell>
          <cell r="B871" t="str">
            <v>Caeymax Guy &amp; Palsterman Olivier</v>
          </cell>
          <cell r="C871" t="str">
            <v>Palsterman Olivier</v>
          </cell>
          <cell r="D871" t="str">
            <v>Geassocieerd Notaris</v>
          </cell>
          <cell r="E871" t="str">
            <v>rue Van Orleystraat</v>
          </cell>
          <cell r="F871" t="str">
            <v>1</v>
          </cell>
          <cell r="G871" t="str">
            <v/>
          </cell>
          <cell r="H871" t="str">
            <v>1000</v>
          </cell>
          <cell r="I871" t="str">
            <v>Bruxelles</v>
          </cell>
          <cell r="K871" t="str">
            <v>Bruxelles</v>
          </cell>
          <cell r="M871" t="str">
            <v>M</v>
          </cell>
          <cell r="O871" t="str">
            <v>02.219.53.20</v>
          </cell>
          <cell r="P871" t="str">
            <v>02.219.87.67</v>
          </cell>
          <cell r="Q871" t="str">
            <v>Olivier.Palsterman@NOTARIS.BE</v>
          </cell>
          <cell r="R871">
            <v>2571</v>
          </cell>
          <cell r="T871">
            <v>38723</v>
          </cell>
        </row>
        <row r="872">
          <cell r="A872">
            <v>871</v>
          </cell>
          <cell r="B872" t="str">
            <v>PANNEELS-DE SMEDT Liliane</v>
          </cell>
          <cell r="C872" t="str">
            <v>Panneels-DeSmedt Liliane</v>
          </cell>
          <cell r="D872" t="str">
            <v>Notaris</v>
          </cell>
          <cell r="E872" t="str">
            <v>Avenue Alfred Madouxlaan</v>
          </cell>
          <cell r="F872" t="str">
            <v>129</v>
          </cell>
          <cell r="G872" t="str">
            <v/>
          </cell>
          <cell r="H872" t="str">
            <v>1150</v>
          </cell>
          <cell r="I872" t="str">
            <v>Bruxelles</v>
          </cell>
          <cell r="K872" t="str">
            <v>Bruxelles</v>
          </cell>
          <cell r="M872" t="str">
            <v>Vr</v>
          </cell>
          <cell r="O872" t="str">
            <v>02.770.60.34</v>
          </cell>
          <cell r="P872" t="str">
            <v>02.772.30.03</v>
          </cell>
          <cell r="Q872" t="str">
            <v>LILIANE.PANNEELS@NOTARIS.BE</v>
          </cell>
          <cell r="R872">
            <v>2907</v>
          </cell>
        </row>
        <row r="873">
          <cell r="A873">
            <v>872</v>
          </cell>
          <cell r="B873" t="str">
            <v>PARMENTIER André</v>
          </cell>
          <cell r="C873" t="str">
            <v>PARMENTIER André</v>
          </cell>
          <cell r="D873" t="str">
            <v>Notaris</v>
          </cell>
          <cell r="E873" t="str">
            <v>Notre Dame de Haurt</v>
          </cell>
          <cell r="F873" t="str">
            <v>17</v>
          </cell>
          <cell r="G873" t="str">
            <v/>
          </cell>
          <cell r="H873" t="str">
            <v>6953</v>
          </cell>
          <cell r="I873" t="str">
            <v>Luxembourg</v>
          </cell>
          <cell r="K873" t="str">
            <v>Forrières</v>
          </cell>
          <cell r="M873" t="str">
            <v>M</v>
          </cell>
          <cell r="O873" t="str">
            <v>084.21.13.15</v>
          </cell>
          <cell r="P873" t="str">
            <v>084.21.01.04</v>
          </cell>
          <cell r="Q873" t="str">
            <v>ANDRE.PARMENTIER@NOTAIRE.BE</v>
          </cell>
          <cell r="R873">
            <v>2739</v>
          </cell>
        </row>
        <row r="874">
          <cell r="A874">
            <v>873</v>
          </cell>
          <cell r="B874" t="str">
            <v>PATERNOSTER Aude</v>
          </cell>
          <cell r="C874" t="str">
            <v>PATERNOSTER Aude</v>
          </cell>
          <cell r="D874" t="str">
            <v>Notaris</v>
          </cell>
          <cell r="E874" t="str">
            <v>rue Lloyd George</v>
          </cell>
          <cell r="F874" t="str">
            <v>21</v>
          </cell>
          <cell r="G874" t="str">
            <v/>
          </cell>
          <cell r="H874" t="str">
            <v>6200</v>
          </cell>
          <cell r="I874" t="str">
            <v>Hainaut</v>
          </cell>
          <cell r="K874" t="str">
            <v>Châtelineau</v>
          </cell>
          <cell r="M874" t="str">
            <v>Vr</v>
          </cell>
          <cell r="O874" t="str">
            <v>071.38.06.33</v>
          </cell>
          <cell r="P874" t="str">
            <v>071.39.66.86</v>
          </cell>
          <cell r="Q874" t="str">
            <v>AUDE.PATERNOSTER@NOTAIRE.BE</v>
          </cell>
          <cell r="R874">
            <v>3424</v>
          </cell>
        </row>
        <row r="875">
          <cell r="A875">
            <v>874</v>
          </cell>
          <cell r="B875" t="str">
            <v>PAUL Etienne</v>
          </cell>
          <cell r="C875" t="str">
            <v>PAUL Etienne</v>
          </cell>
          <cell r="D875" t="str">
            <v>Notaris</v>
          </cell>
          <cell r="E875" t="str">
            <v>Rue des Evêts</v>
          </cell>
          <cell r="F875" t="str">
            <v>5</v>
          </cell>
          <cell r="G875" t="str">
            <v/>
          </cell>
          <cell r="H875" t="str">
            <v>6980</v>
          </cell>
          <cell r="I875" t="str">
            <v>Luxembourg</v>
          </cell>
          <cell r="K875" t="str">
            <v>La Roche-en-Ardenne</v>
          </cell>
          <cell r="M875" t="str">
            <v>M</v>
          </cell>
          <cell r="O875" t="str">
            <v>084.41.11.18</v>
          </cell>
          <cell r="P875" t="str">
            <v>084.41.24.50</v>
          </cell>
          <cell r="Q875" t="str">
            <v>ETIENNE.PAUL@NOTAIRE.BE</v>
          </cell>
          <cell r="R875">
            <v>3382</v>
          </cell>
        </row>
        <row r="876">
          <cell r="A876">
            <v>875</v>
          </cell>
          <cell r="B876" t="str">
            <v>Pierre PAULUS de CHATELET et Françoise MONTF</v>
          </cell>
          <cell r="C876" t="str">
            <v>PaulusdeChatelet Pierre</v>
          </cell>
          <cell r="D876" t="str">
            <v>Geassocieerd Notaris</v>
          </cell>
          <cell r="E876" t="str">
            <v>rue de l´Eglise</v>
          </cell>
          <cell r="F876" t="str">
            <v>34</v>
          </cell>
          <cell r="G876" t="str">
            <v/>
          </cell>
          <cell r="H876" t="str">
            <v>1330</v>
          </cell>
          <cell r="I876" t="str">
            <v>Brabant Wallon</v>
          </cell>
          <cell r="K876" t="str">
            <v>Rixensart</v>
          </cell>
          <cell r="M876" t="str">
            <v>M</v>
          </cell>
          <cell r="O876" t="str">
            <v>02.653.34.12</v>
          </cell>
          <cell r="P876" t="str">
            <v>02.653.19.53</v>
          </cell>
          <cell r="Q876" t="str">
            <v>PIERRE.PAULUSDECHATELET@NOTAIRE.BE</v>
          </cell>
          <cell r="R876">
            <v>3668</v>
          </cell>
        </row>
        <row r="877">
          <cell r="A877">
            <v>876</v>
          </cell>
          <cell r="B877" t="str">
            <v>PAUPORTE Frédérique</v>
          </cell>
          <cell r="C877" t="str">
            <v>PAUPORTE Frédérique</v>
          </cell>
          <cell r="D877" t="str">
            <v>Notaris</v>
          </cell>
          <cell r="E877" t="str">
            <v>Place de la Liberté</v>
          </cell>
          <cell r="F877" t="str">
            <v>3</v>
          </cell>
          <cell r="G877" t="str">
            <v/>
          </cell>
          <cell r="H877" t="str">
            <v>1000</v>
          </cell>
          <cell r="I877" t="str">
            <v>Bruxelles</v>
          </cell>
          <cell r="K877" t="str">
            <v>Bruxelles</v>
          </cell>
          <cell r="M877" t="str">
            <v>M</v>
          </cell>
          <cell r="O877" t="str">
            <v>02.218.14.17</v>
          </cell>
          <cell r="P877" t="str">
            <v>02.217.73.82</v>
          </cell>
          <cell r="Q877" t="str">
            <v>FREDERIQUE.PAUPORTE@NOTAIRE.BE</v>
          </cell>
          <cell r="R877">
            <v>3389</v>
          </cell>
        </row>
        <row r="878">
          <cell r="A878">
            <v>877</v>
          </cell>
          <cell r="B878" t="str">
            <v>PAUWELS Marc</v>
          </cell>
          <cell r="C878" t="str">
            <v>PAUWELS Marc</v>
          </cell>
          <cell r="D878" t="str">
            <v>Notaris</v>
          </cell>
          <cell r="E878" t="str">
            <v>Place du Chapitre</v>
          </cell>
          <cell r="F878" t="str">
            <v>5</v>
          </cell>
          <cell r="G878" t="str">
            <v/>
          </cell>
          <cell r="H878" t="str">
            <v>6530</v>
          </cell>
          <cell r="I878" t="str">
            <v>Hainaut</v>
          </cell>
          <cell r="K878" t="str">
            <v>Thuin</v>
          </cell>
          <cell r="M878" t="str">
            <v>M</v>
          </cell>
          <cell r="O878" t="str">
            <v>071.59.09.29</v>
          </cell>
          <cell r="P878" t="str">
            <v>071.59.23.00</v>
          </cell>
          <cell r="Q878" t="str">
            <v>MARC.PAUWELS@NOTAIRE.BE</v>
          </cell>
          <cell r="R878">
            <v>3001</v>
          </cell>
        </row>
        <row r="879">
          <cell r="A879">
            <v>878</v>
          </cell>
          <cell r="B879" t="str">
            <v>PEDE Anne</v>
          </cell>
          <cell r="C879" t="str">
            <v>PEDE Anne</v>
          </cell>
          <cell r="D879" t="str">
            <v>Notaris</v>
          </cell>
          <cell r="E879" t="str">
            <v>Ridder Stas De Richellaan</v>
          </cell>
          <cell r="F879" t="str">
            <v>8</v>
          </cell>
          <cell r="G879" t="str">
            <v/>
          </cell>
          <cell r="H879" t="str">
            <v>9820</v>
          </cell>
          <cell r="I879" t="str">
            <v>Oost-Vlaanderen</v>
          </cell>
          <cell r="K879" t="str">
            <v>Bottelare</v>
          </cell>
          <cell r="M879" t="str">
            <v>Vr</v>
          </cell>
          <cell r="O879" t="str">
            <v>09.363.90.90</v>
          </cell>
          <cell r="P879" t="str">
            <v>09.363.90.91</v>
          </cell>
          <cell r="Q879" t="str">
            <v>ANNE.PEDE@NOTARIS.BE</v>
          </cell>
          <cell r="R879">
            <v>2526</v>
          </cell>
        </row>
        <row r="880">
          <cell r="A880">
            <v>879</v>
          </cell>
          <cell r="B880" t="str">
            <v>PEERS Christian &amp; Alexandre</v>
          </cell>
          <cell r="C880" t="str">
            <v>Peers Alexandre</v>
          </cell>
          <cell r="D880" t="str">
            <v>Geassocieerd Notaris</v>
          </cell>
          <cell r="E880" t="str">
            <v>Brusselbaan</v>
          </cell>
          <cell r="F880" t="str">
            <v>160</v>
          </cell>
          <cell r="G880" t="str">
            <v/>
          </cell>
          <cell r="H880" t="str">
            <v>9320</v>
          </cell>
          <cell r="I880" t="str">
            <v>Oost-Vlaanderen</v>
          </cell>
          <cell r="K880" t="str">
            <v>Erembodegem Aalst)</v>
          </cell>
          <cell r="M880" t="str">
            <v>M</v>
          </cell>
          <cell r="O880" t="str">
            <v>053.77.65.01</v>
          </cell>
          <cell r="P880" t="str">
            <v>053.78.78.68</v>
          </cell>
          <cell r="Q880" t="str">
            <v>CHRISTIAN.PEERS@NOTARIS.BE</v>
          </cell>
          <cell r="R880">
            <v>1197</v>
          </cell>
          <cell r="T880">
            <v>38004</v>
          </cell>
        </row>
        <row r="881">
          <cell r="A881">
            <v>880</v>
          </cell>
          <cell r="B881" t="str">
            <v>PEERS Christian &amp; Alexandre</v>
          </cell>
          <cell r="C881" t="str">
            <v>Peers Christian</v>
          </cell>
          <cell r="D881" t="str">
            <v>Geassocieerd Notaris</v>
          </cell>
          <cell r="E881" t="str">
            <v>Brusselbaan</v>
          </cell>
          <cell r="F881" t="str">
            <v>160</v>
          </cell>
          <cell r="G881" t="str">
            <v/>
          </cell>
          <cell r="H881" t="str">
            <v>9320</v>
          </cell>
          <cell r="I881" t="str">
            <v>Oost-Vlaanderen</v>
          </cell>
          <cell r="K881" t="str">
            <v>Erembodegem Aalst)</v>
          </cell>
          <cell r="M881" t="str">
            <v>M</v>
          </cell>
          <cell r="O881" t="str">
            <v>053.77.65.01</v>
          </cell>
          <cell r="P881" t="str">
            <v>053.78.78.68</v>
          </cell>
          <cell r="Q881" t="str">
            <v>CHRISTIAN.PEERS@NOTARIS.BE</v>
          </cell>
          <cell r="R881">
            <v>1197</v>
          </cell>
        </row>
        <row r="882">
          <cell r="A882">
            <v>881</v>
          </cell>
          <cell r="B882" t="str">
            <v>PEERS Jean-Luc</v>
          </cell>
          <cell r="C882" t="str">
            <v>PEERS Jean-Luc</v>
          </cell>
          <cell r="D882" t="str">
            <v>Notaris</v>
          </cell>
          <cell r="E882" t="str">
            <v>Van Helmontstraat</v>
          </cell>
          <cell r="F882" t="str">
            <v>2</v>
          </cell>
          <cell r="G882" t="str">
            <v/>
          </cell>
          <cell r="H882" t="str">
            <v>1800</v>
          </cell>
          <cell r="I882" t="str">
            <v>Vlaams Brabant</v>
          </cell>
          <cell r="K882" t="str">
            <v>Vilvoorde</v>
          </cell>
          <cell r="M882" t="str">
            <v>M</v>
          </cell>
          <cell r="O882" t="str">
            <v>02.251.00.97</v>
          </cell>
          <cell r="P882" t="str">
            <v>02.252.43.68</v>
          </cell>
          <cell r="Q882" t="str">
            <v>JEANLUC.PEERS@NOTARIS.BE</v>
          </cell>
          <cell r="R882">
            <v>3345</v>
          </cell>
        </row>
        <row r="883">
          <cell r="A883">
            <v>882</v>
          </cell>
          <cell r="B883" t="str">
            <v>PHILIPPART Etienne</v>
          </cell>
          <cell r="C883" t="str">
            <v>PHILIPPART Etienne</v>
          </cell>
          <cell r="D883" t="str">
            <v>Notaris</v>
          </cell>
          <cell r="E883" t="str">
            <v>Route de Trois-Ponts</v>
          </cell>
          <cell r="F883" t="str">
            <v>19 A</v>
          </cell>
          <cell r="G883" t="str">
            <v/>
          </cell>
          <cell r="H883" t="str">
            <v>4970</v>
          </cell>
          <cell r="I883" t="str">
            <v>Liège</v>
          </cell>
          <cell r="K883" t="str">
            <v>Stavelot</v>
          </cell>
          <cell r="M883" t="str">
            <v>M</v>
          </cell>
          <cell r="O883" t="str">
            <v>080.86.20.16</v>
          </cell>
          <cell r="P883" t="str">
            <v>080.88.00.43</v>
          </cell>
          <cell r="Q883" t="str">
            <v>ETIENNE.PHILIPPART@NOTAIRE.BE</v>
          </cell>
          <cell r="R883">
            <v>2871</v>
          </cell>
        </row>
        <row r="884">
          <cell r="A884">
            <v>883</v>
          </cell>
          <cell r="B884" t="str">
            <v>PHILIPPE Aimé</v>
          </cell>
          <cell r="C884" t="str">
            <v>PHILIPPE Aimé</v>
          </cell>
          <cell r="D884" t="str">
            <v>Notaris</v>
          </cell>
          <cell r="E884" t="str">
            <v>Rue Schmidt</v>
          </cell>
          <cell r="F884" t="str">
            <v>16</v>
          </cell>
          <cell r="G884" t="str">
            <v/>
          </cell>
          <cell r="H884" t="str">
            <v>6280</v>
          </cell>
          <cell r="I884" t="str">
            <v>Hainaut</v>
          </cell>
          <cell r="K884" t="str">
            <v>Gerpinnes</v>
          </cell>
          <cell r="M884" t="str">
            <v>M</v>
          </cell>
          <cell r="O884" t="str">
            <v>071.50.10.39</v>
          </cell>
          <cell r="P884" t="str">
            <v>071.50.14.89</v>
          </cell>
          <cell r="Q884" t="str">
            <v>AIME.PHILIPPE@NOTAIRE.BE</v>
          </cell>
          <cell r="R884">
            <v>1227</v>
          </cell>
        </row>
        <row r="885">
          <cell r="A885">
            <v>884</v>
          </cell>
          <cell r="B885" t="str">
            <v>PHILIPS André</v>
          </cell>
          <cell r="C885" t="str">
            <v>PHILIPS André</v>
          </cell>
          <cell r="D885" t="str">
            <v>Notaris</v>
          </cell>
          <cell r="E885" t="str">
            <v>Avenue de Jettelaan</v>
          </cell>
          <cell r="F885" t="str">
            <v>45</v>
          </cell>
          <cell r="G885" t="str">
            <v/>
          </cell>
          <cell r="H885" t="str">
            <v>1081</v>
          </cell>
          <cell r="I885" t="str">
            <v>Bruxelles</v>
          </cell>
          <cell r="K885" t="str">
            <v>Bruxelles</v>
          </cell>
          <cell r="M885" t="str">
            <v>M</v>
          </cell>
          <cell r="O885" t="str">
            <v>02.425.58.87</v>
          </cell>
          <cell r="P885" t="str">
            <v>02.425.59.55</v>
          </cell>
          <cell r="Q885" t="str">
            <v>ANDRE.PHILIPS@NOTAIRE.BE</v>
          </cell>
          <cell r="R885">
            <v>1258</v>
          </cell>
        </row>
        <row r="886">
          <cell r="A886">
            <v>885</v>
          </cell>
          <cell r="B886" t="str">
            <v>PICARD Patrick</v>
          </cell>
          <cell r="C886" t="str">
            <v>PICARD Patrick</v>
          </cell>
          <cell r="D886" t="str">
            <v>Notaris</v>
          </cell>
          <cell r="E886" t="str">
            <v>Rue Lambert Dewonck</v>
          </cell>
          <cell r="F886" t="str">
            <v>171</v>
          </cell>
          <cell r="G886" t="str">
            <v/>
          </cell>
          <cell r="H886" t="str">
            <v>4432</v>
          </cell>
          <cell r="I886" t="str">
            <v>Liège</v>
          </cell>
          <cell r="K886" t="str">
            <v>Alleur</v>
          </cell>
          <cell r="M886" t="str">
            <v>M</v>
          </cell>
          <cell r="O886" t="str">
            <v>04.239.89.89</v>
          </cell>
          <cell r="P886" t="str">
            <v>04.239.89.90</v>
          </cell>
          <cell r="Q886" t="str">
            <v>PATRICK.PICARD@NOTAIRE.BE</v>
          </cell>
          <cell r="R886">
            <v>1198</v>
          </cell>
        </row>
        <row r="887">
          <cell r="A887">
            <v>886</v>
          </cell>
          <cell r="B887" t="str">
            <v>BVBA Patrick Pien notaris</v>
          </cell>
          <cell r="C887" t="str">
            <v>Pien Patrick</v>
          </cell>
          <cell r="D887" t="str">
            <v>Notaris</v>
          </cell>
          <cell r="E887" t="str">
            <v>Koningin Astridplein</v>
          </cell>
          <cell r="F887" t="str">
            <v>5</v>
          </cell>
          <cell r="G887" t="str">
            <v/>
          </cell>
          <cell r="H887" t="str">
            <v>9150</v>
          </cell>
          <cell r="I887" t="str">
            <v>Oost-Vlaanderen</v>
          </cell>
          <cell r="K887" t="str">
            <v>Bazel</v>
          </cell>
          <cell r="M887" t="str">
            <v>M</v>
          </cell>
          <cell r="O887" t="str">
            <v>03.774.10.34</v>
          </cell>
          <cell r="P887" t="str">
            <v>03.774.24.89</v>
          </cell>
          <cell r="Q887" t="str">
            <v>patrick.pien@belnot.be</v>
          </cell>
          <cell r="R887">
            <v>392</v>
          </cell>
        </row>
        <row r="888">
          <cell r="A888">
            <v>887</v>
          </cell>
          <cell r="B888" t="str">
            <v>PIERARD Jean-François</v>
          </cell>
          <cell r="C888" t="str">
            <v>PIERARD Jean-François</v>
          </cell>
          <cell r="D888" t="str">
            <v>Notaris</v>
          </cell>
          <cell r="E888" t="str">
            <v>Avenue de la Toison d´Or</v>
          </cell>
          <cell r="F888" t="str">
            <v>30</v>
          </cell>
          <cell r="G888" t="str">
            <v/>
          </cell>
          <cell r="H888" t="str">
            <v>6900</v>
          </cell>
          <cell r="I888" t="str">
            <v>Luxembourg</v>
          </cell>
          <cell r="K888" t="str">
            <v>Marche-en-Famenne</v>
          </cell>
          <cell r="M888" t="str">
            <v>M</v>
          </cell>
          <cell r="O888" t="str">
            <v>084.32.03.20</v>
          </cell>
          <cell r="P888" t="str">
            <v>084.32.03.30</v>
          </cell>
          <cell r="Q888" t="str">
            <v>JEANFRANCOIS.PIERARD@NOTAIRE.BE</v>
          </cell>
          <cell r="R888">
            <v>2957</v>
          </cell>
        </row>
        <row r="889">
          <cell r="A889">
            <v>888</v>
          </cell>
          <cell r="B889" t="str">
            <v>PIETERS Michaël</v>
          </cell>
          <cell r="C889" t="str">
            <v>PIETERS Michaël</v>
          </cell>
          <cell r="D889" t="str">
            <v>Notaris</v>
          </cell>
          <cell r="E889" t="str">
            <v>Aalstersesteenweg</v>
          </cell>
          <cell r="F889" t="str">
            <v>15</v>
          </cell>
          <cell r="G889" t="str">
            <v/>
          </cell>
          <cell r="H889" t="str">
            <v>9400</v>
          </cell>
          <cell r="I889" t="str">
            <v>Oost-Vlaanderen</v>
          </cell>
          <cell r="K889" t="str">
            <v>Ninove</v>
          </cell>
          <cell r="M889" t="str">
            <v>M</v>
          </cell>
          <cell r="O889" t="str">
            <v>054.33.16.71</v>
          </cell>
          <cell r="P889" t="str">
            <v>054.32.93.01</v>
          </cell>
          <cell r="Q889" t="str">
            <v>MICHAEL.PIETERS@NOTARIS.BE</v>
          </cell>
          <cell r="R889">
            <v>3575</v>
          </cell>
        </row>
        <row r="890">
          <cell r="A890">
            <v>889</v>
          </cell>
          <cell r="B890" t="str">
            <v>PIGNEUR Paul</v>
          </cell>
          <cell r="C890" t="str">
            <v>PIGNEUR Paul</v>
          </cell>
          <cell r="D890" t="str">
            <v>Notaris</v>
          </cell>
          <cell r="E890" t="str">
            <v>Place du Perron</v>
          </cell>
          <cell r="F890" t="str">
            <v>23</v>
          </cell>
          <cell r="G890" t="str">
            <v/>
          </cell>
          <cell r="H890" t="str">
            <v>4910</v>
          </cell>
          <cell r="I890" t="str">
            <v>Liège</v>
          </cell>
          <cell r="K890" t="str">
            <v>Theux</v>
          </cell>
          <cell r="M890" t="str">
            <v>M</v>
          </cell>
          <cell r="O890" t="str">
            <v>087.54.13.45</v>
          </cell>
          <cell r="P890" t="str">
            <v>087.54.28.49</v>
          </cell>
          <cell r="Q890" t="str">
            <v>paul.pigneur@belnot.be</v>
          </cell>
          <cell r="R890">
            <v>1233</v>
          </cell>
        </row>
        <row r="891">
          <cell r="A891">
            <v>890</v>
          </cell>
          <cell r="B891" t="str">
            <v>Piret-Gérard Christophe</v>
          </cell>
          <cell r="C891" t="str">
            <v>PiretGérard Christophe</v>
          </cell>
          <cell r="D891" t="str">
            <v>Notaire</v>
          </cell>
          <cell r="E891" t="str">
            <v>rue de Tirlemont</v>
          </cell>
          <cell r="F891">
            <v>1</v>
          </cell>
          <cell r="H891">
            <v>4280</v>
          </cell>
          <cell r="J891" t="str">
            <v>Huy</v>
          </cell>
          <cell r="K891" t="str">
            <v>Hannut</v>
          </cell>
          <cell r="M891" t="str">
            <v>M</v>
          </cell>
          <cell r="O891" t="str">
            <v>019.51.15.14</v>
          </cell>
          <cell r="P891" t="str">
            <v>019.51.42.38</v>
          </cell>
          <cell r="Q891" t="str">
            <v>christophe.piretgerard@notaire.be</v>
          </cell>
          <cell r="S891" t="str">
            <v>068-2430490-85</v>
          </cell>
          <cell r="T891">
            <v>38376</v>
          </cell>
        </row>
        <row r="892">
          <cell r="A892">
            <v>891</v>
          </cell>
          <cell r="B892" t="str">
            <v>ETUDE NOTAIRE DANIEL PIRLET</v>
          </cell>
          <cell r="C892" t="str">
            <v>Pirlet Daniel</v>
          </cell>
          <cell r="D892" t="str">
            <v>Notaris</v>
          </cell>
          <cell r="E892" t="str">
            <v>Rue des Trinitaires</v>
          </cell>
          <cell r="F892" t="str">
            <v>11</v>
          </cell>
          <cell r="G892" t="str">
            <v/>
          </cell>
          <cell r="H892" t="str">
            <v>6600</v>
          </cell>
          <cell r="I892" t="str">
            <v>Luxembourg</v>
          </cell>
          <cell r="K892" t="str">
            <v>Bastogne</v>
          </cell>
          <cell r="M892" t="str">
            <v>M</v>
          </cell>
          <cell r="O892" t="str">
            <v>061.21.11.22</v>
          </cell>
          <cell r="P892" t="str">
            <v>061.21.13.65</v>
          </cell>
          <cell r="Q892" t="str">
            <v>daniel.pirlet@belnot.be</v>
          </cell>
          <cell r="R892">
            <v>3236</v>
          </cell>
        </row>
        <row r="893">
          <cell r="A893">
            <v>892</v>
          </cell>
          <cell r="B893" t="str">
            <v>PIRMOLIN Renaud</v>
          </cell>
          <cell r="C893" t="str">
            <v>PIRMOLIN Renaud</v>
          </cell>
          <cell r="D893" t="str">
            <v>Notaris</v>
          </cell>
          <cell r="E893" t="str">
            <v>Rue des Augustins</v>
          </cell>
          <cell r="F893" t="str">
            <v>38</v>
          </cell>
          <cell r="G893" t="str">
            <v/>
          </cell>
          <cell r="H893" t="str">
            <v>4000</v>
          </cell>
          <cell r="I893" t="str">
            <v>Liège</v>
          </cell>
          <cell r="K893" t="str">
            <v>Liège</v>
          </cell>
          <cell r="M893" t="str">
            <v>M</v>
          </cell>
          <cell r="O893" t="str">
            <v>04.223.26.50</v>
          </cell>
          <cell r="P893" t="str">
            <v>04.223.18.71</v>
          </cell>
          <cell r="Q893" t="str">
            <v>RENAUD.PIRMOLIN@NOTAIRE.BE</v>
          </cell>
          <cell r="R893">
            <v>3116</v>
          </cell>
        </row>
        <row r="894">
          <cell r="A894">
            <v>893</v>
          </cell>
          <cell r="B894" t="str">
            <v>PIRON Alain</v>
          </cell>
          <cell r="C894" t="str">
            <v>PIRON Alain</v>
          </cell>
          <cell r="D894" t="str">
            <v>Notaris</v>
          </cell>
          <cell r="E894" t="str">
            <v>Rue Léopold</v>
          </cell>
          <cell r="F894" t="str">
            <v>26</v>
          </cell>
          <cell r="G894" t="str">
            <v/>
          </cell>
          <cell r="H894" t="str">
            <v>6041</v>
          </cell>
          <cell r="I894" t="str">
            <v>Hainaut</v>
          </cell>
          <cell r="K894" t="str">
            <v>Gosselies</v>
          </cell>
          <cell r="M894" t="str">
            <v>M</v>
          </cell>
          <cell r="O894" t="str">
            <v>071.35.21.26</v>
          </cell>
          <cell r="P894" t="str">
            <v>071.37.14.57</v>
          </cell>
          <cell r="Q894" t="str">
            <v>ALAIN.PIRON@NOTAIRE.BE</v>
          </cell>
          <cell r="R894">
            <v>3057</v>
          </cell>
        </row>
        <row r="895">
          <cell r="A895">
            <v>894</v>
          </cell>
          <cell r="B895" t="str">
            <v>PIRON Philippe</v>
          </cell>
          <cell r="C895" t="str">
            <v>PIRON Philippe</v>
          </cell>
          <cell r="D895" t="str">
            <v>Notaris</v>
          </cell>
          <cell r="E895" t="str">
            <v>Rue de la Houssière</v>
          </cell>
          <cell r="F895" t="str">
            <v>6</v>
          </cell>
          <cell r="G895" t="str">
            <v/>
          </cell>
          <cell r="H895" t="str">
            <v>7000</v>
          </cell>
          <cell r="I895" t="str">
            <v>Hainaut</v>
          </cell>
          <cell r="K895" t="str">
            <v>Mons</v>
          </cell>
          <cell r="M895" t="str">
            <v>M</v>
          </cell>
          <cell r="O895" t="str">
            <v>065.31.77.83</v>
          </cell>
          <cell r="P895" t="str">
            <v>065.31.10.42</v>
          </cell>
          <cell r="Q895" t="str">
            <v>PHILIPPE.PIRON@NOTAIRE.BE</v>
          </cell>
          <cell r="R895">
            <v>2457</v>
          </cell>
        </row>
        <row r="896">
          <cell r="A896">
            <v>895</v>
          </cell>
          <cell r="B896" t="str">
            <v>PIRONNET Chantal</v>
          </cell>
          <cell r="C896" t="str">
            <v>PIRONNET Chantal</v>
          </cell>
          <cell r="D896" t="str">
            <v>Notaris</v>
          </cell>
          <cell r="E896" t="str">
            <v>Rue Maghin</v>
          </cell>
          <cell r="F896" t="str">
            <v>65</v>
          </cell>
          <cell r="G896" t="str">
            <v/>
          </cell>
          <cell r="H896" t="str">
            <v>4000</v>
          </cell>
          <cell r="I896" t="str">
            <v>Liège</v>
          </cell>
          <cell r="K896" t="str">
            <v>Liège</v>
          </cell>
          <cell r="M896" t="str">
            <v>Vr</v>
          </cell>
          <cell r="O896" t="str">
            <v>04.227.77.27</v>
          </cell>
          <cell r="P896" t="str">
            <v>04.227.78.28</v>
          </cell>
          <cell r="Q896" t="str">
            <v>chantal.pironnet@notaire.be</v>
          </cell>
          <cell r="R896">
            <v>2702</v>
          </cell>
          <cell r="S896" t="str">
            <v>068-2458593-58</v>
          </cell>
          <cell r="T896">
            <v>38020</v>
          </cell>
        </row>
        <row r="897">
          <cell r="A897">
            <v>896</v>
          </cell>
          <cell r="B897" t="str">
            <v>PIRSON Michel</v>
          </cell>
          <cell r="C897" t="str">
            <v>PIRSON Michel</v>
          </cell>
          <cell r="D897" t="str">
            <v>Notaris</v>
          </cell>
          <cell r="E897" t="str">
            <v>Rue Pépin</v>
          </cell>
          <cell r="F897" t="str">
            <v>2</v>
          </cell>
          <cell r="G897" t="str">
            <v/>
          </cell>
          <cell r="H897" t="str">
            <v>5000</v>
          </cell>
          <cell r="I897" t="str">
            <v>Namur</v>
          </cell>
          <cell r="K897" t="str">
            <v>Namur</v>
          </cell>
          <cell r="M897" t="str">
            <v>M</v>
          </cell>
          <cell r="O897" t="str">
            <v>081.22.10.00</v>
          </cell>
          <cell r="P897" t="str">
            <v>081.23.00.18</v>
          </cell>
          <cell r="Q897" t="str">
            <v>MICHEL.PIRSON@NOTAIRE.BE</v>
          </cell>
          <cell r="R897">
            <v>1017</v>
          </cell>
        </row>
        <row r="898">
          <cell r="A898">
            <v>897</v>
          </cell>
          <cell r="B898" t="str">
            <v>PLATEUS Paul</v>
          </cell>
          <cell r="C898" t="str">
            <v>PLATEUS Paul</v>
          </cell>
          <cell r="D898" t="str">
            <v>Notaris</v>
          </cell>
          <cell r="E898" t="str">
            <v>Rue de la Province</v>
          </cell>
          <cell r="F898" t="str">
            <v>77</v>
          </cell>
          <cell r="G898" t="str">
            <v/>
          </cell>
          <cell r="H898" t="str">
            <v>4100</v>
          </cell>
          <cell r="I898" t="str">
            <v>Liège</v>
          </cell>
          <cell r="K898" t="str">
            <v>Seraing</v>
          </cell>
          <cell r="M898" t="str">
            <v>M</v>
          </cell>
          <cell r="O898" t="str">
            <v>04.337.00.05</v>
          </cell>
          <cell r="P898" t="str">
            <v>04.336.80.06</v>
          </cell>
          <cell r="Q898" t="str">
            <v>PAUL.PLATEUS@NOTAIRE.BE</v>
          </cell>
          <cell r="R898">
            <v>2825</v>
          </cell>
        </row>
        <row r="899">
          <cell r="A899">
            <v>898</v>
          </cell>
          <cell r="B899" t="str">
            <v>PLATTEAU Jan</v>
          </cell>
          <cell r="C899" t="str">
            <v>PLATTEAU Jan</v>
          </cell>
          <cell r="D899" t="str">
            <v>Notaris</v>
          </cell>
          <cell r="E899" t="str">
            <v>Henri Cartonstraat</v>
          </cell>
          <cell r="F899" t="str">
            <v>15</v>
          </cell>
          <cell r="G899" t="str">
            <v/>
          </cell>
          <cell r="H899" t="str">
            <v>8900</v>
          </cell>
          <cell r="I899" t="str">
            <v>West-Vlaanderen</v>
          </cell>
          <cell r="K899" t="str">
            <v>Ieper</v>
          </cell>
          <cell r="L899">
            <v>18418</v>
          </cell>
          <cell r="M899" t="str">
            <v>M</v>
          </cell>
          <cell r="O899" t="str">
            <v>057.20.58.17</v>
          </cell>
          <cell r="P899" t="str">
            <v>057.21.96.48</v>
          </cell>
          <cell r="Q899" t="str">
            <v>JAN.PLATTEAU@NOTARIS.BE</v>
          </cell>
          <cell r="R899">
            <v>2435</v>
          </cell>
        </row>
        <row r="900">
          <cell r="A900">
            <v>899</v>
          </cell>
          <cell r="B900" t="str">
            <v>PODEVYN Steven</v>
          </cell>
          <cell r="C900" t="str">
            <v>PODEVYN Steven</v>
          </cell>
          <cell r="D900" t="str">
            <v>Notaris</v>
          </cell>
          <cell r="E900" t="str">
            <v>Koning Albertstraat</v>
          </cell>
          <cell r="F900" t="str">
            <v>73</v>
          </cell>
          <cell r="G900" t="str">
            <v/>
          </cell>
          <cell r="H900" t="str">
            <v>1785</v>
          </cell>
          <cell r="I900" t="str">
            <v>Vlaams Brabant</v>
          </cell>
          <cell r="K900" t="str">
            <v>Merchtem</v>
          </cell>
          <cell r="M900" t="str">
            <v>M</v>
          </cell>
          <cell r="O900" t="str">
            <v>052.37.23.33</v>
          </cell>
          <cell r="P900" t="str">
            <v>052.37.12.69</v>
          </cell>
          <cell r="Q900" t="str">
            <v/>
          </cell>
          <cell r="R900">
            <v>758</v>
          </cell>
        </row>
        <row r="901">
          <cell r="A901">
            <v>900</v>
          </cell>
          <cell r="B901" t="str">
            <v>POELEMANS Karin</v>
          </cell>
          <cell r="C901" t="str">
            <v>POELEMANS Karin</v>
          </cell>
          <cell r="D901" t="str">
            <v>Notaris</v>
          </cell>
          <cell r="E901" t="str">
            <v>Eugeen Dierckxlaan</v>
          </cell>
          <cell r="F901" t="str">
            <v>17</v>
          </cell>
          <cell r="G901" t="str">
            <v/>
          </cell>
          <cell r="H901" t="str">
            <v>2970</v>
          </cell>
          <cell r="I901" t="str">
            <v>Antwerpen</v>
          </cell>
          <cell r="K901" t="str">
            <v>Schilde</v>
          </cell>
          <cell r="M901" t="str">
            <v>Vr</v>
          </cell>
          <cell r="O901" t="str">
            <v>03.384.26.81</v>
          </cell>
          <cell r="P901" t="str">
            <v>03.385.08.83</v>
          </cell>
          <cell r="Q901" t="str">
            <v>KARIN.POELEMANS@NOTARIS.BE</v>
          </cell>
          <cell r="R901">
            <v>3139</v>
          </cell>
        </row>
        <row r="902">
          <cell r="A902">
            <v>901</v>
          </cell>
          <cell r="B902" t="str">
            <v>POELMAN Jean-François</v>
          </cell>
          <cell r="C902" t="str">
            <v>POELMAN Jean-François</v>
          </cell>
          <cell r="D902" t="str">
            <v>Notaris</v>
          </cell>
          <cell r="E902" t="str">
            <v>Avenue Emile Maxlaan</v>
          </cell>
          <cell r="F902" t="str">
            <v>165</v>
          </cell>
          <cell r="G902" t="str">
            <v/>
          </cell>
          <cell r="H902" t="str">
            <v>1030</v>
          </cell>
          <cell r="I902" t="str">
            <v>Bruxelles</v>
          </cell>
          <cell r="K902" t="str">
            <v>Bruxelles</v>
          </cell>
          <cell r="M902" t="str">
            <v>M</v>
          </cell>
          <cell r="O902" t="str">
            <v>02.734.50.85</v>
          </cell>
          <cell r="P902" t="str">
            <v>02.734.53.39</v>
          </cell>
          <cell r="Q902" t="str">
            <v>JEANFRANCOIS.POELMAN@NOTAIRE.BE</v>
          </cell>
          <cell r="R902">
            <v>3298</v>
          </cell>
        </row>
        <row r="903">
          <cell r="A903">
            <v>902</v>
          </cell>
          <cell r="B903" t="str">
            <v>POISMANS Pierre  SC - SPRL</v>
          </cell>
          <cell r="C903" t="str">
            <v>Poismans Pierre</v>
          </cell>
          <cell r="D903" t="str">
            <v>Notaris</v>
          </cell>
          <cell r="E903" t="str">
            <v>Bld. des Combattants</v>
          </cell>
          <cell r="F903" t="str">
            <v>33</v>
          </cell>
          <cell r="G903" t="str">
            <v/>
          </cell>
          <cell r="H903" t="str">
            <v>4470</v>
          </cell>
          <cell r="I903" t="str">
            <v>Liège</v>
          </cell>
          <cell r="K903" t="str">
            <v>Saint-Georges-sur-Meuse</v>
          </cell>
          <cell r="M903" t="str">
            <v>M</v>
          </cell>
          <cell r="O903" t="str">
            <v>04.275.10.75</v>
          </cell>
          <cell r="P903" t="str">
            <v>04.275.02.10</v>
          </cell>
          <cell r="Q903" t="str">
            <v>Pierre.Poismans@belnot.be</v>
          </cell>
          <cell r="R903">
            <v>2740</v>
          </cell>
        </row>
        <row r="904">
          <cell r="A904">
            <v>903</v>
          </cell>
          <cell r="B904" t="str">
            <v>POLFLIET Carl</v>
          </cell>
          <cell r="C904" t="str">
            <v>POLFLIET Carl</v>
          </cell>
          <cell r="D904" t="str">
            <v>Notaris</v>
          </cell>
          <cell r="E904" t="str">
            <v>Kaaistraat</v>
          </cell>
          <cell r="F904" t="str">
            <v>8</v>
          </cell>
          <cell r="G904" t="str">
            <v/>
          </cell>
          <cell r="H904" t="str">
            <v>8400</v>
          </cell>
          <cell r="I904" t="str">
            <v>West-Vlaanderen</v>
          </cell>
          <cell r="K904" t="str">
            <v>Oostende</v>
          </cell>
          <cell r="L904">
            <v>20957</v>
          </cell>
          <cell r="M904" t="str">
            <v>M</v>
          </cell>
          <cell r="O904" t="str">
            <v>059.70.12.95</v>
          </cell>
          <cell r="P904" t="str">
            <v>059.80.12.36</v>
          </cell>
          <cell r="Q904" t="str">
            <v>CARL.POLFLIET@NOTARIS.BE</v>
          </cell>
          <cell r="R904">
            <v>3321</v>
          </cell>
        </row>
        <row r="905">
          <cell r="A905">
            <v>904</v>
          </cell>
          <cell r="B905" t="str">
            <v>PONCELET Benjamin</v>
          </cell>
          <cell r="C905" t="str">
            <v>PONCELET Benjamin</v>
          </cell>
          <cell r="D905" t="str">
            <v>Notaris</v>
          </cell>
          <cell r="E905" t="str">
            <v>Rue Lambert Le Bègue</v>
          </cell>
          <cell r="F905" t="str">
            <v>32</v>
          </cell>
          <cell r="G905" t="str">
            <v/>
          </cell>
          <cell r="H905" t="str">
            <v>4000</v>
          </cell>
          <cell r="I905" t="str">
            <v>Liège</v>
          </cell>
          <cell r="K905" t="str">
            <v>Liège</v>
          </cell>
          <cell r="M905" t="str">
            <v>M</v>
          </cell>
          <cell r="O905" t="str">
            <v>04.223.61.58</v>
          </cell>
          <cell r="P905" t="str">
            <v>04.223.75.89</v>
          </cell>
          <cell r="Q905" t="str">
            <v>BENJAMIN.PONCELET@NOTAIRE.BE</v>
          </cell>
          <cell r="R905">
            <v>3460</v>
          </cell>
        </row>
        <row r="906">
          <cell r="A906">
            <v>905</v>
          </cell>
          <cell r="B906" t="str">
            <v>PONCELET Catherine</v>
          </cell>
          <cell r="C906" t="str">
            <v>PONCELET Catherine</v>
          </cell>
          <cell r="D906" t="str">
            <v>Notaris</v>
          </cell>
          <cell r="E906" t="str">
            <v>Rue Parmentier</v>
          </cell>
          <cell r="F906" t="str">
            <v>3</v>
          </cell>
          <cell r="G906" t="str">
            <v/>
          </cell>
          <cell r="H906" t="str">
            <v>1430</v>
          </cell>
          <cell r="I906" t="str">
            <v>Brabant Wallon</v>
          </cell>
          <cell r="K906" t="str">
            <v>Rebecq</v>
          </cell>
          <cell r="M906" t="str">
            <v>Vr</v>
          </cell>
          <cell r="O906" t="str">
            <v>067.33.30.09</v>
          </cell>
          <cell r="P906" t="str">
            <v>067.49.07.38</v>
          </cell>
          <cell r="Q906" t="str">
            <v>CATHERINE.PONCELET@NOTAIRE.BE</v>
          </cell>
          <cell r="R906">
            <v>3587</v>
          </cell>
        </row>
        <row r="907">
          <cell r="A907">
            <v>906</v>
          </cell>
          <cell r="B907" t="str">
            <v>PONCELET Emmanuel</v>
          </cell>
          <cell r="C907" t="str">
            <v>PONCELET Emmanuel</v>
          </cell>
          <cell r="D907" t="str">
            <v>Notaris</v>
          </cell>
          <cell r="E907" t="str">
            <v>Rue de la Haut</v>
          </cell>
          <cell r="F907" t="str">
            <v>10 A</v>
          </cell>
          <cell r="G907" t="str">
            <v/>
          </cell>
          <cell r="H907" t="str">
            <v>6950</v>
          </cell>
          <cell r="I907" t="str">
            <v>Luxembourg</v>
          </cell>
          <cell r="K907" t="str">
            <v>Nassogne</v>
          </cell>
          <cell r="M907" t="str">
            <v>M</v>
          </cell>
          <cell r="O907" t="str">
            <v>084.21.07.13</v>
          </cell>
          <cell r="P907" t="str">
            <v>084.21.07.44</v>
          </cell>
          <cell r="Q907" t="str">
            <v>EMMANUEL.PONCELET@NOTAIRE.BE</v>
          </cell>
          <cell r="R907">
            <v>18</v>
          </cell>
        </row>
        <row r="908">
          <cell r="A908">
            <v>907</v>
          </cell>
          <cell r="B908" t="str">
            <v>PÖNSGEN Louis-Marie</v>
          </cell>
          <cell r="C908" t="str">
            <v>PÖNSGEN Louis-Marie</v>
          </cell>
          <cell r="D908" t="str">
            <v>Notaris</v>
          </cell>
          <cell r="E908" t="str">
            <v>rue de l´Enseignement</v>
          </cell>
          <cell r="F908" t="str">
            <v>33</v>
          </cell>
          <cell r="G908" t="str">
            <v/>
          </cell>
          <cell r="H908" t="str">
            <v>4102</v>
          </cell>
          <cell r="I908" t="str">
            <v>Liège</v>
          </cell>
          <cell r="K908" t="str">
            <v>Ougrée</v>
          </cell>
          <cell r="M908" t="str">
            <v>M</v>
          </cell>
          <cell r="O908" t="str">
            <v>04.337.07.53</v>
          </cell>
          <cell r="P908" t="str">
            <v>04.337.69.86</v>
          </cell>
          <cell r="Q908" t="str">
            <v>louismarie.ponsgen@notaire.be</v>
          </cell>
          <cell r="R908">
            <v>3544</v>
          </cell>
        </row>
        <row r="909">
          <cell r="A909">
            <v>908</v>
          </cell>
          <cell r="B909" t="str">
            <v>sprl Paul Poot notaire</v>
          </cell>
          <cell r="C909" t="str">
            <v>Poot Paul</v>
          </cell>
          <cell r="D909" t="str">
            <v>Notaris</v>
          </cell>
          <cell r="E909" t="str">
            <v>Chaussée de Mons</v>
          </cell>
          <cell r="F909" t="str">
            <v>104</v>
          </cell>
          <cell r="G909" t="str">
            <v/>
          </cell>
          <cell r="H909" t="str">
            <v>1070</v>
          </cell>
          <cell r="I909" t="str">
            <v>Bruxelles</v>
          </cell>
          <cell r="K909" t="str">
            <v>Bruxelles</v>
          </cell>
          <cell r="M909" t="str">
            <v>M</v>
          </cell>
          <cell r="O909" t="str">
            <v>02.521.07.96</v>
          </cell>
          <cell r="P909" t="str">
            <v>02.521.29.09</v>
          </cell>
          <cell r="Q909" t="str">
            <v>PAUL.POOT@NOTARIS.BE</v>
          </cell>
          <cell r="R909">
            <v>2604</v>
          </cell>
        </row>
        <row r="910">
          <cell r="A910">
            <v>909</v>
          </cell>
          <cell r="B910" t="str">
            <v>POPPE Harold</v>
          </cell>
          <cell r="C910" t="str">
            <v>POPPE Harold</v>
          </cell>
          <cell r="D910" t="str">
            <v>Notaris</v>
          </cell>
          <cell r="E910" t="str">
            <v>Noordstraat</v>
          </cell>
          <cell r="F910" t="str">
            <v>6</v>
          </cell>
          <cell r="G910" t="str">
            <v/>
          </cell>
          <cell r="H910" t="str">
            <v>9000</v>
          </cell>
          <cell r="I910" t="str">
            <v>Oost-Vlaanderen</v>
          </cell>
          <cell r="K910" t="str">
            <v>Gent</v>
          </cell>
          <cell r="M910" t="str">
            <v>M</v>
          </cell>
          <cell r="O910" t="str">
            <v>09.225.07.30</v>
          </cell>
          <cell r="P910" t="str">
            <v>09.233.33.86</v>
          </cell>
          <cell r="Q910" t="str">
            <v>HAROLD.POPPE@NOTARIS.BE</v>
          </cell>
          <cell r="R910">
            <v>2920</v>
          </cell>
        </row>
        <row r="911">
          <cell r="A911">
            <v>910</v>
          </cell>
          <cell r="B911" t="str">
            <v>PORTERS Agnes</v>
          </cell>
          <cell r="C911" t="str">
            <v>PORTERS Agnes</v>
          </cell>
          <cell r="D911" t="str">
            <v>Notaris</v>
          </cell>
          <cell r="E911" t="str">
            <v>Essex Scottishlaan</v>
          </cell>
          <cell r="F911" t="str">
            <v>44</v>
          </cell>
          <cell r="G911" t="str">
            <v/>
          </cell>
          <cell r="H911" t="str">
            <v>8434</v>
          </cell>
          <cell r="I911" t="str">
            <v>West-Vlaanderen</v>
          </cell>
          <cell r="K911" t="str">
            <v>Westende</v>
          </cell>
          <cell r="L911">
            <v>16411</v>
          </cell>
          <cell r="M911" t="str">
            <v>Vr</v>
          </cell>
          <cell r="O911" t="str">
            <v>058.23.53.57</v>
          </cell>
          <cell r="P911" t="str">
            <v>058.23.99.34</v>
          </cell>
          <cell r="Q911" t="str">
            <v>AGNES.PORTERS@NOTARIS.BE</v>
          </cell>
          <cell r="R911">
            <v>1199</v>
          </cell>
        </row>
        <row r="912">
          <cell r="A912">
            <v>911</v>
          </cell>
          <cell r="B912" t="str">
            <v>POSSOZ Luc</v>
          </cell>
          <cell r="C912" t="str">
            <v>POSSOZ Luc</v>
          </cell>
          <cell r="D912" t="str">
            <v>Notaris</v>
          </cell>
          <cell r="E912" t="str">
            <v>rue du Commerce</v>
          </cell>
          <cell r="F912" t="str">
            <v>124</v>
          </cell>
          <cell r="G912" t="str">
            <v>bte 1</v>
          </cell>
          <cell r="H912" t="str">
            <v>1000</v>
          </cell>
          <cell r="I912" t="str">
            <v>Bruxelles</v>
          </cell>
          <cell r="K912" t="str">
            <v>Bruxelles</v>
          </cell>
          <cell r="M912" t="str">
            <v>M</v>
          </cell>
          <cell r="O912" t="str">
            <v>02.230.70.55</v>
          </cell>
          <cell r="P912" t="str">
            <v>02.231.11.93</v>
          </cell>
          <cell r="Q912" t="str">
            <v>LUC.POSSOZ@NOTAIRE.BE</v>
          </cell>
          <cell r="R912">
            <v>3261</v>
          </cell>
        </row>
        <row r="913">
          <cell r="A913">
            <v>912</v>
          </cell>
          <cell r="B913" t="str">
            <v>de SCHAETZEN-Pragt</v>
          </cell>
          <cell r="C913" t="str">
            <v>Pragt Katharina</v>
          </cell>
          <cell r="D913" t="str">
            <v>Geassocieerd Notaris</v>
          </cell>
          <cell r="E913" t="str">
            <v>Leopoldwal</v>
          </cell>
          <cell r="F913" t="str">
            <v>26</v>
          </cell>
          <cell r="G913" t="str">
            <v/>
          </cell>
          <cell r="H913" t="str">
            <v>3700</v>
          </cell>
          <cell r="I913" t="str">
            <v>Limburg</v>
          </cell>
          <cell r="K913" t="str">
            <v>Tongeren</v>
          </cell>
          <cell r="M913" t="str">
            <v>Vr</v>
          </cell>
          <cell r="O913" t="str">
            <v>012.23.11.37</v>
          </cell>
          <cell r="P913" t="str">
            <v>012.23.04.97</v>
          </cell>
          <cell r="Q913" t="str">
            <v>katharina.pragt@notaris.be</v>
          </cell>
          <cell r="R913">
            <v>2626</v>
          </cell>
          <cell r="T913">
            <v>38411</v>
          </cell>
        </row>
        <row r="914">
          <cell r="A914">
            <v>913</v>
          </cell>
          <cell r="B914" t="str">
            <v>PREVINAIRE Gérard</v>
          </cell>
          <cell r="C914" t="str">
            <v>PREVINAIRE Gérard</v>
          </cell>
          <cell r="D914" t="str">
            <v>Notaris</v>
          </cell>
          <cell r="E914" t="str">
            <v>Rue du Plope</v>
          </cell>
          <cell r="F914" t="str">
            <v>184</v>
          </cell>
          <cell r="G914" t="str">
            <v/>
          </cell>
          <cell r="H914" t="str">
            <v>4041</v>
          </cell>
          <cell r="I914" t="str">
            <v>Liège</v>
          </cell>
          <cell r="K914" t="str">
            <v>Vottem</v>
          </cell>
          <cell r="M914" t="str">
            <v>M</v>
          </cell>
          <cell r="O914" t="str">
            <v>04.227.32.32</v>
          </cell>
          <cell r="P914" t="str">
            <v>04.227.99.45</v>
          </cell>
          <cell r="Q914" t="str">
            <v>GERARD.PREVINAIRE@NOTAIRE.BE</v>
          </cell>
          <cell r="R914">
            <v>2821</v>
          </cell>
        </row>
        <row r="915">
          <cell r="A915">
            <v>914</v>
          </cell>
          <cell r="B915" t="str">
            <v>PROESMANS Pierre</v>
          </cell>
          <cell r="C915" t="str">
            <v>PROESMANS Pierre</v>
          </cell>
          <cell r="D915" t="str">
            <v>Notaris</v>
          </cell>
          <cell r="E915" t="str">
            <v>Avenue de la Faculté d´Agronomie</v>
          </cell>
          <cell r="F915" t="str">
            <v>10</v>
          </cell>
          <cell r="G915" t="str">
            <v/>
          </cell>
          <cell r="H915" t="str">
            <v>5030</v>
          </cell>
          <cell r="I915" t="str">
            <v>Namur</v>
          </cell>
          <cell r="K915" t="str">
            <v>Gembloux</v>
          </cell>
          <cell r="M915" t="str">
            <v>M</v>
          </cell>
          <cell r="O915" t="str">
            <v>081.62.68.70</v>
          </cell>
          <cell r="P915" t="str">
            <v>081.62.68.71</v>
          </cell>
          <cell r="Q915" t="str">
            <v>PIERRE.PROESMANS@NOTAIRE.BE</v>
          </cell>
          <cell r="R915">
            <v>2424</v>
          </cell>
        </row>
        <row r="916">
          <cell r="A916">
            <v>915</v>
          </cell>
          <cell r="B916" t="str">
            <v>QUAGHEBEUR Maurice Henri</v>
          </cell>
          <cell r="C916" t="str">
            <v>QUAGHEBEUR Maurice Henri</v>
          </cell>
          <cell r="D916" t="str">
            <v>Notaris</v>
          </cell>
          <cell r="E916" t="str">
            <v>Hendrik Serruyslaan</v>
          </cell>
          <cell r="F916" t="str">
            <v>48</v>
          </cell>
          <cell r="G916" t="str">
            <v/>
          </cell>
          <cell r="H916" t="str">
            <v>8400</v>
          </cell>
          <cell r="I916" t="str">
            <v>West-Vlaanderen</v>
          </cell>
          <cell r="K916" t="str">
            <v>Oostende</v>
          </cell>
          <cell r="L916">
            <v>14799</v>
          </cell>
          <cell r="M916" t="str">
            <v>M</v>
          </cell>
          <cell r="O916" t="str">
            <v>059.70.14.64</v>
          </cell>
          <cell r="P916" t="str">
            <v>059.50.63.18</v>
          </cell>
          <cell r="Q916" t="str">
            <v>MAURICEHENRI.QUAGHEBEUR@NOTARIS.BE</v>
          </cell>
          <cell r="R916">
            <v>1026</v>
          </cell>
        </row>
        <row r="917">
          <cell r="A917">
            <v>916</v>
          </cell>
          <cell r="B917" t="str">
            <v>SPRL Quievy Christian</v>
          </cell>
          <cell r="C917" t="str">
            <v>Quievy Christian</v>
          </cell>
          <cell r="D917" t="str">
            <v>Notaris</v>
          </cell>
          <cell r="E917" t="str">
            <v>Avenue du Stade</v>
          </cell>
          <cell r="F917" t="str">
            <v>29</v>
          </cell>
          <cell r="G917" t="str">
            <v/>
          </cell>
          <cell r="H917" t="str">
            <v>7640</v>
          </cell>
          <cell r="I917" t="str">
            <v>Hainaut</v>
          </cell>
          <cell r="K917" t="str">
            <v>Antoing</v>
          </cell>
          <cell r="M917" t="str">
            <v>M</v>
          </cell>
          <cell r="O917" t="str">
            <v>069.44.25.50</v>
          </cell>
          <cell r="P917" t="str">
            <v>069.44.40.60</v>
          </cell>
          <cell r="Q917" t="str">
            <v>CHRISTIAN.QUIEVY@NOTAIRE.BE</v>
          </cell>
          <cell r="R917">
            <v>2855</v>
          </cell>
        </row>
        <row r="918">
          <cell r="A918">
            <v>917</v>
          </cell>
          <cell r="B918" t="str">
            <v>BVBA DEPUYT &amp; RAES</v>
          </cell>
          <cell r="C918" t="str">
            <v>Raes Isabelle</v>
          </cell>
          <cell r="D918" t="str">
            <v>Geassocieerd Notaris</v>
          </cell>
          <cell r="E918" t="str">
            <v>Boulevard du Jubilé</v>
          </cell>
          <cell r="F918" t="str">
            <v>92</v>
          </cell>
          <cell r="G918" t="str">
            <v/>
          </cell>
          <cell r="H918" t="str">
            <v>1080</v>
          </cell>
          <cell r="I918" t="str">
            <v>Bruxelles</v>
          </cell>
          <cell r="K918" t="str">
            <v>Bruxelles</v>
          </cell>
          <cell r="M918" t="str">
            <v>Vr</v>
          </cell>
          <cell r="O918" t="str">
            <v>02.426.34.34</v>
          </cell>
          <cell r="P918" t="str">
            <v>02.424.11.62</v>
          </cell>
          <cell r="Q918" t="str">
            <v>isabelle.raes@notaris.be</v>
          </cell>
          <cell r="R918">
            <v>3498</v>
          </cell>
        </row>
        <row r="919">
          <cell r="A919">
            <v>918</v>
          </cell>
          <cell r="B919" t="str">
            <v>RAICKMAN Philippe</v>
          </cell>
          <cell r="C919" t="str">
            <v>RAICKMAN Philippe</v>
          </cell>
          <cell r="D919" t="str">
            <v>Notaris</v>
          </cell>
          <cell r="E919" t="str">
            <v>Rue F. Nicolay</v>
          </cell>
          <cell r="F919" t="str">
            <v>130</v>
          </cell>
          <cell r="G919" t="str">
            <v/>
          </cell>
          <cell r="H919" t="str">
            <v>4102</v>
          </cell>
          <cell r="I919" t="str">
            <v>Liège</v>
          </cell>
          <cell r="K919" t="str">
            <v>Ougrée</v>
          </cell>
          <cell r="M919" t="str">
            <v>M</v>
          </cell>
          <cell r="O919" t="str">
            <v>04.336.70.57</v>
          </cell>
          <cell r="P919" t="str">
            <v>04.336.88.35</v>
          </cell>
          <cell r="Q919" t="str">
            <v>christophe.declerck@notaire.be</v>
          </cell>
          <cell r="R919">
            <v>3520</v>
          </cell>
        </row>
        <row r="920">
          <cell r="A920">
            <v>919</v>
          </cell>
          <cell r="B920" t="str">
            <v>RANDAXHE Hervé</v>
          </cell>
          <cell r="C920" t="str">
            <v>RANDAXHE Hervé</v>
          </cell>
          <cell r="D920" t="str">
            <v>Notaris</v>
          </cell>
          <cell r="E920" t="str">
            <v>rue de Romsée</v>
          </cell>
          <cell r="F920" t="str">
            <v>2</v>
          </cell>
          <cell r="G920" t="str">
            <v/>
          </cell>
          <cell r="H920" t="str">
            <v>4620</v>
          </cell>
          <cell r="I920" t="str">
            <v>Liège</v>
          </cell>
          <cell r="K920" t="str">
            <v>Fléron</v>
          </cell>
          <cell r="M920" t="str">
            <v>M</v>
          </cell>
          <cell r="O920" t="str">
            <v>04.358.30.20</v>
          </cell>
          <cell r="P920" t="str">
            <v>04.358.19.80</v>
          </cell>
          <cell r="Q920" t="str">
            <v>HERVE.RANDAXHE@NOTAIRE.BE</v>
          </cell>
          <cell r="R920">
            <v>3334</v>
          </cell>
        </row>
        <row r="921">
          <cell r="A921">
            <v>920</v>
          </cell>
          <cell r="B921" t="str">
            <v>RANSQUIN Paul</v>
          </cell>
          <cell r="C921" t="str">
            <v>RANSQUIN Paul</v>
          </cell>
          <cell r="D921" t="str">
            <v>Notaris</v>
          </cell>
          <cell r="E921" t="str">
            <v>Rue Jean Chot</v>
          </cell>
          <cell r="F921" t="str">
            <v>20</v>
          </cell>
          <cell r="G921" t="str">
            <v/>
          </cell>
          <cell r="H921" t="str">
            <v>5670</v>
          </cell>
          <cell r="I921" t="str">
            <v>Namur</v>
          </cell>
          <cell r="K921" t="str">
            <v>Olloy-sur-Viroin</v>
          </cell>
          <cell r="M921" t="str">
            <v>M</v>
          </cell>
          <cell r="O921" t="str">
            <v>060.39.90.08</v>
          </cell>
          <cell r="P921" t="str">
            <v>060.39.04.76</v>
          </cell>
          <cell r="Q921" t="str">
            <v>PAUL.RANSQUIN@NOTAIRE.BE</v>
          </cell>
          <cell r="R921">
            <v>3106</v>
          </cell>
        </row>
        <row r="922">
          <cell r="A922">
            <v>921</v>
          </cell>
          <cell r="B922" t="str">
            <v>RASSON Gabriel</v>
          </cell>
          <cell r="C922" t="str">
            <v>RASSON Gabriel</v>
          </cell>
          <cell r="D922" t="str">
            <v>Notaris</v>
          </cell>
          <cell r="E922" t="str">
            <v>Rue Ernest Solvay</v>
          </cell>
          <cell r="F922" t="str">
            <v>259</v>
          </cell>
          <cell r="G922" t="str">
            <v/>
          </cell>
          <cell r="H922" t="str">
            <v>4000</v>
          </cell>
          <cell r="I922" t="str">
            <v>Liège</v>
          </cell>
          <cell r="K922" t="str">
            <v>Liège</v>
          </cell>
          <cell r="M922" t="str">
            <v>M</v>
          </cell>
          <cell r="O922" t="str">
            <v>04.252.18.72</v>
          </cell>
          <cell r="P922" t="str">
            <v>04.252.95.34</v>
          </cell>
          <cell r="Q922" t="str">
            <v>GABRIEL.RASSON@NOTAIRE.BE</v>
          </cell>
          <cell r="R922">
            <v>3254</v>
          </cell>
        </row>
        <row r="923">
          <cell r="A923">
            <v>922</v>
          </cell>
          <cell r="B923" t="str">
            <v>RAUCENT Paul</v>
          </cell>
          <cell r="C923" t="str">
            <v>RAUCENT Paul</v>
          </cell>
          <cell r="D923" t="str">
            <v>Notaris</v>
          </cell>
          <cell r="E923" t="str">
            <v>Rue Bosquetia</v>
          </cell>
          <cell r="F923" t="str">
            <v>2</v>
          </cell>
          <cell r="G923" t="str">
            <v/>
          </cell>
          <cell r="H923" t="str">
            <v>7080</v>
          </cell>
          <cell r="I923" t="str">
            <v>Hainaut</v>
          </cell>
          <cell r="K923" t="str">
            <v>Frameries</v>
          </cell>
          <cell r="M923" t="str">
            <v>M</v>
          </cell>
          <cell r="O923" t="str">
            <v>065.61.08.59</v>
          </cell>
          <cell r="P923" t="str">
            <v>065.66.87.89</v>
          </cell>
          <cell r="Q923" t="str">
            <v>PAUL.RAUCENT@NOTAIRE.BE</v>
          </cell>
          <cell r="R923">
            <v>3095</v>
          </cell>
        </row>
        <row r="924">
          <cell r="A924">
            <v>923</v>
          </cell>
          <cell r="B924" t="str">
            <v>RAUCQ Gilberte MAQUET Sophie &amp; GERNAIJ Michel</v>
          </cell>
          <cell r="C924" t="str">
            <v>Raucq Gilberte</v>
          </cell>
          <cell r="D924" t="str">
            <v>Geassocieerd Notaris</v>
          </cell>
          <cell r="E924" t="str">
            <v>rue du Monastère</v>
          </cell>
          <cell r="F924" t="str">
            <v>22</v>
          </cell>
          <cell r="G924" t="str">
            <v/>
          </cell>
          <cell r="H924" t="str">
            <v>1000</v>
          </cell>
          <cell r="I924" t="str">
            <v>Bruxelles</v>
          </cell>
          <cell r="K924" t="str">
            <v>Bruxelles</v>
          </cell>
          <cell r="M924" t="str">
            <v>Vr</v>
          </cell>
          <cell r="O924" t="str">
            <v>02.649.71.36</v>
          </cell>
          <cell r="P924" t="str">
            <v>02.649.03.46</v>
          </cell>
          <cell r="Q924" t="str">
            <v>GILBERTE.RAUCQ@NOTAIRE.BE</v>
          </cell>
          <cell r="R924">
            <v>3496</v>
          </cell>
        </row>
        <row r="925">
          <cell r="A925">
            <v>924</v>
          </cell>
          <cell r="B925" t="str">
            <v>RAVET Philippe</v>
          </cell>
          <cell r="C925" t="str">
            <v>RAVET Philippe</v>
          </cell>
          <cell r="D925" t="str">
            <v>Notaris</v>
          </cell>
          <cell r="E925" t="str">
            <v>Route d´Eghezée</v>
          </cell>
          <cell r="F925" t="str">
            <v>163</v>
          </cell>
          <cell r="G925" t="str">
            <v/>
          </cell>
          <cell r="H925" t="str">
            <v>5190</v>
          </cell>
          <cell r="I925" t="str">
            <v>Namur</v>
          </cell>
          <cell r="K925" t="str">
            <v>Jemeppe-sur-Sambre</v>
          </cell>
          <cell r="M925" t="str">
            <v>M</v>
          </cell>
          <cell r="O925" t="str">
            <v>071.78.50.08</v>
          </cell>
          <cell r="P925" t="str">
            <v>071.78.60.88</v>
          </cell>
          <cell r="Q925" t="str">
            <v>PHILIPPE.RAVET@NOTAIRE.BE</v>
          </cell>
          <cell r="R925">
            <v>1035</v>
          </cell>
        </row>
        <row r="926">
          <cell r="A926">
            <v>925</v>
          </cell>
          <cell r="B926" t="str">
            <v>RAXHON Bernard</v>
          </cell>
          <cell r="C926" t="str">
            <v>RAXHON Bernard</v>
          </cell>
          <cell r="D926" t="str">
            <v>Notaris</v>
          </cell>
          <cell r="E926" t="str">
            <v>Rue du Palais</v>
          </cell>
          <cell r="F926" t="str">
            <v>108</v>
          </cell>
          <cell r="G926" t="str">
            <v/>
          </cell>
          <cell r="H926" t="str">
            <v>4800</v>
          </cell>
          <cell r="I926" t="str">
            <v>Liège</v>
          </cell>
          <cell r="K926" t="str">
            <v>Verviers</v>
          </cell>
          <cell r="M926" t="str">
            <v>M</v>
          </cell>
          <cell r="O926" t="str">
            <v>087.22.06.09</v>
          </cell>
          <cell r="P926" t="str">
            <v>087.22.64.00</v>
          </cell>
          <cell r="Q926" t="str">
            <v>BERNARD.RAXHON@NOTAIRE.BE</v>
          </cell>
          <cell r="R926">
            <v>3247</v>
          </cell>
        </row>
        <row r="927">
          <cell r="A927">
            <v>926</v>
          </cell>
          <cell r="B927" t="str">
            <v>REMON Caroline</v>
          </cell>
          <cell r="C927" t="str">
            <v>REMON Caroline</v>
          </cell>
          <cell r="D927" t="str">
            <v>Notaris</v>
          </cell>
          <cell r="E927" t="str">
            <v>Rue Mazy</v>
          </cell>
          <cell r="F927" t="str">
            <v>64</v>
          </cell>
          <cell r="G927" t="str">
            <v/>
          </cell>
          <cell r="H927" t="str">
            <v>5100</v>
          </cell>
          <cell r="I927" t="str">
            <v>Namur</v>
          </cell>
          <cell r="K927" t="str">
            <v>Jambes</v>
          </cell>
          <cell r="M927" t="str">
            <v>Vr</v>
          </cell>
          <cell r="O927" t="str">
            <v>081.30.14.01</v>
          </cell>
          <cell r="P927" t="str">
            <v>081.30.68.48</v>
          </cell>
          <cell r="Q927" t="str">
            <v>CAROLINE.REMON@NOTAIRE.BE</v>
          </cell>
          <cell r="R927">
            <v>2978</v>
          </cell>
        </row>
        <row r="928">
          <cell r="A928">
            <v>927</v>
          </cell>
          <cell r="B928" t="str">
            <v>REMY Béatrice</v>
          </cell>
          <cell r="C928" t="str">
            <v>REMY Béatrice</v>
          </cell>
          <cell r="D928" t="str">
            <v>Notaris</v>
          </cell>
          <cell r="E928" t="str">
            <v>rue Royale</v>
          </cell>
          <cell r="F928" t="str">
            <v>231</v>
          </cell>
          <cell r="G928" t="str">
            <v/>
          </cell>
          <cell r="H928" t="str">
            <v>1210</v>
          </cell>
          <cell r="I928" t="str">
            <v>Bruxelles</v>
          </cell>
          <cell r="K928" t="str">
            <v>Bruxelles</v>
          </cell>
          <cell r="M928" t="str">
            <v>Vr</v>
          </cell>
          <cell r="O928" t="str">
            <v>02.217.65.04</v>
          </cell>
          <cell r="P928" t="str">
            <v>02.217.31.91</v>
          </cell>
          <cell r="Q928" t="str">
            <v>BEATRICE.REMY@NOTAIRE.BE</v>
          </cell>
          <cell r="R928">
            <v>3422</v>
          </cell>
        </row>
        <row r="929">
          <cell r="A929">
            <v>928</v>
          </cell>
          <cell r="B929" t="str">
            <v>RENS Laurent</v>
          </cell>
          <cell r="C929" t="str">
            <v>RENS Laurent</v>
          </cell>
          <cell r="D929" t="str">
            <v>Notaris</v>
          </cell>
          <cell r="E929" t="str">
            <v>Wijngaardstraat</v>
          </cell>
          <cell r="F929" t="str">
            <v>21</v>
          </cell>
          <cell r="G929" t="str">
            <v/>
          </cell>
          <cell r="H929" t="str">
            <v>9500</v>
          </cell>
          <cell r="I929" t="str">
            <v>Oost-Vlaanderen</v>
          </cell>
          <cell r="K929" t="str">
            <v>Geraardsbergen</v>
          </cell>
          <cell r="M929" t="str">
            <v>M</v>
          </cell>
          <cell r="O929" t="str">
            <v>054.41.20.06</v>
          </cell>
          <cell r="P929" t="str">
            <v>054.41.79.56</v>
          </cell>
          <cell r="Q929" t="str">
            <v>LAURENT.RENS@NOTARIS.BE</v>
          </cell>
          <cell r="R929">
            <v>3349</v>
          </cell>
        </row>
        <row r="930">
          <cell r="A930">
            <v>929</v>
          </cell>
          <cell r="B930" t="str">
            <v>RENSON Claude</v>
          </cell>
          <cell r="C930" t="str">
            <v>RENSON Claude</v>
          </cell>
          <cell r="D930" t="str">
            <v>Notaris</v>
          </cell>
          <cell r="E930" t="str">
            <v>Rue de Roubaix</v>
          </cell>
          <cell r="F930" t="str">
            <v>60</v>
          </cell>
          <cell r="G930" t="str">
            <v/>
          </cell>
          <cell r="H930" t="str">
            <v>7520</v>
          </cell>
          <cell r="I930" t="str">
            <v>Hainaut</v>
          </cell>
          <cell r="K930" t="str">
            <v>Templeuve Tournai)</v>
          </cell>
          <cell r="M930" t="str">
            <v>M</v>
          </cell>
          <cell r="O930" t="str">
            <v>069.36.23.00</v>
          </cell>
          <cell r="P930" t="str">
            <v>069.36.23.01</v>
          </cell>
          <cell r="Q930" t="str">
            <v/>
          </cell>
          <cell r="R930">
            <v>1041</v>
          </cell>
        </row>
        <row r="931">
          <cell r="A931">
            <v>930</v>
          </cell>
          <cell r="B931" t="str">
            <v>REUL Vincent</v>
          </cell>
          <cell r="C931" t="str">
            <v>REUL Vincent</v>
          </cell>
          <cell r="D931" t="str">
            <v>Notaris</v>
          </cell>
          <cell r="E931" t="str">
            <v>Place Roosevelt</v>
          </cell>
          <cell r="F931" t="str">
            <v>1</v>
          </cell>
          <cell r="G931" t="str">
            <v/>
          </cell>
          <cell r="H931" t="str">
            <v>7140</v>
          </cell>
          <cell r="I931" t="str">
            <v>Hainaut</v>
          </cell>
          <cell r="K931" t="str">
            <v>Morlanwelz</v>
          </cell>
          <cell r="M931" t="str">
            <v>M</v>
          </cell>
          <cell r="O931" t="str">
            <v>064.44.23.06</v>
          </cell>
          <cell r="P931" t="str">
            <v>064.44.82.40</v>
          </cell>
          <cell r="Q931" t="str">
            <v>VINCENT.REUL@NOTAIRE.BE</v>
          </cell>
          <cell r="R931">
            <v>3138</v>
          </cell>
        </row>
        <row r="932">
          <cell r="A932">
            <v>931</v>
          </cell>
          <cell r="B932" t="str">
            <v>RIJCKAERT Jacques</v>
          </cell>
          <cell r="C932" t="str">
            <v>RIJCKAERT Jacques</v>
          </cell>
          <cell r="D932" t="str">
            <v>Notaris</v>
          </cell>
          <cell r="E932" t="str">
            <v>Rue de Verviers</v>
          </cell>
          <cell r="F932" t="str">
            <v>10</v>
          </cell>
          <cell r="G932" t="str">
            <v/>
          </cell>
          <cell r="H932" t="str">
            <v>4700</v>
          </cell>
          <cell r="I932" t="str">
            <v>Liège</v>
          </cell>
          <cell r="K932" t="str">
            <v>Eupen</v>
          </cell>
          <cell r="M932" t="str">
            <v>M</v>
          </cell>
          <cell r="O932" t="str">
            <v>087.59.53.70</v>
          </cell>
          <cell r="P932" t="str">
            <v>087.74.38.27</v>
          </cell>
          <cell r="Q932" t="str">
            <v>JACQUES.RIJCKAERT@NOTAIRE.BE</v>
          </cell>
          <cell r="R932">
            <v>3280</v>
          </cell>
        </row>
        <row r="933">
          <cell r="A933">
            <v>932</v>
          </cell>
          <cell r="B933" t="str">
            <v>ROBBERECHTS An</v>
          </cell>
          <cell r="C933" t="str">
            <v>ROBBERECHTS An</v>
          </cell>
          <cell r="D933" t="str">
            <v>Notaris</v>
          </cell>
          <cell r="E933" t="str">
            <v>Molenstraat</v>
          </cell>
          <cell r="F933" t="str">
            <v>87</v>
          </cell>
          <cell r="G933" t="str">
            <v/>
          </cell>
          <cell r="H933" t="str">
            <v>1840</v>
          </cell>
          <cell r="I933" t="str">
            <v>Vlaams Brabant</v>
          </cell>
          <cell r="K933" t="str">
            <v>Londerzeel</v>
          </cell>
          <cell r="M933" t="str">
            <v>Vr</v>
          </cell>
          <cell r="O933" t="str">
            <v>052.30.90.07</v>
          </cell>
          <cell r="P933" t="str">
            <v>052.30.43.85</v>
          </cell>
          <cell r="Q933" t="str">
            <v>AN.ROBBERECHTS@NOTARIS.BE</v>
          </cell>
          <cell r="R933">
            <v>3560</v>
          </cell>
        </row>
        <row r="934">
          <cell r="A934">
            <v>933</v>
          </cell>
          <cell r="B934" t="str">
            <v>ROBBERECHTS Martine</v>
          </cell>
          <cell r="C934" t="str">
            <v>ROBBERECHTS Martine</v>
          </cell>
          <cell r="D934" t="str">
            <v>Notaris</v>
          </cell>
          <cell r="E934" t="str">
            <v>Stationsstraat</v>
          </cell>
          <cell r="F934" t="str">
            <v>76</v>
          </cell>
          <cell r="G934" t="str">
            <v/>
          </cell>
          <cell r="H934" t="str">
            <v>1930</v>
          </cell>
          <cell r="I934" t="str">
            <v>Vlaams Brabant</v>
          </cell>
          <cell r="K934" t="str">
            <v>Zaventem</v>
          </cell>
          <cell r="M934" t="str">
            <v>Vr</v>
          </cell>
          <cell r="O934" t="str">
            <v>02.720.01.77</v>
          </cell>
          <cell r="P934" t="str">
            <v>02.721.47.34</v>
          </cell>
          <cell r="Q934" t="str">
            <v>MARTINE.ROBBERECHTS@NOTARIS.BE</v>
          </cell>
          <cell r="R934">
            <v>2877</v>
          </cell>
        </row>
        <row r="935">
          <cell r="A935">
            <v>934</v>
          </cell>
          <cell r="B935" t="str">
            <v>ROBBERTS Lucien</v>
          </cell>
          <cell r="C935" t="str">
            <v>ROBBERTS Lucien</v>
          </cell>
          <cell r="D935" t="str">
            <v>Notaris</v>
          </cell>
          <cell r="E935" t="str">
            <v>Rue Laoureux</v>
          </cell>
          <cell r="F935" t="str">
            <v>24</v>
          </cell>
          <cell r="G935" t="str">
            <v/>
          </cell>
          <cell r="H935" t="str">
            <v>4800</v>
          </cell>
          <cell r="I935" t="str">
            <v>Liège</v>
          </cell>
          <cell r="K935" t="str">
            <v>Verviers</v>
          </cell>
          <cell r="M935" t="str">
            <v>M</v>
          </cell>
          <cell r="O935" t="str">
            <v>087.33.04.60</v>
          </cell>
          <cell r="P935" t="str">
            <v>087.33.98.66</v>
          </cell>
          <cell r="Q935" t="str">
            <v>LUCIEN.ROBBERTS@NOTAIRE.BE</v>
          </cell>
          <cell r="R935">
            <v>2498</v>
          </cell>
        </row>
        <row r="936">
          <cell r="A936">
            <v>935</v>
          </cell>
          <cell r="B936" t="str">
            <v>HOLLANDERS &amp; ROBERTI BV BVBA</v>
          </cell>
          <cell r="C936" t="str">
            <v>RobertideWinghe Guillaume</v>
          </cell>
          <cell r="D936" t="str">
            <v>Geassocieerd Notaris</v>
          </cell>
          <cell r="E936" t="str">
            <v>Naamsestraat</v>
          </cell>
          <cell r="F936" t="str">
            <v>37</v>
          </cell>
          <cell r="G936" t="str">
            <v/>
          </cell>
          <cell r="H936" t="str">
            <v>3000</v>
          </cell>
          <cell r="I936" t="str">
            <v>Vlaams Brabant</v>
          </cell>
          <cell r="K936" t="str">
            <v>Leuven</v>
          </cell>
          <cell r="M936" t="str">
            <v>M</v>
          </cell>
          <cell r="O936" t="str">
            <v>016.22.33.44</v>
          </cell>
          <cell r="P936" t="str">
            <v>016.24.41.41</v>
          </cell>
          <cell r="Q936" t="str">
            <v>GUILLAUME.ROBERTIDEWINGHE@NOTARIS.BE</v>
          </cell>
          <cell r="R936">
            <v>3486</v>
          </cell>
        </row>
        <row r="937">
          <cell r="A937">
            <v>936</v>
          </cell>
          <cell r="B937" t="str">
            <v>ROBEYNS Michel</v>
          </cell>
          <cell r="C937" t="str">
            <v>ROBEYNS Michel</v>
          </cell>
          <cell r="D937" t="str">
            <v>Notaris</v>
          </cell>
          <cell r="E937" t="str">
            <v>Schuttershofstraat</v>
          </cell>
          <cell r="F937" t="str">
            <v>45</v>
          </cell>
          <cell r="G937" t="str">
            <v/>
          </cell>
          <cell r="H937" t="str">
            <v>2000</v>
          </cell>
          <cell r="I937" t="str">
            <v>Antwerpen</v>
          </cell>
          <cell r="K937" t="str">
            <v>Antwerpen</v>
          </cell>
          <cell r="M937" t="str">
            <v>M</v>
          </cell>
          <cell r="O937" t="str">
            <v>03.201.53.30</v>
          </cell>
          <cell r="P937" t="str">
            <v>03.231.45.72</v>
          </cell>
          <cell r="Q937" t="str">
            <v>michel.robeyns@belnot.be</v>
          </cell>
          <cell r="R937">
            <v>3301</v>
          </cell>
        </row>
        <row r="938">
          <cell r="A938">
            <v>937</v>
          </cell>
          <cell r="B938" t="str">
            <v>Notaris Luc Rochtus BVBA</v>
          </cell>
          <cell r="C938" t="str">
            <v>Rochtus Luc</v>
          </cell>
          <cell r="D938" t="str">
            <v>Notaris</v>
          </cell>
          <cell r="E938" t="str">
            <v>Van Breestraat</v>
          </cell>
          <cell r="F938" t="str">
            <v>33</v>
          </cell>
          <cell r="G938" t="str">
            <v/>
          </cell>
          <cell r="H938" t="str">
            <v>2018</v>
          </cell>
          <cell r="I938" t="str">
            <v>Antwerpen</v>
          </cell>
          <cell r="K938" t="str">
            <v>Antwerpen</v>
          </cell>
          <cell r="M938" t="str">
            <v>M</v>
          </cell>
          <cell r="O938" t="str">
            <v>03.233.17.66</v>
          </cell>
          <cell r="P938" t="str">
            <v>03.231.59.75</v>
          </cell>
          <cell r="Q938" t="str">
            <v>LUC.ROCHTUS@NOTARIS.BE</v>
          </cell>
          <cell r="R938">
            <v>1257</v>
          </cell>
        </row>
        <row r="939">
          <cell r="A939">
            <v>938</v>
          </cell>
          <cell r="B939" t="str">
            <v>BVBA Notaris Luc Roegiers</v>
          </cell>
          <cell r="C939" t="str">
            <v>Roegiers Luc</v>
          </cell>
          <cell r="D939" t="str">
            <v>Notaris</v>
          </cell>
          <cell r="E939" t="str">
            <v>Dorp</v>
          </cell>
          <cell r="F939" t="str">
            <v>38</v>
          </cell>
          <cell r="G939" t="str">
            <v/>
          </cell>
          <cell r="H939" t="str">
            <v>9185</v>
          </cell>
          <cell r="I939" t="str">
            <v>Oost-Vlaanderen</v>
          </cell>
          <cell r="K939" t="str">
            <v>Wachtebeke</v>
          </cell>
          <cell r="M939" t="str">
            <v>M</v>
          </cell>
          <cell r="O939" t="str">
            <v>09.342.20.40</v>
          </cell>
          <cell r="P939" t="str">
            <v>09.342.20.41</v>
          </cell>
          <cell r="Q939" t="str">
            <v>LUC.ROEGIERS@NOTARIS.BE</v>
          </cell>
          <cell r="R939">
            <v>2611</v>
          </cell>
        </row>
        <row r="940">
          <cell r="A940">
            <v>939</v>
          </cell>
          <cell r="B940" t="str">
            <v>ROELS van KERCKVOORDE Baudouin</v>
          </cell>
          <cell r="C940" t="str">
            <v>RoelsvanKerckvoorde Baudouin</v>
          </cell>
          <cell r="D940" t="str">
            <v>Notaris</v>
          </cell>
          <cell r="E940" t="str">
            <v>Eikenlaan</v>
          </cell>
          <cell r="F940" t="str">
            <v>1</v>
          </cell>
          <cell r="G940" t="str">
            <v/>
          </cell>
          <cell r="H940" t="str">
            <v>3950</v>
          </cell>
          <cell r="I940" t="str">
            <v>Limburg</v>
          </cell>
          <cell r="K940" t="str">
            <v>Bocholt</v>
          </cell>
          <cell r="M940" t="str">
            <v>M</v>
          </cell>
          <cell r="O940" t="str">
            <v>089.46.42.68</v>
          </cell>
          <cell r="P940" t="str">
            <v>089.47.17.74</v>
          </cell>
          <cell r="Q940" t="str">
            <v>BAUDOUIN.ROELSVANKERCKVOORDE@NOTARIS.BE</v>
          </cell>
          <cell r="R940">
            <v>1248</v>
          </cell>
        </row>
        <row r="941">
          <cell r="A941">
            <v>940</v>
          </cell>
          <cell r="B941" t="str">
            <v>JOSEPH ROEVENS &amp; CHRIS CELIS</v>
          </cell>
          <cell r="C941" t="str">
            <v>Roevens Joseph</v>
          </cell>
          <cell r="D941" t="str">
            <v>Geassocieerd Notaris</v>
          </cell>
          <cell r="E941" t="str">
            <v>Door Verstraetelei</v>
          </cell>
          <cell r="F941" t="str">
            <v>38</v>
          </cell>
          <cell r="G941" t="str">
            <v/>
          </cell>
          <cell r="H941" t="str">
            <v>2930</v>
          </cell>
          <cell r="I941" t="str">
            <v>Antwerpen</v>
          </cell>
          <cell r="K941" t="str">
            <v>Brasschaat</v>
          </cell>
          <cell r="M941" t="str">
            <v>M</v>
          </cell>
          <cell r="O941" t="str">
            <v>03.651.62.11</v>
          </cell>
          <cell r="P941" t="str">
            <v>03.651.77.85</v>
          </cell>
          <cell r="Q941" t="str">
            <v>JOSEPH.ROEVENS@NOTARIS.BE</v>
          </cell>
          <cell r="R941">
            <v>3516</v>
          </cell>
        </row>
        <row r="942">
          <cell r="A942">
            <v>941</v>
          </cell>
          <cell r="B942" t="str">
            <v>ROGER Yves</v>
          </cell>
          <cell r="C942" t="str">
            <v>ROGER Yves</v>
          </cell>
          <cell r="D942" t="str">
            <v>Notaris</v>
          </cell>
          <cell r="E942" t="str">
            <v>Rue Saint-Martin</v>
          </cell>
          <cell r="F942" t="str">
            <v>8</v>
          </cell>
          <cell r="G942" t="str">
            <v/>
          </cell>
          <cell r="H942" t="str">
            <v>6567</v>
          </cell>
          <cell r="I942" t="str">
            <v>Hainaut</v>
          </cell>
          <cell r="K942" t="str">
            <v>Merbes-le-Château</v>
          </cell>
          <cell r="M942" t="str">
            <v>M</v>
          </cell>
          <cell r="O942" t="str">
            <v>071.55.50.75</v>
          </cell>
          <cell r="P942" t="str">
            <v>071.55.85.43</v>
          </cell>
          <cell r="Q942" t="str">
            <v>YVES.ROGER@NOTAIRE.BE</v>
          </cell>
          <cell r="R942">
            <v>2553</v>
          </cell>
          <cell r="T942">
            <v>38491</v>
          </cell>
        </row>
        <row r="943">
          <cell r="A943">
            <v>942</v>
          </cell>
          <cell r="B943" t="str">
            <v>ROGGEMAN Katrin</v>
          </cell>
          <cell r="C943" t="str">
            <v>ROGGEMAN Katrin</v>
          </cell>
          <cell r="D943" t="str">
            <v>Geassocieerd Notaris</v>
          </cell>
          <cell r="E943" t="str">
            <v>rue de l´Association</v>
          </cell>
          <cell r="F943" t="str">
            <v>30</v>
          </cell>
          <cell r="G943" t="str">
            <v/>
          </cell>
          <cell r="H943" t="str">
            <v>1000</v>
          </cell>
          <cell r="I943" t="str">
            <v>Bruxelles</v>
          </cell>
          <cell r="K943" t="str">
            <v>Bruxelles</v>
          </cell>
          <cell r="M943" t="str">
            <v>Vr</v>
          </cell>
          <cell r="O943" t="str">
            <v>02.227.58.10</v>
          </cell>
          <cell r="P943" t="str">
            <v>02.218.20.27</v>
          </cell>
          <cell r="Q943" t="str">
            <v>katrin.roggeman@notaris.be</v>
          </cell>
          <cell r="T943">
            <v>38254</v>
          </cell>
        </row>
        <row r="944">
          <cell r="A944">
            <v>943</v>
          </cell>
          <cell r="B944" t="str">
            <v>ROMBEAU Dominique</v>
          </cell>
          <cell r="C944" t="str">
            <v>ROMBEAU Dominique</v>
          </cell>
          <cell r="D944" t="str">
            <v>Notaris</v>
          </cell>
          <cell r="E944" t="str">
            <v>rue Jacqmain</v>
          </cell>
          <cell r="F944" t="str">
            <v>29</v>
          </cell>
          <cell r="G944" t="str">
            <v/>
          </cell>
          <cell r="H944" t="str">
            <v>6040</v>
          </cell>
          <cell r="I944" t="str">
            <v>Hainaut</v>
          </cell>
          <cell r="K944" t="str">
            <v>Jumet Charleroi)</v>
          </cell>
          <cell r="M944" t="str">
            <v>Vr</v>
          </cell>
          <cell r="O944" t="str">
            <v>071.35.11.95</v>
          </cell>
          <cell r="P944" t="str">
            <v>071.35.71.18</v>
          </cell>
          <cell r="Q944" t="str">
            <v>DOMINIQUE.ROMBEAU@NOTAIRE.BE</v>
          </cell>
          <cell r="R944">
            <v>3383</v>
          </cell>
        </row>
        <row r="945">
          <cell r="A945">
            <v>944</v>
          </cell>
          <cell r="B945" t="str">
            <v>ROMMENS Paul</v>
          </cell>
          <cell r="C945" t="str">
            <v>ROMMENS Paul</v>
          </cell>
          <cell r="D945" t="str">
            <v>Notaris</v>
          </cell>
          <cell r="E945" t="str">
            <v>Meerseweg</v>
          </cell>
          <cell r="F945" t="str">
            <v>16</v>
          </cell>
          <cell r="G945" t="str">
            <v/>
          </cell>
          <cell r="H945" t="str">
            <v>2321</v>
          </cell>
          <cell r="I945" t="str">
            <v>Antwerpen</v>
          </cell>
          <cell r="K945" t="str">
            <v>Meer</v>
          </cell>
          <cell r="M945" t="str">
            <v>M</v>
          </cell>
          <cell r="O945" t="str">
            <v>03.315.71.67</v>
          </cell>
          <cell r="P945" t="str">
            <v>03.315.71.29</v>
          </cell>
          <cell r="Q945" t="str">
            <v>PAUL.ROMMENS@NOTARIS.BE</v>
          </cell>
          <cell r="R945">
            <v>3374</v>
          </cell>
        </row>
        <row r="946">
          <cell r="A946">
            <v>945</v>
          </cell>
          <cell r="B946" t="str">
            <v>ROOMAN Jean-Pierre</v>
          </cell>
          <cell r="C946" t="str">
            <v>ROOMAN Jean-Pierre</v>
          </cell>
          <cell r="D946" t="str">
            <v>Notaris</v>
          </cell>
          <cell r="E946" t="str">
            <v>Diestsestraat</v>
          </cell>
          <cell r="F946" t="str">
            <v>77</v>
          </cell>
          <cell r="G946" t="str">
            <v/>
          </cell>
          <cell r="H946" t="str">
            <v>3000</v>
          </cell>
          <cell r="I946" t="str">
            <v>Vlaams Brabant</v>
          </cell>
          <cell r="K946" t="str">
            <v>Leuven</v>
          </cell>
          <cell r="M946" t="str">
            <v>M</v>
          </cell>
          <cell r="O946" t="str">
            <v>016.22.16.87</v>
          </cell>
          <cell r="P946" t="str">
            <v>016.22.06.26</v>
          </cell>
          <cell r="Q946" t="str">
            <v>JEANPIERRE.ROOMAN@NOTARIS.BE</v>
          </cell>
          <cell r="R946">
            <v>2922</v>
          </cell>
        </row>
        <row r="947">
          <cell r="A947">
            <v>946</v>
          </cell>
          <cell r="B947" t="str">
            <v>TOBBACK WELLEKENS en ROOMS</v>
          </cell>
          <cell r="C947" t="str">
            <v>Rooms Johan</v>
          </cell>
          <cell r="D947" t="str">
            <v>Geassocieerd Notaris</v>
          </cell>
          <cell r="E947" t="str">
            <v>H. Spillemaeckersstraat</v>
          </cell>
          <cell r="F947" t="str">
            <v>50</v>
          </cell>
          <cell r="G947" t="str">
            <v/>
          </cell>
          <cell r="H947" t="str">
            <v>2850</v>
          </cell>
          <cell r="I947" t="str">
            <v>Antwerpen</v>
          </cell>
          <cell r="K947" t="str">
            <v>Boom</v>
          </cell>
          <cell r="M947" t="str">
            <v>M</v>
          </cell>
          <cell r="O947" t="str">
            <v>03.888.02.05</v>
          </cell>
          <cell r="P947" t="str">
            <v>03.844.46.79</v>
          </cell>
          <cell r="Q947" t="str">
            <v>johan.rooms@belnot.be</v>
          </cell>
          <cell r="R947">
            <v>3483</v>
          </cell>
        </row>
        <row r="948">
          <cell r="A948">
            <v>947</v>
          </cell>
          <cell r="B948" t="str">
            <v>ROOSENS Rik</v>
          </cell>
          <cell r="C948" t="str">
            <v>ROOSENS Rik</v>
          </cell>
          <cell r="D948" t="str">
            <v>Notaris</v>
          </cell>
          <cell r="E948" t="str">
            <v>Van der Aastraat</v>
          </cell>
          <cell r="F948" t="str">
            <v>30</v>
          </cell>
          <cell r="G948" t="str">
            <v/>
          </cell>
          <cell r="H948" t="str">
            <v>1831</v>
          </cell>
          <cell r="I948" t="str">
            <v>Vlaams Brabant</v>
          </cell>
          <cell r="K948" t="str">
            <v>Diegem</v>
          </cell>
          <cell r="M948" t="str">
            <v>M</v>
          </cell>
          <cell r="O948" t="str">
            <v>02.720.38.78</v>
          </cell>
          <cell r="P948" t="str">
            <v>02.725.24.34</v>
          </cell>
          <cell r="Q948" t="str">
            <v>RIK.ROOSENS@NOTARIS.BE</v>
          </cell>
          <cell r="R948">
            <v>3077</v>
          </cell>
          <cell r="S948" t="str">
            <v>000-0087312-12</v>
          </cell>
          <cell r="T948">
            <v>34018</v>
          </cell>
        </row>
        <row r="949">
          <cell r="A949">
            <v>948</v>
          </cell>
          <cell r="B949" t="str">
            <v>ROTTIER Joseph</v>
          </cell>
          <cell r="C949" t="str">
            <v>ROTTIER Joseph</v>
          </cell>
          <cell r="D949" t="str">
            <v>Notaris</v>
          </cell>
          <cell r="E949" t="str">
            <v>Guido Gezellestraat</v>
          </cell>
          <cell r="F949" t="str">
            <v>113-115</v>
          </cell>
          <cell r="G949" t="str">
            <v/>
          </cell>
          <cell r="H949" t="str">
            <v>9470</v>
          </cell>
          <cell r="I949" t="str">
            <v>Oost-Vlaanderen</v>
          </cell>
          <cell r="K949" t="str">
            <v>Denderleeuw</v>
          </cell>
          <cell r="M949" t="str">
            <v>M</v>
          </cell>
          <cell r="O949" t="str">
            <v>053.66.60.20</v>
          </cell>
          <cell r="P949" t="str">
            <v>053.66.77.12</v>
          </cell>
          <cell r="Q949" t="str">
            <v>JOSEPH.ROTTIER@NOTARIS.BE</v>
          </cell>
          <cell r="R949">
            <v>2458</v>
          </cell>
        </row>
        <row r="950">
          <cell r="A950">
            <v>949</v>
          </cell>
          <cell r="B950" t="str">
            <v>G. STAS DE RICHELLE &amp; D. ROULEZ SPRL</v>
          </cell>
          <cell r="C950" t="str">
            <v>Roulez Dominique</v>
          </cell>
          <cell r="D950" t="str">
            <v>Geassocieerd Notaris</v>
          </cell>
          <cell r="E950" t="str">
            <v>Chaussée de Bruxelles</v>
          </cell>
          <cell r="F950" t="str">
            <v>95</v>
          </cell>
          <cell r="G950" t="str">
            <v/>
          </cell>
          <cell r="H950" t="str">
            <v>1410</v>
          </cell>
          <cell r="I950" t="str">
            <v>Brabant Wallon</v>
          </cell>
          <cell r="K950" t="str">
            <v>Waterloo</v>
          </cell>
          <cell r="M950" t="str">
            <v>M</v>
          </cell>
          <cell r="O950" t="str">
            <v>02.354.01.85</v>
          </cell>
          <cell r="P950" t="str">
            <v>02.354.36.46</v>
          </cell>
          <cell r="Q950" t="str">
            <v>DOMINIQUE.ROULEZ@NOTAIRE.BE</v>
          </cell>
          <cell r="R950">
            <v>3590</v>
          </cell>
        </row>
        <row r="951">
          <cell r="A951">
            <v>950</v>
          </cell>
          <cell r="B951" t="str">
            <v>PIERRE VAN DEN EYNDE &amp; LORETTE ROUSSEAU SPRL</v>
          </cell>
          <cell r="C951" t="str">
            <v>Rousseau Lorette</v>
          </cell>
          <cell r="D951" t="str">
            <v>Geassocieerd Notaris</v>
          </cell>
          <cell r="E951" t="str">
            <v>rue Royale</v>
          </cell>
          <cell r="F951" t="str">
            <v>207</v>
          </cell>
          <cell r="G951" t="str">
            <v>bte 1</v>
          </cell>
          <cell r="H951" t="str">
            <v>1210</v>
          </cell>
          <cell r="I951" t="str">
            <v>Bruxelles</v>
          </cell>
          <cell r="K951" t="str">
            <v>Bruxelles</v>
          </cell>
          <cell r="M951" t="str">
            <v>Vr</v>
          </cell>
          <cell r="O951" t="str">
            <v>02.227.40.40</v>
          </cell>
          <cell r="P951" t="str">
            <v>02.218.35.44</v>
          </cell>
          <cell r="Q951" t="str">
            <v>lorette.rousseau@notaire.be</v>
          </cell>
          <cell r="R951">
            <v>3559</v>
          </cell>
        </row>
        <row r="952">
          <cell r="A952">
            <v>951</v>
          </cell>
          <cell r="B952" t="str">
            <v>ROUVEZ Jean-Paul</v>
          </cell>
          <cell r="C952" t="str">
            <v>ROUVEZ Jean-Paul</v>
          </cell>
          <cell r="D952" t="str">
            <v>Notaris</v>
          </cell>
          <cell r="E952" t="str">
            <v>Avenue de Waterloo</v>
          </cell>
          <cell r="F952" t="str">
            <v>11</v>
          </cell>
          <cell r="G952" t="str">
            <v/>
          </cell>
          <cell r="H952" t="str">
            <v>6000</v>
          </cell>
          <cell r="I952" t="str">
            <v>Hainaut</v>
          </cell>
          <cell r="K952" t="str">
            <v>Charleroi</v>
          </cell>
          <cell r="M952" t="str">
            <v>M</v>
          </cell>
          <cell r="O952" t="str">
            <v>071.20.69.70</v>
          </cell>
          <cell r="P952" t="str">
            <v>071.33.40.12</v>
          </cell>
          <cell r="Q952" t="str">
            <v>JEANPAUL.ROUVEZ@NOTAIRE.BE</v>
          </cell>
          <cell r="R952">
            <v>2940</v>
          </cell>
        </row>
        <row r="953">
          <cell r="A953">
            <v>952</v>
          </cell>
          <cell r="B953" t="str">
            <v>RUELLE Anne</v>
          </cell>
          <cell r="C953" t="str">
            <v>RUELLE Anne</v>
          </cell>
          <cell r="D953" t="str">
            <v>Notaris</v>
          </cell>
          <cell r="E953" t="str">
            <v>Drève des Alliés</v>
          </cell>
          <cell r="F953" t="str">
            <v>10B</v>
          </cell>
          <cell r="G953" t="str">
            <v/>
          </cell>
          <cell r="H953" t="str">
            <v>6530</v>
          </cell>
          <cell r="I953" t="str">
            <v>Hainaut</v>
          </cell>
          <cell r="K953" t="str">
            <v>Thuin</v>
          </cell>
          <cell r="M953" t="str">
            <v>Vr</v>
          </cell>
          <cell r="O953" t="str">
            <v>071.59.01.46</v>
          </cell>
          <cell r="P953" t="str">
            <v>071.59.38.46</v>
          </cell>
          <cell r="Q953" t="str">
            <v>ANNE.RUELLE@NOTARIS.BE</v>
          </cell>
          <cell r="R953">
            <v>2812</v>
          </cell>
        </row>
        <row r="954">
          <cell r="A954">
            <v>953</v>
          </cell>
          <cell r="B954" t="str">
            <v>RUELLE Philippe</v>
          </cell>
          <cell r="C954" t="str">
            <v>RUELLE Philippe</v>
          </cell>
          <cell r="D954" t="str">
            <v>Notaris</v>
          </cell>
          <cell r="E954" t="str">
            <v>Isle-le-Pré</v>
          </cell>
          <cell r="F954" t="str">
            <v/>
          </cell>
          <cell r="G954" t="str">
            <v/>
          </cell>
          <cell r="H954" t="str">
            <v>6600</v>
          </cell>
          <cell r="I954" t="str">
            <v>Luxembourg</v>
          </cell>
          <cell r="K954" t="str">
            <v>Bastogne</v>
          </cell>
          <cell r="M954" t="str">
            <v>M</v>
          </cell>
          <cell r="O954" t="str">
            <v>061.21.50.61</v>
          </cell>
          <cell r="P954" t="str">
            <v>061.28.78.83</v>
          </cell>
          <cell r="Q954" t="str">
            <v>PHILIPPE.RUELLE@NOTAIRE.BE</v>
          </cell>
          <cell r="R954">
            <v>1272</v>
          </cell>
        </row>
        <row r="955">
          <cell r="A955">
            <v>954</v>
          </cell>
          <cell r="B955" t="str">
            <v>RUTSAERT Benoit</v>
          </cell>
          <cell r="C955" t="str">
            <v>RUTSAERT Benoit</v>
          </cell>
          <cell r="D955" t="str">
            <v>Notaris</v>
          </cell>
          <cell r="E955" t="str">
            <v>Place du Centenaire</v>
          </cell>
          <cell r="F955" t="str">
            <v>32</v>
          </cell>
          <cell r="G955" t="str">
            <v/>
          </cell>
          <cell r="H955" t="str">
            <v>4608</v>
          </cell>
          <cell r="I955" t="str">
            <v>Liège</v>
          </cell>
          <cell r="K955" t="str">
            <v>Warsage</v>
          </cell>
          <cell r="M955" t="str">
            <v>M</v>
          </cell>
          <cell r="O955" t="str">
            <v>04.376.62.15</v>
          </cell>
          <cell r="P955" t="str">
            <v>04.376.75.93</v>
          </cell>
          <cell r="Q955" t="str">
            <v>BENOIT.RUTSAERT@NOTAIRE.BE</v>
          </cell>
          <cell r="R955">
            <v>1329</v>
          </cell>
        </row>
        <row r="956">
          <cell r="A956">
            <v>955</v>
          </cell>
          <cell r="B956" t="str">
            <v>RUTSAERT Henri</v>
          </cell>
          <cell r="C956" t="str">
            <v>RUTSAERT Henri</v>
          </cell>
          <cell r="D956" t="str">
            <v>Notaris</v>
          </cell>
          <cell r="E956" t="str">
            <v>Brusselsesteenweg</v>
          </cell>
          <cell r="F956" t="str">
            <v>333</v>
          </cell>
          <cell r="G956" t="str">
            <v/>
          </cell>
          <cell r="H956" t="str">
            <v>9090</v>
          </cell>
          <cell r="I956" t="str">
            <v>Oost-Vlaanderen</v>
          </cell>
          <cell r="K956" t="str">
            <v>Melle</v>
          </cell>
          <cell r="M956" t="str">
            <v>M</v>
          </cell>
          <cell r="O956" t="str">
            <v>09.252.10.51</v>
          </cell>
          <cell r="P956" t="str">
            <v>09.252.10.79</v>
          </cell>
          <cell r="Q956" t="str">
            <v>HENRI.RUTSAERT@NOTARIS.BE</v>
          </cell>
          <cell r="R956">
            <v>3165</v>
          </cell>
        </row>
        <row r="957">
          <cell r="A957">
            <v>956</v>
          </cell>
          <cell r="B957" t="str">
            <v>RYCKAERT Christian</v>
          </cell>
          <cell r="C957" t="str">
            <v>RYCKAERT Christian</v>
          </cell>
          <cell r="D957" t="str">
            <v>Notaris</v>
          </cell>
          <cell r="E957" t="str">
            <v>Ravenhofstraat</v>
          </cell>
          <cell r="F957" t="str">
            <v>11</v>
          </cell>
          <cell r="G957" t="str">
            <v/>
          </cell>
          <cell r="H957" t="str">
            <v>8820</v>
          </cell>
          <cell r="I957" t="str">
            <v>West-Vlaanderen</v>
          </cell>
          <cell r="K957" t="str">
            <v>Torhout</v>
          </cell>
          <cell r="L957">
            <v>28820</v>
          </cell>
          <cell r="M957" t="str">
            <v>M</v>
          </cell>
          <cell r="O957" t="str">
            <v>050.21.14.15</v>
          </cell>
          <cell r="P957" t="str">
            <v>050.22.04.20</v>
          </cell>
          <cell r="Q957" t="str">
            <v>CHRISTIAN.RYCKAERT@NOTARIS.BE</v>
          </cell>
          <cell r="R957">
            <v>2707</v>
          </cell>
        </row>
        <row r="958">
          <cell r="A958">
            <v>957</v>
          </cell>
          <cell r="B958" t="str">
            <v>SABBE Jean-Louis</v>
          </cell>
          <cell r="C958" t="str">
            <v>SABBE Jean-Louis</v>
          </cell>
          <cell r="D958" t="str">
            <v>Notaris</v>
          </cell>
          <cell r="E958" t="str">
            <v>de Smet de Naeyerlaan</v>
          </cell>
          <cell r="F958" t="str">
            <v>128</v>
          </cell>
          <cell r="G958" t="str">
            <v/>
          </cell>
          <cell r="H958" t="str">
            <v>8370</v>
          </cell>
          <cell r="I958" t="str">
            <v>West-Vlaanderen</v>
          </cell>
          <cell r="K958" t="str">
            <v>Blankenberge</v>
          </cell>
          <cell r="L958">
            <v>23440</v>
          </cell>
          <cell r="M958" t="str">
            <v>M</v>
          </cell>
          <cell r="O958" t="str">
            <v>050.42.82.72</v>
          </cell>
          <cell r="P958" t="str">
            <v>050.41.79.75</v>
          </cell>
          <cell r="Q958" t="str">
            <v>JEANLOUIS.SABBE@NOTARIS.BE</v>
          </cell>
          <cell r="R958">
            <v>3252</v>
          </cell>
        </row>
        <row r="959">
          <cell r="A959">
            <v>958</v>
          </cell>
          <cell r="B959" t="str">
            <v>SABBE Karen</v>
          </cell>
          <cell r="C959" t="str">
            <v>SABBE Karen</v>
          </cell>
          <cell r="D959" t="str">
            <v>Notaris</v>
          </cell>
          <cell r="E959" t="str">
            <v>Dorpsstraat</v>
          </cell>
          <cell r="F959" t="str">
            <v>2</v>
          </cell>
          <cell r="G959" t="str">
            <v/>
          </cell>
          <cell r="H959" t="str">
            <v>3930</v>
          </cell>
          <cell r="I959" t="str">
            <v>Limburg</v>
          </cell>
          <cell r="K959" t="str">
            <v>Hamont-Achel</v>
          </cell>
          <cell r="M959" t="str">
            <v>Vr</v>
          </cell>
          <cell r="O959" t="str">
            <v>011.63.63.88</v>
          </cell>
          <cell r="P959" t="str">
            <v>011.63.19.30</v>
          </cell>
          <cell r="Q959" t="str">
            <v>KAREN.SABBE@NOTARIS.BE</v>
          </cell>
          <cell r="R959">
            <v>3593</v>
          </cell>
        </row>
        <row r="960">
          <cell r="A960">
            <v>959</v>
          </cell>
          <cell r="B960" t="str">
            <v>SABBE Yannick</v>
          </cell>
          <cell r="C960" t="str">
            <v>SABBE Yannick</v>
          </cell>
          <cell r="D960" t="str">
            <v>Notaris</v>
          </cell>
          <cell r="E960" t="str">
            <v>Korenmarkt</v>
          </cell>
          <cell r="F960" t="str">
            <v>24-25</v>
          </cell>
          <cell r="G960" t="str">
            <v/>
          </cell>
          <cell r="H960" t="str">
            <v>8870</v>
          </cell>
          <cell r="I960" t="str">
            <v>West-Vlaanderen</v>
          </cell>
          <cell r="K960" t="str">
            <v>Izegem</v>
          </cell>
          <cell r="L960">
            <v>20158</v>
          </cell>
          <cell r="M960" t="str">
            <v>M</v>
          </cell>
          <cell r="O960" t="str">
            <v>051.30.01.55</v>
          </cell>
          <cell r="P960" t="str">
            <v>051.69.52.92</v>
          </cell>
          <cell r="Q960" t="str">
            <v>YANNICK.SABBE@NOTARIS.BE</v>
          </cell>
          <cell r="R960">
            <v>2990</v>
          </cell>
        </row>
        <row r="961">
          <cell r="A961">
            <v>960</v>
          </cell>
          <cell r="B961" t="str">
            <v>SAEY IGNACE &amp; SAEY STEPHANE</v>
          </cell>
          <cell r="C961" t="str">
            <v>Saey Ignace</v>
          </cell>
          <cell r="D961" t="str">
            <v>Geassocieerd Notaris</v>
          </cell>
          <cell r="E961" t="str">
            <v>Harelbekestraat</v>
          </cell>
          <cell r="F961" t="str">
            <v>81</v>
          </cell>
          <cell r="G961" t="str">
            <v>bus 48</v>
          </cell>
          <cell r="H961" t="str">
            <v>8540</v>
          </cell>
          <cell r="I961" t="str">
            <v>West-Vlaanderen</v>
          </cell>
          <cell r="K961" t="str">
            <v>Deerlijk</v>
          </cell>
          <cell r="L961">
            <v>15443</v>
          </cell>
          <cell r="M961" t="str">
            <v>M</v>
          </cell>
          <cell r="O961" t="str">
            <v>056.73.87.11</v>
          </cell>
          <cell r="P961" t="str">
            <v>056.73.87.10</v>
          </cell>
          <cell r="Q961" t="str">
            <v>IGNACE.SAEY@NOTARIS.BE</v>
          </cell>
          <cell r="R961">
            <v>3628</v>
          </cell>
        </row>
        <row r="962">
          <cell r="A962">
            <v>961</v>
          </cell>
          <cell r="B962" t="str">
            <v>SAEY IGNACE &amp; SAEY STEPHANE</v>
          </cell>
          <cell r="C962" t="str">
            <v>Saey Stephane</v>
          </cell>
          <cell r="D962" t="str">
            <v>Geassocieerd Notaris</v>
          </cell>
          <cell r="E962" t="str">
            <v>Harelbekestraat</v>
          </cell>
          <cell r="F962" t="str">
            <v>81</v>
          </cell>
          <cell r="G962" t="str">
            <v>bus 48</v>
          </cell>
          <cell r="H962" t="str">
            <v>8540</v>
          </cell>
          <cell r="I962" t="str">
            <v>West-Vlaanderen</v>
          </cell>
          <cell r="K962" t="str">
            <v>Deerlijk</v>
          </cell>
          <cell r="M962" t="str">
            <v>M</v>
          </cell>
          <cell r="O962" t="str">
            <v>056.73.87.11</v>
          </cell>
          <cell r="P962" t="str">
            <v>056.73.87.10</v>
          </cell>
          <cell r="Q962" t="str">
            <v>stephane.saey@notaris.be</v>
          </cell>
          <cell r="R962">
            <v>3628</v>
          </cell>
        </row>
        <row r="963">
          <cell r="A963">
            <v>962</v>
          </cell>
          <cell r="B963" t="str">
            <v>SAGEHOMME Baudouin</v>
          </cell>
          <cell r="C963" t="str">
            <v>SAGEHOMME Baudouin</v>
          </cell>
          <cell r="D963" t="str">
            <v>Notaris</v>
          </cell>
          <cell r="E963" t="str">
            <v>Rue 600 Franchimontois</v>
          </cell>
          <cell r="F963" t="str">
            <v>10</v>
          </cell>
          <cell r="G963" t="str">
            <v/>
          </cell>
          <cell r="H963" t="str">
            <v>4821</v>
          </cell>
          <cell r="I963" t="str">
            <v>Liège</v>
          </cell>
          <cell r="K963" t="str">
            <v>Andrimont</v>
          </cell>
          <cell r="M963" t="str">
            <v>M</v>
          </cell>
          <cell r="O963" t="str">
            <v>087.33.00.63</v>
          </cell>
          <cell r="P963" t="str">
            <v>087.31.22.34</v>
          </cell>
          <cell r="Q963" t="str">
            <v>BAUDOIN.SAGEHOMME@NOTAIRE.BE</v>
          </cell>
          <cell r="R963">
            <v>2423</v>
          </cell>
        </row>
        <row r="964">
          <cell r="A964">
            <v>963</v>
          </cell>
          <cell r="B964" t="str">
            <v>SAGON Luc</v>
          </cell>
          <cell r="C964" t="str">
            <v>SAGON Luc</v>
          </cell>
          <cell r="D964" t="str">
            <v>Notaris</v>
          </cell>
          <cell r="E964" t="str">
            <v>Gentsestraat</v>
          </cell>
          <cell r="F964" t="str">
            <v>19</v>
          </cell>
          <cell r="G964" t="str">
            <v/>
          </cell>
          <cell r="H964" t="str">
            <v>8870</v>
          </cell>
          <cell r="I964" t="str">
            <v>West-Vlaanderen</v>
          </cell>
          <cell r="K964" t="str">
            <v>Izegem</v>
          </cell>
          <cell r="L964">
            <v>17172</v>
          </cell>
          <cell r="M964" t="str">
            <v>M</v>
          </cell>
          <cell r="O964" t="str">
            <v>051.30.04.35</v>
          </cell>
          <cell r="P964" t="str">
            <v>051.30.04.38</v>
          </cell>
          <cell r="Q964" t="str">
            <v>LUC.SAGON@NOTARIS.BE</v>
          </cell>
          <cell r="R964">
            <v>2406</v>
          </cell>
        </row>
        <row r="965">
          <cell r="A965">
            <v>964</v>
          </cell>
          <cell r="B965" t="str">
            <v>SCAVEE Paul</v>
          </cell>
          <cell r="C965" t="str">
            <v>SCAVEE Paul</v>
          </cell>
          <cell r="D965" t="str">
            <v>Notaris</v>
          </cell>
          <cell r="E965" t="str">
            <v>route de Hamoir</v>
          </cell>
          <cell r="F965" t="str">
            <v>12</v>
          </cell>
          <cell r="G965" t="str">
            <v/>
          </cell>
          <cell r="H965" t="str">
            <v>4190</v>
          </cell>
          <cell r="I965" t="str">
            <v>Liège</v>
          </cell>
          <cell r="K965" t="str">
            <v>Xhoris</v>
          </cell>
          <cell r="M965" t="str">
            <v>M</v>
          </cell>
          <cell r="O965" t="str">
            <v>04.369.15.19</v>
          </cell>
          <cell r="P965" t="str">
            <v>04.369.18.55</v>
          </cell>
          <cell r="Q965" t="str">
            <v>paul.scavee@notaire.be</v>
          </cell>
          <cell r="R965">
            <v>3547</v>
          </cell>
        </row>
        <row r="966">
          <cell r="A966">
            <v>965</v>
          </cell>
          <cell r="B966" t="str">
            <v>Scheltens L.</v>
          </cell>
          <cell r="C966" t="str">
            <v>Scheltens L.</v>
          </cell>
          <cell r="D966" t="str">
            <v>Notaris</v>
          </cell>
          <cell r="I966" t="str">
            <v>Antwerpen</v>
          </cell>
          <cell r="J966" t="str">
            <v>Mechelen</v>
          </cell>
          <cell r="K966" t="str">
            <v>Willebroek</v>
          </cell>
          <cell r="M966" t="str">
            <v>Vr</v>
          </cell>
          <cell r="T966">
            <v>38743</v>
          </cell>
        </row>
        <row r="967">
          <cell r="A967">
            <v>966</v>
          </cell>
          <cell r="B967" t="str">
            <v>SCHOESETTERS Willy</v>
          </cell>
          <cell r="C967" t="str">
            <v>SCHOESETTERS Willy</v>
          </cell>
          <cell r="D967" t="str">
            <v>Notaris</v>
          </cell>
          <cell r="E967" t="str">
            <v>Korte Lozanastraat</v>
          </cell>
          <cell r="F967" t="str">
            <v>3</v>
          </cell>
          <cell r="G967" t="str">
            <v/>
          </cell>
          <cell r="H967" t="str">
            <v>2018</v>
          </cell>
          <cell r="I967" t="str">
            <v>Antwerpen</v>
          </cell>
          <cell r="K967" t="str">
            <v>Antwerpen</v>
          </cell>
          <cell r="M967" t="str">
            <v>M</v>
          </cell>
          <cell r="O967" t="str">
            <v>03.216.01.30</v>
          </cell>
          <cell r="P967" t="str">
            <v>03.216.45.17</v>
          </cell>
          <cell r="Q967" t="str">
            <v>WILLY.SCHOESETTERS@NOTARIS.BE</v>
          </cell>
          <cell r="R967">
            <v>2546</v>
          </cell>
        </row>
        <row r="968">
          <cell r="A968">
            <v>967</v>
          </cell>
          <cell r="B968" t="str">
            <v>SCHOORMAN Anne-Marie</v>
          </cell>
          <cell r="C968" t="str">
            <v>SCHOORMAN Anne-Marie</v>
          </cell>
          <cell r="D968" t="str">
            <v>Notaris</v>
          </cell>
          <cell r="E968" t="str">
            <v>Coupure</v>
          </cell>
          <cell r="F968" t="str">
            <v>53</v>
          </cell>
          <cell r="G968" t="str">
            <v/>
          </cell>
          <cell r="H968" t="str">
            <v>9000</v>
          </cell>
          <cell r="I968" t="str">
            <v>Oost-Vlaanderen</v>
          </cell>
          <cell r="K968" t="str">
            <v>Gent</v>
          </cell>
          <cell r="M968" t="str">
            <v>Vr</v>
          </cell>
          <cell r="O968" t="str">
            <v>09.233.11.30</v>
          </cell>
          <cell r="P968" t="str">
            <v>09.225.38.42</v>
          </cell>
          <cell r="Q968" t="str">
            <v>ANNEMARIE.SCHOORMAN@NOTARIS.BE</v>
          </cell>
          <cell r="R968">
            <v>3428</v>
          </cell>
        </row>
        <row r="969">
          <cell r="A969">
            <v>968</v>
          </cell>
          <cell r="B969" t="str">
            <v>ARNOUT SCHOTSMANS &amp; ADRIENNE SPAEPEN</v>
          </cell>
          <cell r="C969" t="str">
            <v>Schotsmans Arnout</v>
          </cell>
          <cell r="D969" t="str">
            <v>Geassocieerd Notaris</v>
          </cell>
          <cell r="E969" t="str">
            <v>G. de Stassartstraat</v>
          </cell>
          <cell r="F969" t="str">
            <v>24</v>
          </cell>
          <cell r="G969" t="str">
            <v/>
          </cell>
          <cell r="H969" t="str">
            <v>2800</v>
          </cell>
          <cell r="I969" t="str">
            <v>Antwerpen</v>
          </cell>
          <cell r="K969" t="str">
            <v>Mechelen</v>
          </cell>
          <cell r="M969" t="str">
            <v>M</v>
          </cell>
          <cell r="O969" t="str">
            <v>015.28.60.10</v>
          </cell>
          <cell r="P969" t="str">
            <v>015.28.60.15</v>
          </cell>
          <cell r="Q969" t="str">
            <v>ARNOUT.SCHOTSMANS@NOTARIS.BE</v>
          </cell>
          <cell r="R969">
            <v>3639</v>
          </cell>
        </row>
        <row r="970">
          <cell r="A970">
            <v>969</v>
          </cell>
          <cell r="B970" t="str">
            <v>SCHOTSMANS Karel</v>
          </cell>
          <cell r="C970" t="str">
            <v>SCHOTSMANS Karel</v>
          </cell>
          <cell r="D970" t="str">
            <v>Notaris</v>
          </cell>
          <cell r="E970" t="str">
            <v>Arnold Sauwenlaan</v>
          </cell>
          <cell r="F970" t="str">
            <v>11</v>
          </cell>
          <cell r="G970" t="str">
            <v/>
          </cell>
          <cell r="H970" t="str">
            <v>3650</v>
          </cell>
          <cell r="I970" t="str">
            <v>Limburg</v>
          </cell>
          <cell r="K970" t="str">
            <v>Dilsen-Stokkem</v>
          </cell>
          <cell r="M970" t="str">
            <v>M</v>
          </cell>
          <cell r="O970" t="str">
            <v>089.75.51.65</v>
          </cell>
          <cell r="P970" t="str">
            <v>089.75.43.38</v>
          </cell>
          <cell r="Q970" t="str">
            <v>KAREL.SCHOTSMANS@NOTARIS.BE</v>
          </cell>
          <cell r="R970">
            <v>2530</v>
          </cell>
        </row>
        <row r="971">
          <cell r="A971">
            <v>970</v>
          </cell>
          <cell r="B971" t="str">
            <v>SCHOTTE Paul</v>
          </cell>
          <cell r="C971" t="str">
            <v>SCHOTTE Paul</v>
          </cell>
          <cell r="D971" t="str">
            <v>Notaris</v>
          </cell>
          <cell r="E971" t="str">
            <v>Van Benedenlaan</v>
          </cell>
          <cell r="F971" t="str">
            <v>54-56</v>
          </cell>
          <cell r="G971" t="str">
            <v/>
          </cell>
          <cell r="H971" t="str">
            <v>2800</v>
          </cell>
          <cell r="I971" t="str">
            <v>Antwerpen</v>
          </cell>
          <cell r="K971" t="str">
            <v>Mechelen</v>
          </cell>
          <cell r="M971" t="str">
            <v>M</v>
          </cell>
          <cell r="O971" t="str">
            <v>015.41.21.66</v>
          </cell>
          <cell r="P971" t="str">
            <v>015.41.62.32</v>
          </cell>
          <cell r="Q971" t="str">
            <v>PAUL.SCHOTTE@NOTARIS.BE</v>
          </cell>
          <cell r="R971">
            <v>2744</v>
          </cell>
        </row>
        <row r="972">
          <cell r="A972">
            <v>971</v>
          </cell>
          <cell r="B972" t="str">
            <v>SEBRECHTS Tony</v>
          </cell>
          <cell r="C972" t="str">
            <v>SEBRECHTS Tony</v>
          </cell>
          <cell r="D972" t="str">
            <v>Notaris</v>
          </cell>
          <cell r="E972" t="str">
            <v>Churchilllaan</v>
          </cell>
          <cell r="F972" t="str">
            <v>122</v>
          </cell>
          <cell r="G972" t="str">
            <v/>
          </cell>
          <cell r="H972" t="str">
            <v>2900</v>
          </cell>
          <cell r="I972" t="str">
            <v>Antwerpen</v>
          </cell>
          <cell r="K972" t="str">
            <v>Schoten</v>
          </cell>
          <cell r="M972" t="str">
            <v>M</v>
          </cell>
          <cell r="O972" t="str">
            <v>03.658.44.33</v>
          </cell>
          <cell r="P972" t="str">
            <v>03.658.77.49</v>
          </cell>
          <cell r="Q972" t="str">
            <v>TONY.SEBRECHTS@NOTARIS.BE</v>
          </cell>
          <cell r="R972">
            <v>412</v>
          </cell>
        </row>
        <row r="973">
          <cell r="A973">
            <v>972</v>
          </cell>
          <cell r="B973" t="str">
            <v>SEGERS Filip</v>
          </cell>
          <cell r="C973" t="str">
            <v>SEGERS Filip</v>
          </cell>
          <cell r="D973" t="str">
            <v>Notaris</v>
          </cell>
          <cell r="E973" t="str">
            <v>Moleneinde</v>
          </cell>
          <cell r="F973" t="str">
            <v>14</v>
          </cell>
          <cell r="G973" t="str">
            <v/>
          </cell>
          <cell r="H973" t="str">
            <v>2381</v>
          </cell>
          <cell r="I973" t="str">
            <v>Antwerpen</v>
          </cell>
          <cell r="K973" t="str">
            <v>Weelde</v>
          </cell>
          <cell r="M973" t="str">
            <v>M</v>
          </cell>
          <cell r="O973" t="str">
            <v>014.65.92.45</v>
          </cell>
          <cell r="P973" t="str">
            <v>014.65.92.46</v>
          </cell>
          <cell r="Q973" t="str">
            <v>FILIP.SEGERS@NOTARIS.BE</v>
          </cell>
          <cell r="R973">
            <v>3110</v>
          </cell>
        </row>
        <row r="974">
          <cell r="A974">
            <v>973</v>
          </cell>
          <cell r="B974" t="str">
            <v>BVBA Notaris Dirk Seresia</v>
          </cell>
          <cell r="C974" t="str">
            <v>Seresia Dirk</v>
          </cell>
          <cell r="D974" t="str">
            <v>Notaris</v>
          </cell>
          <cell r="E974" t="str">
            <v>J. de Vriendtstraat</v>
          </cell>
          <cell r="F974" t="str">
            <v>23</v>
          </cell>
          <cell r="G974" t="str">
            <v/>
          </cell>
          <cell r="H974" t="str">
            <v>3900</v>
          </cell>
          <cell r="I974" t="str">
            <v>Limburg</v>
          </cell>
          <cell r="K974" t="str">
            <v>Overpelt</v>
          </cell>
          <cell r="M974" t="str">
            <v>M</v>
          </cell>
          <cell r="O974" t="str">
            <v>011.64.16.55</v>
          </cell>
          <cell r="P974" t="str">
            <v>011.64.76.85</v>
          </cell>
          <cell r="Q974" t="str">
            <v>DIRK.SERESIA@NOTARIS.BE</v>
          </cell>
          <cell r="R974">
            <v>2808</v>
          </cell>
        </row>
        <row r="975">
          <cell r="A975">
            <v>974</v>
          </cell>
          <cell r="B975" t="str">
            <v>SIMON Alain</v>
          </cell>
          <cell r="C975" t="str">
            <v>SIMON Alain</v>
          </cell>
          <cell r="D975" t="str">
            <v>Notaris</v>
          </cell>
          <cell r="E975" t="str">
            <v>Rue des Ecoles des Merveille</v>
          </cell>
          <cell r="F975" t="str">
            <v>6</v>
          </cell>
          <cell r="G975" t="str">
            <v/>
          </cell>
          <cell r="H975" t="str">
            <v>6470</v>
          </cell>
          <cell r="I975" t="str">
            <v>Hainaut</v>
          </cell>
          <cell r="K975" t="str">
            <v>Sivry-Rance</v>
          </cell>
          <cell r="M975" t="str">
            <v>M</v>
          </cell>
          <cell r="O975" t="str">
            <v>060.45.50.42</v>
          </cell>
          <cell r="P975" t="str">
            <v>060.45.62.86</v>
          </cell>
          <cell r="Q975" t="str">
            <v>ALAIN.SIMON@NOTAIRE.BE</v>
          </cell>
          <cell r="R975">
            <v>2586</v>
          </cell>
        </row>
        <row r="976">
          <cell r="A976">
            <v>975</v>
          </cell>
          <cell r="B976" t="str">
            <v>SIMONART &amp; COPPIETERS</v>
          </cell>
          <cell r="C976" t="str">
            <v>Simonart Joseph</v>
          </cell>
          <cell r="D976" t="str">
            <v>Geassocieerd Notaris</v>
          </cell>
          <cell r="E976" t="str">
            <v>Sint-Jacobsplein</v>
          </cell>
          <cell r="F976" t="str">
            <v>7</v>
          </cell>
          <cell r="G976" t="str">
            <v/>
          </cell>
          <cell r="H976" t="str">
            <v>3000</v>
          </cell>
          <cell r="I976" t="str">
            <v>Vlaams Brabant</v>
          </cell>
          <cell r="K976" t="str">
            <v>Leuven</v>
          </cell>
          <cell r="M976" t="str">
            <v>M</v>
          </cell>
          <cell r="O976" t="str">
            <v>016.89.80.20</v>
          </cell>
          <cell r="P976" t="str">
            <v>016.89.80.44</v>
          </cell>
          <cell r="Q976" t="str">
            <v>JOSEPH.SIMONART@NOTARIS.BE</v>
          </cell>
          <cell r="R976">
            <v>3642</v>
          </cell>
        </row>
        <row r="977">
          <cell r="A977">
            <v>976</v>
          </cell>
          <cell r="B977" t="str">
            <v>SINTOBIN Anton</v>
          </cell>
          <cell r="C977" t="str">
            <v>SINTOBIN Anton</v>
          </cell>
          <cell r="D977" t="str">
            <v>Notaris</v>
          </cell>
          <cell r="E977" t="str">
            <v>Onteigeningsstraat</v>
          </cell>
          <cell r="F977" t="str">
            <v>3</v>
          </cell>
          <cell r="G977" t="str">
            <v/>
          </cell>
          <cell r="H977" t="str">
            <v>9060</v>
          </cell>
          <cell r="I977" t="str">
            <v>Oost-Vlaanderen</v>
          </cell>
          <cell r="K977" t="str">
            <v>Zelzate</v>
          </cell>
          <cell r="M977" t="str">
            <v>M</v>
          </cell>
          <cell r="O977" t="str">
            <v>09.345.63.09</v>
          </cell>
          <cell r="P977" t="str">
            <v>09.345.86.25</v>
          </cell>
          <cell r="Q977" t="str">
            <v>ANTON.SINTOBIN@NOTARIS.BE</v>
          </cell>
          <cell r="R977">
            <v>3142</v>
          </cell>
        </row>
        <row r="978">
          <cell r="A978">
            <v>977</v>
          </cell>
          <cell r="B978" t="str">
            <v>DECKERS DE GRAEVE SLEDSENS &amp; VAN DEN BERGH</v>
          </cell>
          <cell r="C978" t="str">
            <v>Sledsens Marc</v>
          </cell>
          <cell r="D978" t="str">
            <v>Geassocieerd Notaris</v>
          </cell>
          <cell r="E978" t="str">
            <v>Broederminstraat</v>
          </cell>
          <cell r="F978" t="str">
            <v>9</v>
          </cell>
          <cell r="G978" t="str">
            <v/>
          </cell>
          <cell r="H978" t="str">
            <v>2018</v>
          </cell>
          <cell r="I978" t="str">
            <v>Antwerpen</v>
          </cell>
          <cell r="K978" t="str">
            <v>Antwerpen</v>
          </cell>
          <cell r="M978" t="str">
            <v>M</v>
          </cell>
          <cell r="O978" t="str">
            <v>03.233.90.66</v>
          </cell>
          <cell r="P978" t="str">
            <v>03.234.23.86</v>
          </cell>
          <cell r="Q978" t="str">
            <v>MARC.SLEDSENS@NOTARIS.BE</v>
          </cell>
          <cell r="R978">
            <v>3523</v>
          </cell>
        </row>
        <row r="979">
          <cell r="A979">
            <v>978</v>
          </cell>
          <cell r="B979" t="str">
            <v>SMEETS Karl</v>
          </cell>
          <cell r="C979" t="str">
            <v>SMEETS Karl</v>
          </cell>
          <cell r="D979" t="str">
            <v>Notaris</v>
          </cell>
          <cell r="E979" t="str">
            <v>Maastrichterstraat</v>
          </cell>
          <cell r="F979" t="str">
            <v>102</v>
          </cell>
          <cell r="G979" t="str">
            <v/>
          </cell>
          <cell r="H979" t="str">
            <v>3500</v>
          </cell>
          <cell r="I979" t="str">
            <v>Limburg</v>
          </cell>
          <cell r="K979" t="str">
            <v>Hasselt</v>
          </cell>
          <cell r="M979" t="str">
            <v>M</v>
          </cell>
          <cell r="O979" t="str">
            <v>011.22.31.78</v>
          </cell>
          <cell r="P979" t="str">
            <v>011.24.12.47</v>
          </cell>
          <cell r="Q979" t="str">
            <v>KARL.SMEETS@NOTARIS.BE</v>
          </cell>
          <cell r="R979">
            <v>2637</v>
          </cell>
        </row>
        <row r="980">
          <cell r="A980">
            <v>979</v>
          </cell>
          <cell r="B980" t="str">
            <v>SMEETS Tine</v>
          </cell>
          <cell r="C980" t="str">
            <v>SMEETS Tine</v>
          </cell>
          <cell r="D980" t="str">
            <v>Notaris</v>
          </cell>
          <cell r="E980" t="str">
            <v>Oude Rijksbaan</v>
          </cell>
          <cell r="F980" t="str">
            <v>10</v>
          </cell>
          <cell r="G980" t="str">
            <v/>
          </cell>
          <cell r="H980" t="str">
            <v>3630</v>
          </cell>
          <cell r="I980" t="str">
            <v>Limburg</v>
          </cell>
          <cell r="K980" t="str">
            <v>Eisden</v>
          </cell>
          <cell r="M980" t="str">
            <v>Vr</v>
          </cell>
          <cell r="O980" t="str">
            <v>089.76.43.61</v>
          </cell>
          <cell r="P980" t="str">
            <v>089.76.61.12</v>
          </cell>
          <cell r="Q980" t="str">
            <v>tine.smeets@notaris.be</v>
          </cell>
          <cell r="R980">
            <v>72</v>
          </cell>
        </row>
        <row r="981">
          <cell r="A981">
            <v>980</v>
          </cell>
          <cell r="B981" t="str">
            <v>SMET Dirk</v>
          </cell>
          <cell r="C981" t="str">
            <v>SMET Dirk</v>
          </cell>
          <cell r="D981" t="str">
            <v>Notaris</v>
          </cell>
          <cell r="E981" t="str">
            <v>Kerkstraat</v>
          </cell>
          <cell r="F981" t="str">
            <v>76</v>
          </cell>
          <cell r="G981" t="str">
            <v/>
          </cell>
          <cell r="H981" t="str">
            <v>9170</v>
          </cell>
          <cell r="I981" t="str">
            <v>Oost-Vlaanderen</v>
          </cell>
          <cell r="K981" t="str">
            <v>Sint-Gillis-Waas</v>
          </cell>
          <cell r="M981" t="str">
            <v>M</v>
          </cell>
          <cell r="O981" t="str">
            <v>03.727.10.80</v>
          </cell>
          <cell r="P981" t="str">
            <v>03.770.55.81</v>
          </cell>
          <cell r="Q981" t="str">
            <v>DIRK.SMET@NOTARIS.BE</v>
          </cell>
          <cell r="R981">
            <v>2639</v>
          </cell>
        </row>
        <row r="982">
          <cell r="A982">
            <v>981</v>
          </cell>
          <cell r="B982" t="str">
            <v>SMETS &amp; KNEVELS</v>
          </cell>
          <cell r="C982" t="str">
            <v>Smets Daan</v>
          </cell>
          <cell r="D982" t="str">
            <v>Geassocieerd Notaris</v>
          </cell>
          <cell r="E982" t="str">
            <v>St. Benedictusstraat</v>
          </cell>
          <cell r="F982" t="str">
            <v>132</v>
          </cell>
          <cell r="G982" t="str">
            <v/>
          </cell>
          <cell r="H982" t="str">
            <v>2640</v>
          </cell>
          <cell r="I982" t="str">
            <v>Antwerpen</v>
          </cell>
          <cell r="K982" t="str">
            <v>Mortsel</v>
          </cell>
          <cell r="M982" t="str">
            <v>M</v>
          </cell>
          <cell r="O982" t="str">
            <v>03.448.12.20</v>
          </cell>
          <cell r="P982" t="str">
            <v>03.449.12.94</v>
          </cell>
          <cell r="Q982" t="str">
            <v>DAAN.SMETS@NOTARIS.BE</v>
          </cell>
          <cell r="R982">
            <v>3555</v>
          </cell>
        </row>
        <row r="983">
          <cell r="A983">
            <v>982</v>
          </cell>
          <cell r="B983" t="str">
            <v>MICHEL SMETS &amp; MARC DENS  BVBA</v>
          </cell>
          <cell r="C983" t="str">
            <v>Smets Michel</v>
          </cell>
          <cell r="D983" t="str">
            <v>Geassocieerd Notaris</v>
          </cell>
          <cell r="E983" t="str">
            <v>Maarschalk Gerardstraat</v>
          </cell>
          <cell r="F983" t="str">
            <v>20</v>
          </cell>
          <cell r="G983" t="str">
            <v/>
          </cell>
          <cell r="H983" t="str">
            <v>2000</v>
          </cell>
          <cell r="I983" t="str">
            <v>Antwerpen</v>
          </cell>
          <cell r="K983" t="str">
            <v>Antwerpen</v>
          </cell>
          <cell r="M983" t="str">
            <v>M</v>
          </cell>
          <cell r="O983" t="str">
            <v>03.233.61.39</v>
          </cell>
          <cell r="P983" t="str">
            <v>03.225.04.53</v>
          </cell>
          <cell r="Q983" t="str">
            <v>MICHEL.SMETS@NOTARIS.BE</v>
          </cell>
          <cell r="R983">
            <v>3635</v>
          </cell>
        </row>
        <row r="984">
          <cell r="A984">
            <v>983</v>
          </cell>
          <cell r="B984" t="str">
            <v>SMETS Stefan</v>
          </cell>
          <cell r="C984" t="str">
            <v>SMETS Stefan</v>
          </cell>
          <cell r="D984" t="str">
            <v>Notaris</v>
          </cell>
          <cell r="E984" t="str">
            <v>Tiensestraat</v>
          </cell>
          <cell r="F984" t="str">
            <v>176</v>
          </cell>
          <cell r="G984" t="str">
            <v/>
          </cell>
          <cell r="H984" t="str">
            <v>3380</v>
          </cell>
          <cell r="I984" t="str">
            <v>Vlaams Brabant</v>
          </cell>
          <cell r="K984" t="str">
            <v>Glabbeek-Zuurbemde</v>
          </cell>
          <cell r="M984" t="str">
            <v>M</v>
          </cell>
          <cell r="O984" t="str">
            <v>016.77.70.16</v>
          </cell>
          <cell r="P984" t="str">
            <v>016.77.12.95</v>
          </cell>
          <cell r="Q984" t="str">
            <v>STEFAN.SMETS@NOTARIS.BE</v>
          </cell>
          <cell r="R984">
            <v>3572</v>
          </cell>
        </row>
        <row r="985">
          <cell r="A985">
            <v>984</v>
          </cell>
          <cell r="B985" t="str">
            <v>SMETS Véronique</v>
          </cell>
          <cell r="C985" t="str">
            <v>SMETS Véronique</v>
          </cell>
          <cell r="D985" t="str">
            <v>Notaris</v>
          </cell>
          <cell r="E985" t="str">
            <v>Rue Gustave Taillard</v>
          </cell>
          <cell r="F985" t="str">
            <v>25</v>
          </cell>
          <cell r="G985" t="str">
            <v/>
          </cell>
          <cell r="H985" t="str">
            <v>4650</v>
          </cell>
          <cell r="I985" t="str">
            <v>Liège</v>
          </cell>
          <cell r="K985" t="str">
            <v>Herve</v>
          </cell>
          <cell r="M985" t="str">
            <v>Vr</v>
          </cell>
          <cell r="O985" t="str">
            <v>087.69.26.10</v>
          </cell>
          <cell r="P985" t="str">
            <v>087.69.26.13</v>
          </cell>
          <cell r="Q985" t="str">
            <v>VERONIQUE.SMETS@NOTAIRE.BE</v>
          </cell>
          <cell r="R985">
            <v>3186</v>
          </cell>
        </row>
        <row r="986">
          <cell r="A986">
            <v>985</v>
          </cell>
          <cell r="B986" t="str">
            <v>SMETZ Patrick</v>
          </cell>
          <cell r="C986" t="str">
            <v>SMETZ Patrick</v>
          </cell>
          <cell r="D986" t="str">
            <v>Notaire</v>
          </cell>
          <cell r="E986" t="str">
            <v>Rue Foidart</v>
          </cell>
          <cell r="F986" t="str">
            <v>53</v>
          </cell>
          <cell r="G986" t="str">
            <v/>
          </cell>
          <cell r="H986" t="str">
            <v>4020</v>
          </cell>
          <cell r="I986" t="str">
            <v>Liège</v>
          </cell>
          <cell r="K986" t="str">
            <v>Bressoux</v>
          </cell>
          <cell r="M986" t="str">
            <v>M</v>
          </cell>
          <cell r="O986" t="str">
            <v>04.343.19.55</v>
          </cell>
          <cell r="P986" t="str">
            <v>04.343.26.16</v>
          </cell>
          <cell r="Q986" t="str">
            <v>patrick.smetz@notaire.be</v>
          </cell>
          <cell r="R986">
            <v>61</v>
          </cell>
          <cell r="T986">
            <v>38350</v>
          </cell>
        </row>
        <row r="987">
          <cell r="A987">
            <v>986</v>
          </cell>
          <cell r="B987" t="str">
            <v>Notaire Laurent Snyers SPRL</v>
          </cell>
          <cell r="C987" t="str">
            <v>Sneyers Laurent</v>
          </cell>
          <cell r="D987" t="str">
            <v>Notaire</v>
          </cell>
          <cell r="E987" t="str">
            <v>Grand Place</v>
          </cell>
          <cell r="F987" t="str">
            <v>36</v>
          </cell>
          <cell r="G987" t="str">
            <v/>
          </cell>
          <cell r="H987" t="str">
            <v>7850</v>
          </cell>
          <cell r="I987" t="str">
            <v>Hainaut</v>
          </cell>
          <cell r="K987" t="str">
            <v>Enghien</v>
          </cell>
          <cell r="M987" t="str">
            <v>M</v>
          </cell>
          <cell r="O987" t="str">
            <v>02.395.44.25</v>
          </cell>
          <cell r="P987" t="str">
            <v>02.395.57.06</v>
          </cell>
          <cell r="Q987" t="str">
            <v>laurent.snyers@notaire.be</v>
          </cell>
          <cell r="R987">
            <v>2764</v>
          </cell>
          <cell r="S987" t="str">
            <v>732-0071109-59</v>
          </cell>
        </row>
        <row r="988">
          <cell r="A988">
            <v>987</v>
          </cell>
          <cell r="B988" t="str">
            <v>SNYERS Jean-Louis</v>
          </cell>
          <cell r="C988" t="str">
            <v>SNYERS Jean-Louis</v>
          </cell>
          <cell r="D988" t="str">
            <v>Notaris</v>
          </cell>
          <cell r="E988" t="str">
            <v>Rue Albert 1er</v>
          </cell>
          <cell r="F988" t="str">
            <v>91</v>
          </cell>
          <cell r="G988" t="str">
            <v/>
          </cell>
          <cell r="H988" t="str">
            <v>4280</v>
          </cell>
          <cell r="I988" t="str">
            <v>Liège</v>
          </cell>
          <cell r="K988" t="str">
            <v>Hannut</v>
          </cell>
          <cell r="M988" t="str">
            <v>M</v>
          </cell>
          <cell r="O988" t="str">
            <v>019.51.14.30</v>
          </cell>
          <cell r="P988" t="str">
            <v>019.51.18.47</v>
          </cell>
          <cell r="Q988" t="str">
            <v>JEANLOUIS.SNYERS@NOTAIRE.BE</v>
          </cell>
          <cell r="R988">
            <v>2446</v>
          </cell>
        </row>
        <row r="989">
          <cell r="A989">
            <v>988</v>
          </cell>
          <cell r="B989" t="str">
            <v>SNYERS Jean-Luc</v>
          </cell>
          <cell r="C989" t="str">
            <v>SNYERS Jean-Luc</v>
          </cell>
          <cell r="D989" t="str">
            <v>Notaris</v>
          </cell>
          <cell r="E989" t="str">
            <v>Rode Kruisplein</v>
          </cell>
          <cell r="F989" t="str">
            <v>6</v>
          </cell>
          <cell r="G989" t="str">
            <v/>
          </cell>
          <cell r="H989" t="str">
            <v>3570</v>
          </cell>
          <cell r="I989" t="str">
            <v>Limburg</v>
          </cell>
          <cell r="K989" t="str">
            <v>Alken</v>
          </cell>
          <cell r="M989" t="str">
            <v>M</v>
          </cell>
          <cell r="O989" t="str">
            <v>011.31.36.33</v>
          </cell>
          <cell r="P989" t="str">
            <v>011.31.64.52</v>
          </cell>
          <cell r="Q989" t="str">
            <v>JEANLUC.SNYERS@NOTARIS.BE</v>
          </cell>
          <cell r="R989">
            <v>2984</v>
          </cell>
        </row>
        <row r="990">
          <cell r="A990">
            <v>989</v>
          </cell>
          <cell r="B990" t="str">
            <v>SNYERS d´ATTENHOVEN &amp; MARCELIS</v>
          </cell>
          <cell r="C990" t="str">
            <v>SnyersdAttenhoven Gérald</v>
          </cell>
          <cell r="D990" t="str">
            <v>Geassocieerd Notaris</v>
          </cell>
          <cell r="E990" t="str">
            <v>avenue Louise</v>
          </cell>
          <cell r="F990" t="str">
            <v>131A</v>
          </cell>
          <cell r="G990" t="str">
            <v/>
          </cell>
          <cell r="H990" t="str">
            <v>1050</v>
          </cell>
          <cell r="I990" t="str">
            <v>Bruxelles</v>
          </cell>
          <cell r="K990" t="str">
            <v>Bruxelles</v>
          </cell>
          <cell r="M990" t="str">
            <v>M</v>
          </cell>
          <cell r="O990" t="str">
            <v>02.543.11.80</v>
          </cell>
          <cell r="P990" t="str">
            <v>02.537.82.09</v>
          </cell>
          <cell r="Q990" t="str">
            <v>GERALD.SNYERSDATTENHOVEN@NOTAIRE.BE</v>
          </cell>
          <cell r="R990">
            <v>3497</v>
          </cell>
        </row>
        <row r="991">
          <cell r="A991">
            <v>990</v>
          </cell>
          <cell r="B991" t="str">
            <v>SOBRIE Marc</v>
          </cell>
          <cell r="C991" t="str">
            <v>SOBRIE Marc</v>
          </cell>
          <cell r="D991" t="str">
            <v>Notaris</v>
          </cell>
          <cell r="E991" t="str">
            <v>Noordlaan</v>
          </cell>
          <cell r="F991" t="str">
            <v>50</v>
          </cell>
          <cell r="G991" t="str">
            <v/>
          </cell>
          <cell r="H991" t="str">
            <v>9630</v>
          </cell>
          <cell r="I991" t="str">
            <v>Oost-Vlaanderen</v>
          </cell>
          <cell r="K991" t="str">
            <v>Zwalm</v>
          </cell>
          <cell r="M991" t="str">
            <v>M</v>
          </cell>
          <cell r="O991" t="str">
            <v>055.49.90.70</v>
          </cell>
          <cell r="P991" t="str">
            <v>055.49.77.28</v>
          </cell>
          <cell r="Q991" t="str">
            <v>MARC.SOBRIE@NOTARIS.BE</v>
          </cell>
          <cell r="R991">
            <v>2656</v>
          </cell>
        </row>
        <row r="992">
          <cell r="A992">
            <v>991</v>
          </cell>
          <cell r="B992" t="str">
            <v>SOINNE Guy</v>
          </cell>
          <cell r="C992" t="str">
            <v>SOINNE Guy</v>
          </cell>
          <cell r="D992" t="str">
            <v>Notaris</v>
          </cell>
          <cell r="E992" t="str">
            <v>Chaussée de Haecht</v>
          </cell>
          <cell r="F992" t="str">
            <v>1788</v>
          </cell>
          <cell r="G992" t="str">
            <v>bte 3</v>
          </cell>
          <cell r="H992" t="str">
            <v>1130</v>
          </cell>
          <cell r="I992" t="str">
            <v>Bruxelles</v>
          </cell>
          <cell r="K992" t="str">
            <v>Bruxelles</v>
          </cell>
          <cell r="M992" t="str">
            <v>M</v>
          </cell>
          <cell r="O992" t="str">
            <v>02.705.36.21</v>
          </cell>
          <cell r="P992" t="str">
            <v>02.705.32.27</v>
          </cell>
          <cell r="Q992" t="str">
            <v>GUY.SOINNE@NOTARIS.BE</v>
          </cell>
          <cell r="R992">
            <v>3038</v>
          </cell>
        </row>
        <row r="993">
          <cell r="A993">
            <v>992</v>
          </cell>
          <cell r="B993" t="str">
            <v>SOMVILLE Yves</v>
          </cell>
          <cell r="C993" t="str">
            <v>SOMVILLE Yves</v>
          </cell>
          <cell r="D993" t="str">
            <v>Notaris</v>
          </cell>
          <cell r="E993" t="str">
            <v>Chaussée de Bruxelles</v>
          </cell>
          <cell r="F993" t="str">
            <v>10</v>
          </cell>
          <cell r="G993" t="str">
            <v/>
          </cell>
          <cell r="H993" t="str">
            <v>1490</v>
          </cell>
          <cell r="I993" t="str">
            <v>Brabant Wallon</v>
          </cell>
          <cell r="K993" t="str">
            <v>Court-Saint-Etienne</v>
          </cell>
          <cell r="M993" t="str">
            <v>M</v>
          </cell>
          <cell r="O993" t="str">
            <v>010.61.22.40</v>
          </cell>
          <cell r="P993" t="str">
            <v>010.61.62.81</v>
          </cell>
          <cell r="Q993" t="str">
            <v>YVES.SOMVILLE@NOTAIRE.BE</v>
          </cell>
          <cell r="R993">
            <v>3370</v>
          </cell>
        </row>
        <row r="994">
          <cell r="A994">
            <v>993</v>
          </cell>
          <cell r="B994" t="str">
            <v>SORGELOOS Guy</v>
          </cell>
          <cell r="C994" t="str">
            <v>SORGELOOS Guy</v>
          </cell>
          <cell r="D994" t="str">
            <v>Notaris</v>
          </cell>
          <cell r="E994" t="str">
            <v>rue de Ruysbroeckstraat</v>
          </cell>
          <cell r="F994" t="str">
            <v>90</v>
          </cell>
          <cell r="G994" t="str">
            <v>bte 2</v>
          </cell>
          <cell r="H994" t="str">
            <v>1000</v>
          </cell>
          <cell r="I994" t="str">
            <v>Bruxelles</v>
          </cell>
          <cell r="K994" t="str">
            <v>Bruxelles</v>
          </cell>
          <cell r="M994" t="str">
            <v>M</v>
          </cell>
          <cell r="O994" t="str">
            <v>02.512.05.72</v>
          </cell>
          <cell r="P994" t="str">
            <v>02.512.04.50</v>
          </cell>
          <cell r="Q994" t="str">
            <v>GUY.SORGELOOS@NOTAIRE.BE</v>
          </cell>
          <cell r="R994">
            <v>16</v>
          </cell>
        </row>
        <row r="995">
          <cell r="A995">
            <v>994</v>
          </cell>
          <cell r="B995" t="str">
            <v>ARNOUT SCHOTSMANS &amp; ADRIENNE SPAEPEN</v>
          </cell>
          <cell r="C995" t="str">
            <v>Spaepen Adrienne</v>
          </cell>
          <cell r="D995" t="str">
            <v>Geassocieerd Notaris</v>
          </cell>
          <cell r="E995" t="str">
            <v>G. de Stassartstraat</v>
          </cell>
          <cell r="F995" t="str">
            <v>24</v>
          </cell>
          <cell r="G995" t="str">
            <v/>
          </cell>
          <cell r="H995" t="str">
            <v>2800</v>
          </cell>
          <cell r="I995" t="str">
            <v>Antwerpen</v>
          </cell>
          <cell r="K995" t="str">
            <v>Mechelen</v>
          </cell>
          <cell r="M995" t="str">
            <v>Vr</v>
          </cell>
          <cell r="O995" t="str">
            <v>015.28.60.10</v>
          </cell>
          <cell r="P995" t="str">
            <v>015.28.60.15</v>
          </cell>
          <cell r="Q995" t="str">
            <v>adrienne.spaepen@notaris.be</v>
          </cell>
          <cell r="R995">
            <v>3639</v>
          </cell>
        </row>
        <row r="996">
          <cell r="A996">
            <v>995</v>
          </cell>
          <cell r="B996" t="str">
            <v>bvba notaris Georges Springer</v>
          </cell>
          <cell r="C996" t="str">
            <v>Springer Georges</v>
          </cell>
          <cell r="D996" t="str">
            <v>Notaris</v>
          </cell>
          <cell r="E996" t="str">
            <v>Grote Markt</v>
          </cell>
          <cell r="F996" t="str">
            <v>17</v>
          </cell>
          <cell r="G996" t="str">
            <v/>
          </cell>
          <cell r="H996" t="str">
            <v>3300</v>
          </cell>
          <cell r="I996" t="str">
            <v>Vlaams Brabant</v>
          </cell>
          <cell r="K996" t="str">
            <v>Tienen</v>
          </cell>
          <cell r="M996" t="str">
            <v>M</v>
          </cell>
          <cell r="O996" t="str">
            <v>016.81.12.56</v>
          </cell>
          <cell r="P996" t="str">
            <v>016.82.20.42</v>
          </cell>
          <cell r="Q996" t="str">
            <v>GEORGES.SPRINGER@NOTARIS.BE</v>
          </cell>
          <cell r="R996">
            <v>2969</v>
          </cell>
        </row>
        <row r="997">
          <cell r="A997">
            <v>996</v>
          </cell>
          <cell r="B997" t="str">
            <v>SPROTEN Bernard</v>
          </cell>
          <cell r="C997" t="str">
            <v>SPROTEN Bernard</v>
          </cell>
          <cell r="D997" t="str">
            <v>Notaris</v>
          </cell>
          <cell r="E997" t="str">
            <v>Rue de Wiesenbach</v>
          </cell>
          <cell r="F997" t="str">
            <v>1</v>
          </cell>
          <cell r="G997" t="str">
            <v/>
          </cell>
          <cell r="H997" t="str">
            <v>4780</v>
          </cell>
          <cell r="I997" t="str">
            <v>Liège</v>
          </cell>
          <cell r="K997" t="str">
            <v>Sankt Vith</v>
          </cell>
          <cell r="M997" t="str">
            <v>M</v>
          </cell>
          <cell r="O997" t="str">
            <v>080.22.86.69</v>
          </cell>
          <cell r="P997" t="str">
            <v>080.22.77.38</v>
          </cell>
          <cell r="Q997" t="str">
            <v>BERNARD.SPROTEN@NOTAIRE.BE</v>
          </cell>
          <cell r="R997">
            <v>2640</v>
          </cell>
        </row>
        <row r="998">
          <cell r="A998">
            <v>997</v>
          </cell>
          <cell r="B998" t="str">
            <v>BERQUIN NOTARISSEN - BERQUIN NOTAIRES</v>
          </cell>
          <cell r="C998" t="str">
            <v>Spruyt Eric</v>
          </cell>
          <cell r="D998" t="str">
            <v>Geassocieerd Notaris</v>
          </cell>
          <cell r="E998" t="str">
            <v>Avenue Lloyd Georgelaan</v>
          </cell>
          <cell r="F998" t="str">
            <v>11</v>
          </cell>
          <cell r="G998" t="str">
            <v/>
          </cell>
          <cell r="H998" t="str">
            <v>1000</v>
          </cell>
          <cell r="I998" t="str">
            <v>Bruxelles</v>
          </cell>
          <cell r="K998" t="str">
            <v>Bruxelles</v>
          </cell>
          <cell r="M998" t="str">
            <v>M</v>
          </cell>
          <cell r="O998" t="str">
            <v>02.645.19.45</v>
          </cell>
          <cell r="P998" t="str">
            <v>02.645.19.86</v>
          </cell>
          <cell r="Q998" t="str">
            <v>ERIC.SPRUYT@NOTARIS.BE</v>
          </cell>
          <cell r="R998">
            <v>3224</v>
          </cell>
        </row>
        <row r="999">
          <cell r="A999">
            <v>998</v>
          </cell>
          <cell r="B999" t="str">
            <v>LOGGHE - STAESSENS</v>
          </cell>
          <cell r="C999" t="str">
            <v>Staessens Sandy</v>
          </cell>
          <cell r="D999" t="str">
            <v>Geassocieerd Notaris</v>
          </cell>
          <cell r="E999" t="str">
            <v>Fabiolaan</v>
          </cell>
          <cell r="F999" t="str">
            <v>26</v>
          </cell>
          <cell r="G999" t="str">
            <v/>
          </cell>
          <cell r="H999" t="str">
            <v>8930</v>
          </cell>
          <cell r="I999" t="str">
            <v>West-Vlaanderen</v>
          </cell>
          <cell r="K999" t="str">
            <v>Menen</v>
          </cell>
          <cell r="M999" t="str">
            <v>Vr</v>
          </cell>
          <cell r="O999" t="str">
            <v>056/51.15.17</v>
          </cell>
          <cell r="P999" t="str">
            <v>056/51.82.92</v>
          </cell>
          <cell r="Q999" t="str">
            <v>sandy.staessens@notaris.be</v>
          </cell>
          <cell r="R999">
            <v>3657</v>
          </cell>
        </row>
        <row r="1000">
          <cell r="A1000">
            <v>999</v>
          </cell>
          <cell r="B1000" t="str">
            <v>STALPAERT Joris</v>
          </cell>
          <cell r="C1000" t="str">
            <v>STALPAERT Joris</v>
          </cell>
          <cell r="D1000" t="str">
            <v>Notaris</v>
          </cell>
          <cell r="E1000" t="str">
            <v>Grote Bollostraat</v>
          </cell>
          <cell r="F1000" t="str">
            <v>60</v>
          </cell>
          <cell r="G1000" t="str">
            <v/>
          </cell>
          <cell r="H1000" t="str">
            <v>3120</v>
          </cell>
          <cell r="I1000" t="str">
            <v>Vlaams Brabant</v>
          </cell>
          <cell r="K1000" t="str">
            <v>Tremelo</v>
          </cell>
          <cell r="M1000" t="str">
            <v>M</v>
          </cell>
          <cell r="O1000" t="str">
            <v>016.53.01.74</v>
          </cell>
          <cell r="P1000" t="str">
            <v>016.52.01.32</v>
          </cell>
          <cell r="Q1000" t="str">
            <v>JORIS.STALPAERT@NOTARIS.BE</v>
          </cell>
          <cell r="R1000">
            <v>3305</v>
          </cell>
        </row>
        <row r="1001">
          <cell r="A1001">
            <v>1000</v>
          </cell>
          <cell r="B1001" t="str">
            <v>G. STAS DE RICHELLE &amp; D. ROULEZ SPRL</v>
          </cell>
          <cell r="C1001" t="str">
            <v>StasdeRichelle Geoffroy</v>
          </cell>
          <cell r="D1001" t="str">
            <v>Geassocieerd Notaris</v>
          </cell>
          <cell r="E1001" t="str">
            <v>Chaussée de Bruxelles</v>
          </cell>
          <cell r="F1001" t="str">
            <v>95</v>
          </cell>
          <cell r="G1001" t="str">
            <v/>
          </cell>
          <cell r="H1001" t="str">
            <v>1410</v>
          </cell>
          <cell r="I1001" t="str">
            <v>Brabant Wallon</v>
          </cell>
          <cell r="K1001" t="str">
            <v>Waterloo</v>
          </cell>
          <cell r="M1001" t="str">
            <v>M</v>
          </cell>
          <cell r="O1001" t="str">
            <v>02.354.01.85</v>
          </cell>
          <cell r="P1001" t="str">
            <v>02.354.36.46</v>
          </cell>
          <cell r="Q1001" t="str">
            <v>GEOFFROY.STASDERICHELLE@NOTAIRE.BE</v>
          </cell>
          <cell r="R1001">
            <v>3590</v>
          </cell>
        </row>
        <row r="1002">
          <cell r="A1002">
            <v>1001</v>
          </cell>
          <cell r="B1002" t="str">
            <v>STASSER Vincent</v>
          </cell>
          <cell r="C1002" t="str">
            <v>STASSER Vincent</v>
          </cell>
          <cell r="D1002" t="str">
            <v>Notaris</v>
          </cell>
          <cell r="E1002" t="str">
            <v>Rue d´Houffalize</v>
          </cell>
          <cell r="F1002" t="str">
            <v>41</v>
          </cell>
          <cell r="G1002" t="str">
            <v/>
          </cell>
          <cell r="H1002" t="str">
            <v>6670</v>
          </cell>
          <cell r="I1002" t="str">
            <v>Luxembourg</v>
          </cell>
          <cell r="K1002" t="str">
            <v>Gouvy</v>
          </cell>
          <cell r="M1002" t="str">
            <v>M</v>
          </cell>
          <cell r="O1002" t="str">
            <v>080.51.70.42</v>
          </cell>
          <cell r="P1002" t="str">
            <v>080.51.77.53</v>
          </cell>
          <cell r="Q1002" t="str">
            <v>VINCENT.STASSER@NOTAIRE.BE</v>
          </cell>
          <cell r="R1002">
            <v>3221</v>
          </cell>
        </row>
        <row r="1003">
          <cell r="A1003">
            <v>1002</v>
          </cell>
          <cell r="B1003" t="str">
            <v>STEENACKERS Louis A.</v>
          </cell>
          <cell r="C1003" t="str">
            <v>STEENACKERS Louis A.</v>
          </cell>
          <cell r="D1003" t="str">
            <v>Notaris</v>
          </cell>
          <cell r="E1003" t="str">
            <v>Amerikalei</v>
          </cell>
          <cell r="F1003" t="str">
            <v>58</v>
          </cell>
          <cell r="G1003" t="str">
            <v/>
          </cell>
          <cell r="H1003" t="str">
            <v>2000</v>
          </cell>
          <cell r="I1003" t="str">
            <v>Antwerpen</v>
          </cell>
          <cell r="K1003" t="str">
            <v>Antwerpen</v>
          </cell>
          <cell r="M1003" t="str">
            <v>M</v>
          </cell>
          <cell r="O1003" t="str">
            <v>03.260.90.50</v>
          </cell>
          <cell r="P1003" t="str">
            <v>03.260.90.55</v>
          </cell>
          <cell r="Q1003" t="str">
            <v>LOUIS.STEENACKERS@NOTARIS.BE</v>
          </cell>
          <cell r="R1003">
            <v>3380</v>
          </cell>
        </row>
        <row r="1004">
          <cell r="A1004">
            <v>1003</v>
          </cell>
          <cell r="B1004" t="str">
            <v>STEENEBRUGGEN Yves</v>
          </cell>
          <cell r="C1004" t="str">
            <v>STEENEBRUGGEN Yves</v>
          </cell>
          <cell r="D1004" t="str">
            <v>Notaris</v>
          </cell>
          <cell r="E1004" t="str">
            <v>Avenue du Roi</v>
          </cell>
          <cell r="F1004" t="str">
            <v>177</v>
          </cell>
          <cell r="G1004" t="str">
            <v/>
          </cell>
          <cell r="H1004" t="str">
            <v>1190</v>
          </cell>
          <cell r="I1004" t="str">
            <v>Bruxelles</v>
          </cell>
          <cell r="K1004" t="str">
            <v>Bruxelles</v>
          </cell>
          <cell r="M1004" t="str">
            <v>M</v>
          </cell>
          <cell r="O1004" t="str">
            <v>02.537.28.53</v>
          </cell>
          <cell r="P1004" t="str">
            <v>02.537.01.00</v>
          </cell>
          <cell r="Q1004" t="str">
            <v>YVES.STEENEBRUGGEN@NOTAIRE.BE</v>
          </cell>
          <cell r="R1004">
            <v>2442</v>
          </cell>
        </row>
        <row r="1005">
          <cell r="A1005">
            <v>1004</v>
          </cell>
          <cell r="B1005" t="str">
            <v>STERCKMANS Pierre</v>
          </cell>
          <cell r="C1005" t="str">
            <v>STERCKMANS Pierre</v>
          </cell>
          <cell r="D1005" t="str">
            <v>Notaris</v>
          </cell>
          <cell r="E1005" t="str">
            <v>Rue des Frères Taymans</v>
          </cell>
          <cell r="F1005" t="str">
            <v>34</v>
          </cell>
          <cell r="G1005" t="str">
            <v/>
          </cell>
          <cell r="H1005" t="str">
            <v>1480</v>
          </cell>
          <cell r="I1005" t="str">
            <v>Brabant Wallon</v>
          </cell>
          <cell r="K1005" t="str">
            <v>Tubize</v>
          </cell>
          <cell r="M1005" t="str">
            <v>M</v>
          </cell>
          <cell r="O1005" t="str">
            <v>02.355.94.99</v>
          </cell>
          <cell r="P1005" t="str">
            <v>02.355.52.49</v>
          </cell>
          <cell r="Q1005" t="str">
            <v>PIERRE.STERCKMANS@NOTAIRE.BE</v>
          </cell>
          <cell r="R1005">
            <v>2951</v>
          </cell>
        </row>
        <row r="1006">
          <cell r="A1006">
            <v>1005</v>
          </cell>
          <cell r="B1006" t="str">
            <v>STEVAUX Marie-Cécile</v>
          </cell>
          <cell r="C1006" t="str">
            <v>STEVAUX Marie-Cécile</v>
          </cell>
          <cell r="D1006" t="str">
            <v>Notaris</v>
          </cell>
          <cell r="E1006" t="str">
            <v>Rue de l´Athénée</v>
          </cell>
          <cell r="F1006" t="str">
            <v>19</v>
          </cell>
          <cell r="G1006" t="str">
            <v/>
          </cell>
          <cell r="H1006" t="str">
            <v>6460</v>
          </cell>
          <cell r="I1006" t="str">
            <v>Hainaut</v>
          </cell>
          <cell r="K1006" t="str">
            <v>Chimay</v>
          </cell>
          <cell r="M1006" t="str">
            <v>Vr</v>
          </cell>
          <cell r="O1006" t="str">
            <v>060.21.10.86</v>
          </cell>
          <cell r="P1006" t="str">
            <v>060.21.43.66</v>
          </cell>
          <cell r="Q1006" t="str">
            <v>MARIECECILE.STEVAUX@NOTAIRE.BE</v>
          </cell>
          <cell r="R1006">
            <v>2908</v>
          </cell>
        </row>
        <row r="1007">
          <cell r="A1007">
            <v>1006</v>
          </cell>
          <cell r="B1007" t="str">
            <v>STEVENART Manuel</v>
          </cell>
          <cell r="C1007" t="str">
            <v>STEVENART Manuel</v>
          </cell>
          <cell r="D1007" t="str">
            <v>Notaris</v>
          </cell>
          <cell r="E1007" t="str">
            <v>Grand´ Place</v>
          </cell>
          <cell r="F1007" t="str">
            <v>3</v>
          </cell>
          <cell r="G1007" t="str">
            <v/>
          </cell>
          <cell r="H1007" t="str">
            <v>7700</v>
          </cell>
          <cell r="I1007" t="str">
            <v>Hainaut</v>
          </cell>
          <cell r="K1007" t="str">
            <v>Mouscron</v>
          </cell>
          <cell r="M1007" t="str">
            <v>M</v>
          </cell>
          <cell r="O1007" t="str">
            <v>056.33.05.41</v>
          </cell>
          <cell r="P1007" t="str">
            <v>056.33.75.26</v>
          </cell>
          <cell r="Q1007" t="str">
            <v>MANUEL.STEVENART@NOTAIRE.BE</v>
          </cell>
          <cell r="R1007">
            <v>2541</v>
          </cell>
        </row>
        <row r="1008">
          <cell r="A1008">
            <v>1007</v>
          </cell>
          <cell r="B1008" t="str">
            <v>STEYAERT Mieke</v>
          </cell>
          <cell r="C1008" t="str">
            <v>STEYAERT Mieke</v>
          </cell>
          <cell r="D1008" t="str">
            <v>Notaris</v>
          </cell>
          <cell r="E1008" t="str">
            <v>Charles de Kerchovelaan</v>
          </cell>
          <cell r="F1008" t="str">
            <v>307</v>
          </cell>
          <cell r="G1008" t="str">
            <v/>
          </cell>
          <cell r="H1008" t="str">
            <v>9000</v>
          </cell>
          <cell r="I1008" t="str">
            <v>Oost-Vlaanderen</v>
          </cell>
          <cell r="K1008" t="str">
            <v>Gent</v>
          </cell>
          <cell r="M1008" t="str">
            <v>Vr</v>
          </cell>
          <cell r="O1008" t="str">
            <v>09.222.88.97</v>
          </cell>
          <cell r="P1008" t="str">
            <v>09.222.97.67</v>
          </cell>
          <cell r="Q1008" t="str">
            <v>MIEKE.STEYAERT@NOTARIS.BE</v>
          </cell>
          <cell r="R1008">
            <v>3623</v>
          </cell>
        </row>
        <row r="1009">
          <cell r="A1009">
            <v>1008</v>
          </cell>
          <cell r="B1009" t="str">
            <v>STIERS Roland</v>
          </cell>
          <cell r="C1009" t="str">
            <v>STIERS Roland</v>
          </cell>
          <cell r="D1009" t="str">
            <v>Notaire</v>
          </cell>
          <cell r="E1009" t="str">
            <v>Quai Roi Albert</v>
          </cell>
          <cell r="F1009" t="str">
            <v>53</v>
          </cell>
          <cell r="G1009" t="str">
            <v/>
          </cell>
          <cell r="H1009" t="str">
            <v>4020</v>
          </cell>
          <cell r="I1009" t="str">
            <v>Liège</v>
          </cell>
          <cell r="K1009" t="str">
            <v>Bressoux</v>
          </cell>
          <cell r="M1009" t="str">
            <v>M</v>
          </cell>
          <cell r="O1009" t="str">
            <v>04.343.03.30</v>
          </cell>
          <cell r="P1009" t="str">
            <v>04.343.08.81</v>
          </cell>
          <cell r="Q1009" t="str">
            <v>ROLAND.STIERS@NOTAIRE.BE</v>
          </cell>
          <cell r="R1009">
            <v>3350</v>
          </cell>
        </row>
        <row r="1010">
          <cell r="A1010">
            <v>1009</v>
          </cell>
          <cell r="B1010" t="str">
            <v>STOCKMAN Philippe</v>
          </cell>
          <cell r="C1010" t="str">
            <v>STOCKMAN Philippe</v>
          </cell>
          <cell r="D1010" t="str">
            <v>Notaris</v>
          </cell>
          <cell r="E1010" t="str">
            <v>Stationsstraat</v>
          </cell>
          <cell r="F1010" t="str">
            <v>91</v>
          </cell>
          <cell r="G1010" t="str">
            <v/>
          </cell>
          <cell r="H1010" t="str">
            <v>8890</v>
          </cell>
          <cell r="I1010" t="str">
            <v>West-Vlaanderen</v>
          </cell>
          <cell r="K1010" t="str">
            <v>Moorslede</v>
          </cell>
          <cell r="L1010">
            <v>20178</v>
          </cell>
          <cell r="M1010" t="str">
            <v>M</v>
          </cell>
          <cell r="O1010" t="str">
            <v>051.77.72.44</v>
          </cell>
          <cell r="P1010" t="str">
            <v>051.77.92.62</v>
          </cell>
          <cell r="Q1010" t="str">
            <v>PHILIPPE.STOCKMAN@NOTARIS.BE</v>
          </cell>
          <cell r="R1010">
            <v>2650</v>
          </cell>
        </row>
        <row r="1011">
          <cell r="A1011">
            <v>1010</v>
          </cell>
          <cell r="B1011" t="str">
            <v>STOEFS Paul</v>
          </cell>
          <cell r="C1011" t="str">
            <v>STOEFS Paul</v>
          </cell>
          <cell r="D1011" t="str">
            <v>Notaris</v>
          </cell>
          <cell r="E1011" t="str">
            <v>Rue du Bosquet</v>
          </cell>
          <cell r="F1011" t="str">
            <v>15</v>
          </cell>
          <cell r="G1011" t="str">
            <v/>
          </cell>
          <cell r="H1011" t="str">
            <v>1370</v>
          </cell>
          <cell r="I1011" t="str">
            <v>Brabant Wallon</v>
          </cell>
          <cell r="K1011" t="str">
            <v>Jodoigne</v>
          </cell>
          <cell r="M1011" t="str">
            <v>M</v>
          </cell>
          <cell r="O1011" t="str">
            <v>010.81.08.06</v>
          </cell>
          <cell r="P1011" t="str">
            <v>010.81.35.06</v>
          </cell>
          <cell r="Q1011" t="str">
            <v>PAUL.STOEFS@NOTAIRE.BE</v>
          </cell>
          <cell r="R1011">
            <v>2475</v>
          </cell>
        </row>
        <row r="1012">
          <cell r="A1012">
            <v>1011</v>
          </cell>
          <cell r="B1012" t="str">
            <v>STOEL Cor</v>
          </cell>
          <cell r="C1012" t="str">
            <v>STOEL Cor</v>
          </cell>
          <cell r="D1012" t="str">
            <v>Notaris</v>
          </cell>
          <cell r="E1012" t="str">
            <v>Sint-Rochusstraat</v>
          </cell>
          <cell r="F1012" t="str">
            <v>1</v>
          </cell>
          <cell r="G1012" t="str">
            <v/>
          </cell>
          <cell r="H1012" t="str">
            <v>2330</v>
          </cell>
          <cell r="I1012" t="str">
            <v>Antwerpen</v>
          </cell>
          <cell r="K1012" t="str">
            <v>Merksplas</v>
          </cell>
          <cell r="M1012" t="str">
            <v>M</v>
          </cell>
          <cell r="O1012" t="str">
            <v>014.63.30.43</v>
          </cell>
          <cell r="P1012" t="str">
            <v>014.63.41.56</v>
          </cell>
          <cell r="Q1012" t="str">
            <v>COR.STOEL@NOTARIS.BE</v>
          </cell>
          <cell r="R1012">
            <v>2995</v>
          </cell>
        </row>
        <row r="1013">
          <cell r="A1013">
            <v>1012</v>
          </cell>
          <cell r="B1013" t="str">
            <v>STOOP Dirk</v>
          </cell>
          <cell r="C1013" t="str">
            <v>Stoop Dirk</v>
          </cell>
          <cell r="D1013" t="str">
            <v>Notaris</v>
          </cell>
          <cell r="E1013" t="str">
            <v>Abraham Verhoevenlaan</v>
          </cell>
          <cell r="F1013" t="str">
            <v>3</v>
          </cell>
          <cell r="G1013" t="str">
            <v/>
          </cell>
          <cell r="H1013" t="str">
            <v>2050</v>
          </cell>
          <cell r="I1013" t="str">
            <v>Antwerpen</v>
          </cell>
          <cell r="K1013" t="str">
            <v>Antwerpen</v>
          </cell>
          <cell r="M1013" t="str">
            <v>M</v>
          </cell>
          <cell r="O1013" t="str">
            <v>03.210.91.70</v>
          </cell>
          <cell r="P1013" t="str">
            <v>03.210.91.78</v>
          </cell>
          <cell r="Q1013" t="str">
            <v>dirk.stoop@notaris.be</v>
          </cell>
          <cell r="R1013">
            <v>90</v>
          </cell>
        </row>
        <row r="1014">
          <cell r="A1014">
            <v>1013</v>
          </cell>
          <cell r="B1014" t="str">
            <v>STORY François</v>
          </cell>
          <cell r="C1014" t="str">
            <v>STORY François</v>
          </cell>
          <cell r="D1014" t="str">
            <v>Notaris</v>
          </cell>
          <cell r="E1014" t="str">
            <v>Molenstraat</v>
          </cell>
          <cell r="F1014" t="str">
            <v>24</v>
          </cell>
          <cell r="G1014" t="str">
            <v/>
          </cell>
          <cell r="H1014" t="str">
            <v>9620</v>
          </cell>
          <cell r="I1014" t="str">
            <v>Oost-Vlaanderen</v>
          </cell>
          <cell r="K1014" t="str">
            <v>Zottegem</v>
          </cell>
          <cell r="M1014" t="str">
            <v>M</v>
          </cell>
          <cell r="O1014" t="str">
            <v>09.360.01.32</v>
          </cell>
          <cell r="P1014" t="str">
            <v>09.360.69.89</v>
          </cell>
          <cell r="Q1014" t="str">
            <v>FRANCOIS.STORY@NOTARIS.BE</v>
          </cell>
          <cell r="R1014">
            <v>3070</v>
          </cell>
        </row>
        <row r="1015">
          <cell r="A1015">
            <v>1014</v>
          </cell>
          <cell r="B1015" t="str">
            <v>Chantal Strivay Notaire SCP SPRL</v>
          </cell>
          <cell r="C1015" t="str">
            <v>Strivay Chantal</v>
          </cell>
          <cell r="D1015" t="str">
            <v>Notaris</v>
          </cell>
          <cell r="E1015" t="str">
            <v>Rue des 4 Grands</v>
          </cell>
          <cell r="F1015" t="str">
            <v>11</v>
          </cell>
          <cell r="G1015" t="str">
            <v/>
          </cell>
          <cell r="H1015" t="str">
            <v>4101</v>
          </cell>
          <cell r="I1015" t="str">
            <v>Liège</v>
          </cell>
          <cell r="K1015" t="str">
            <v>Jemeppe-sur-Meuse</v>
          </cell>
          <cell r="M1015" t="str">
            <v>Vr</v>
          </cell>
          <cell r="O1015" t="str">
            <v>04.234.99.99</v>
          </cell>
          <cell r="P1015" t="str">
            <v>04.234.99.90</v>
          </cell>
          <cell r="Q1015" t="str">
            <v>CHANTAL.STRIVAY@NOTAIRE.BE</v>
          </cell>
          <cell r="R1015">
            <v>2795</v>
          </cell>
        </row>
        <row r="1016">
          <cell r="A1016">
            <v>1015</v>
          </cell>
          <cell r="B1016" t="str">
            <v>Strobbe Benedicte &amp; Ann</v>
          </cell>
          <cell r="C1016" t="str">
            <v>Strobbe Ann</v>
          </cell>
          <cell r="D1016" t="str">
            <v>Geassocieerd Notaris</v>
          </cell>
          <cell r="E1016" t="str">
            <v>Guido Gezellestraat</v>
          </cell>
          <cell r="F1016" t="str">
            <v>4</v>
          </cell>
          <cell r="G1016" t="str">
            <v/>
          </cell>
          <cell r="H1016" t="str">
            <v>8790</v>
          </cell>
          <cell r="I1016" t="str">
            <v>West-Vlaanderen</v>
          </cell>
          <cell r="K1016" t="str">
            <v>Waregem</v>
          </cell>
          <cell r="M1016" t="str">
            <v>Vr</v>
          </cell>
          <cell r="O1016" t="str">
            <v>056.60.14.68</v>
          </cell>
          <cell r="P1016" t="str">
            <v>056.61.13.95</v>
          </cell>
          <cell r="Q1016" t="str">
            <v>ann.strobbe@notaris.be</v>
          </cell>
          <cell r="R1016">
            <v>1250</v>
          </cell>
          <cell r="T1016">
            <v>38273</v>
          </cell>
        </row>
        <row r="1017">
          <cell r="A1017">
            <v>1016</v>
          </cell>
          <cell r="B1017" t="str">
            <v>Strobbe Benedicte &amp; Ann</v>
          </cell>
          <cell r="C1017" t="str">
            <v>Strobbe Benedicte</v>
          </cell>
          <cell r="D1017" t="str">
            <v>Geassocieerd Notaris</v>
          </cell>
          <cell r="E1017" t="str">
            <v>Guido Gezellestraat</v>
          </cell>
          <cell r="F1017" t="str">
            <v>4</v>
          </cell>
          <cell r="G1017" t="str">
            <v/>
          </cell>
          <cell r="H1017" t="str">
            <v>8790</v>
          </cell>
          <cell r="I1017" t="str">
            <v>West-Vlaanderen</v>
          </cell>
          <cell r="K1017" t="str">
            <v>Waregem</v>
          </cell>
          <cell r="M1017" t="str">
            <v>Vr</v>
          </cell>
          <cell r="O1017" t="str">
            <v>056.60.14.68</v>
          </cell>
          <cell r="P1017" t="str">
            <v>056.61.13.95</v>
          </cell>
          <cell r="Q1017" t="str">
            <v>benedicte.strobbe@notaris.be</v>
          </cell>
          <cell r="R1017">
            <v>1250</v>
          </cell>
        </row>
        <row r="1018">
          <cell r="A1018">
            <v>1017</v>
          </cell>
          <cell r="B1018" t="str">
            <v>MICHIELS &amp; STROEYKENS</v>
          </cell>
          <cell r="C1018" t="str">
            <v>Stroeykens Lieve</v>
          </cell>
          <cell r="D1018" t="str">
            <v>Geassocieerd Notaris</v>
          </cell>
          <cell r="E1018" t="str">
            <v>Boudewijnlaan</v>
          </cell>
          <cell r="F1018" t="str">
            <v>19</v>
          </cell>
          <cell r="G1018" t="str">
            <v/>
          </cell>
          <cell r="H1018" t="str">
            <v>3200</v>
          </cell>
          <cell r="I1018" t="str">
            <v>Vlaams Brabant</v>
          </cell>
          <cell r="K1018" t="str">
            <v>Aarschot</v>
          </cell>
          <cell r="M1018" t="str">
            <v>Vr</v>
          </cell>
          <cell r="O1018" t="str">
            <v>016/56.17.74</v>
          </cell>
          <cell r="P1018" t="str">
            <v>016/56.72.66</v>
          </cell>
          <cell r="Q1018" t="str">
            <v>lieve.stroeykens@notaris.be</v>
          </cell>
          <cell r="R1018">
            <v>3665</v>
          </cell>
        </row>
        <row r="1019">
          <cell r="A1019">
            <v>1018</v>
          </cell>
          <cell r="B1019" t="str">
            <v>STRUYF Erik-Michel</v>
          </cell>
          <cell r="C1019" t="str">
            <v>STRUYF Erik-Michel</v>
          </cell>
          <cell r="D1019" t="str">
            <v>Notaris</v>
          </cell>
          <cell r="E1019" t="str">
            <v>Avenue R. Neyberghstraat</v>
          </cell>
          <cell r="F1019" t="str">
            <v>41-43</v>
          </cell>
          <cell r="G1019" t="str">
            <v/>
          </cell>
          <cell r="H1019" t="str">
            <v>1020</v>
          </cell>
          <cell r="I1019" t="str">
            <v>Bruxelles</v>
          </cell>
          <cell r="K1019" t="str">
            <v>Bruxelles</v>
          </cell>
          <cell r="M1019" t="str">
            <v>M</v>
          </cell>
          <cell r="O1019" t="str">
            <v>02.423.01.90</v>
          </cell>
          <cell r="P1019" t="str">
            <v>02.425.03.79</v>
          </cell>
          <cell r="Q1019" t="str">
            <v>ERIKMICHEL.STRUYF@NOTAIRE.BE</v>
          </cell>
          <cell r="R1019">
            <v>3267</v>
          </cell>
        </row>
        <row r="1020">
          <cell r="A1020">
            <v>1019</v>
          </cell>
          <cell r="B1020" t="str">
            <v>STRYPSTEEN Philippe</v>
          </cell>
          <cell r="C1020" t="str">
            <v>STRYPSTEEN Philippe</v>
          </cell>
          <cell r="D1020" t="str">
            <v>Notaris</v>
          </cell>
          <cell r="E1020" t="str">
            <v>Burg. Fr. Desmidtplein</v>
          </cell>
          <cell r="F1020" t="str">
            <v>3</v>
          </cell>
          <cell r="G1020" t="str">
            <v>bus 1</v>
          </cell>
          <cell r="H1020" t="str">
            <v>8300</v>
          </cell>
          <cell r="I1020" t="str">
            <v>West-Vlaanderen</v>
          </cell>
          <cell r="K1020" t="str">
            <v>Knokke-Heist</v>
          </cell>
          <cell r="L1020">
            <v>19977</v>
          </cell>
          <cell r="M1020" t="str">
            <v>M</v>
          </cell>
          <cell r="O1020" t="str">
            <v>050.60.31.63</v>
          </cell>
          <cell r="P1020" t="str">
            <v>050.61.03.01</v>
          </cell>
          <cell r="Q1020" t="str">
            <v>PHILIPPE.STRYPSTEEN@NOTARIS.BE</v>
          </cell>
          <cell r="R1020">
            <v>3459</v>
          </cell>
        </row>
        <row r="1021">
          <cell r="A1021">
            <v>1020</v>
          </cell>
          <cell r="B1021" t="str">
            <v>STYNEN Herbert</v>
          </cell>
          <cell r="C1021" t="str">
            <v>STYNEN Herbert</v>
          </cell>
          <cell r="D1021" t="str">
            <v>Notaris</v>
          </cell>
          <cell r="E1021" t="str">
            <v>Pastorijstraat</v>
          </cell>
          <cell r="F1021" t="str">
            <v>13</v>
          </cell>
          <cell r="G1021" t="str">
            <v xml:space="preserve"> </v>
          </cell>
          <cell r="H1021" t="str">
            <v>2460</v>
          </cell>
          <cell r="I1021" t="str">
            <v>Antwerpen</v>
          </cell>
          <cell r="K1021" t="str">
            <v>Kasterlee</v>
          </cell>
          <cell r="M1021" t="str">
            <v>M</v>
          </cell>
          <cell r="O1021" t="str">
            <v>014.85.47.80</v>
          </cell>
          <cell r="P1021" t="str">
            <v>014.85.47.78</v>
          </cell>
          <cell r="Q1021" t="str">
            <v>HERBERT.STYNEN@NOTARIS.BE</v>
          </cell>
          <cell r="R1021">
            <v>3303</v>
          </cell>
        </row>
        <row r="1022">
          <cell r="A1022">
            <v>1021</v>
          </cell>
          <cell r="B1022" t="str">
            <v>SZABO Anne-Mie</v>
          </cell>
          <cell r="C1022" t="str">
            <v>SZABO Anne-Mie</v>
          </cell>
          <cell r="D1022" t="str">
            <v>Notaris</v>
          </cell>
          <cell r="E1022" t="str">
            <v>Begijnenstraat</v>
          </cell>
          <cell r="F1022" t="str">
            <v>8</v>
          </cell>
          <cell r="G1022" t="str">
            <v/>
          </cell>
          <cell r="H1022" t="str">
            <v>2300</v>
          </cell>
          <cell r="I1022" t="str">
            <v>Antwerpen</v>
          </cell>
          <cell r="K1022" t="str">
            <v>Turnhout</v>
          </cell>
          <cell r="M1022" t="str">
            <v>Vr</v>
          </cell>
          <cell r="O1022" t="str">
            <v>014.41.19.87</v>
          </cell>
          <cell r="P1022" t="str">
            <v>014.41.94.69</v>
          </cell>
          <cell r="Q1022" t="str">
            <v>Annemie.szabo@notaris.be</v>
          </cell>
          <cell r="R1022">
            <v>3631</v>
          </cell>
        </row>
        <row r="1023">
          <cell r="A1023">
            <v>1022</v>
          </cell>
          <cell r="B1023" t="str">
            <v>HUGO TACK &amp; CATHERINE DE MOOR</v>
          </cell>
          <cell r="C1023" t="str">
            <v>Tack Hugo</v>
          </cell>
          <cell r="D1023" t="str">
            <v>Geassocieerd Notaris</v>
          </cell>
          <cell r="E1023" t="str">
            <v>Zamanstraat</v>
          </cell>
          <cell r="F1023" t="str">
            <v>14</v>
          </cell>
          <cell r="G1023" t="str">
            <v/>
          </cell>
          <cell r="H1023" t="str">
            <v>9100</v>
          </cell>
          <cell r="I1023" t="str">
            <v>Oost-Vlaanderen</v>
          </cell>
          <cell r="K1023" t="str">
            <v>Sint-Niklaas</v>
          </cell>
          <cell r="M1023" t="str">
            <v>M</v>
          </cell>
          <cell r="O1023" t="str">
            <v>03/776.02.38</v>
          </cell>
          <cell r="P1023" t="str">
            <v>03/766.11.53</v>
          </cell>
          <cell r="Q1023" t="str">
            <v>HUGO.TACK@NOTARIS.BE</v>
          </cell>
          <cell r="R1023">
            <v>3654</v>
          </cell>
        </row>
        <row r="1024">
          <cell r="A1024">
            <v>1023</v>
          </cell>
          <cell r="B1024" t="str">
            <v>TAEKE Pierre</v>
          </cell>
          <cell r="C1024" t="str">
            <v>TAEKE Pierre</v>
          </cell>
          <cell r="D1024" t="str">
            <v>Notaris</v>
          </cell>
          <cell r="E1024" t="str">
            <v>Rue de la Gare</v>
          </cell>
          <cell r="F1024" t="str">
            <v>22</v>
          </cell>
          <cell r="G1024" t="str">
            <v/>
          </cell>
          <cell r="H1024" t="str">
            <v>7620</v>
          </cell>
          <cell r="I1024" t="str">
            <v>Hainaut</v>
          </cell>
          <cell r="K1024" t="str">
            <v>Jollain-Merlin</v>
          </cell>
          <cell r="M1024" t="str">
            <v>M</v>
          </cell>
          <cell r="O1024" t="str">
            <v>069.34.62.12</v>
          </cell>
          <cell r="P1024" t="str">
            <v>069.34.55.32</v>
          </cell>
          <cell r="Q1024" t="str">
            <v>PIERRE.TAEKE@NOTAIRE.BE</v>
          </cell>
          <cell r="R1024">
            <v>2439</v>
          </cell>
          <cell r="S1024" t="str">
            <v>000-0822670-13</v>
          </cell>
          <cell r="T1024">
            <v>28839</v>
          </cell>
        </row>
        <row r="1025">
          <cell r="A1025">
            <v>1024</v>
          </cell>
          <cell r="B1025" t="str">
            <v>TAHON Catherine</v>
          </cell>
          <cell r="C1025" t="str">
            <v>TAHON Catherine</v>
          </cell>
          <cell r="D1025" t="str">
            <v>Notaris</v>
          </cell>
          <cell r="E1025" t="str">
            <v>Rue Léon Castilhon</v>
          </cell>
          <cell r="F1025" t="str">
            <v>24</v>
          </cell>
          <cell r="G1025" t="str">
            <v/>
          </cell>
          <cell r="H1025" t="str">
            <v>6700</v>
          </cell>
          <cell r="I1025" t="str">
            <v>Luxembourg</v>
          </cell>
          <cell r="K1025" t="str">
            <v>Arlon</v>
          </cell>
          <cell r="M1025" t="str">
            <v>Vr</v>
          </cell>
          <cell r="O1025" t="str">
            <v>063.22.06.38</v>
          </cell>
          <cell r="P1025" t="str">
            <v>063.23.25.68</v>
          </cell>
          <cell r="Q1025" t="str">
            <v>CATHERINE.TAHON@NOTAIRE.BE</v>
          </cell>
          <cell r="R1025">
            <v>3507</v>
          </cell>
        </row>
        <row r="1026">
          <cell r="A1026">
            <v>1025</v>
          </cell>
          <cell r="B1026" t="str">
            <v>TALLOEN Luc</v>
          </cell>
          <cell r="C1026" t="str">
            <v>TALLOEN Luc</v>
          </cell>
          <cell r="D1026" t="str">
            <v>Notaris</v>
          </cell>
          <cell r="E1026" t="str">
            <v>Brusselsestraat</v>
          </cell>
          <cell r="F1026" t="str">
            <v>190</v>
          </cell>
          <cell r="G1026" t="str">
            <v/>
          </cell>
          <cell r="H1026" t="str">
            <v>3000</v>
          </cell>
          <cell r="I1026" t="str">
            <v>Vlaams Brabant</v>
          </cell>
          <cell r="K1026" t="str">
            <v>Leuven</v>
          </cell>
          <cell r="M1026" t="str">
            <v>M</v>
          </cell>
          <cell r="O1026" t="str">
            <v>016.22.51.14</v>
          </cell>
          <cell r="P1026" t="str">
            <v>016.20.74.93</v>
          </cell>
          <cell r="Q1026" t="str">
            <v>LUC.TALLOEN@NOTARIS.BE</v>
          </cell>
          <cell r="R1026">
            <v>2499</v>
          </cell>
        </row>
        <row r="1027">
          <cell r="A1027">
            <v>1026</v>
          </cell>
          <cell r="B1027" t="str">
            <v>ERIC TALLON &amp; VINCENT TALLON</v>
          </cell>
          <cell r="C1027" t="str">
            <v>Tallon Eric</v>
          </cell>
          <cell r="D1027" t="str">
            <v>Geassocieerd Notaris</v>
          </cell>
          <cell r="E1027" t="str">
            <v>Kasteellaan</v>
          </cell>
          <cell r="F1027" t="str">
            <v>12</v>
          </cell>
          <cell r="G1027" t="str">
            <v/>
          </cell>
          <cell r="H1027" t="str">
            <v>3450</v>
          </cell>
          <cell r="I1027" t="str">
            <v>Vlaams Brabant</v>
          </cell>
          <cell r="K1027" t="str">
            <v>Geetbets</v>
          </cell>
          <cell r="M1027" t="str">
            <v>M</v>
          </cell>
          <cell r="O1027" t="str">
            <v>011.58.70.17</v>
          </cell>
          <cell r="P1027" t="str">
            <v>011.58.11.55</v>
          </cell>
          <cell r="Q1027" t="str">
            <v>ERIC.TALLON@NOTARIS.BE</v>
          </cell>
          <cell r="R1027">
            <v>3598</v>
          </cell>
        </row>
        <row r="1028">
          <cell r="A1028">
            <v>1027</v>
          </cell>
          <cell r="B1028" t="str">
            <v>ERIC TALLON &amp; VINCENT TALLON</v>
          </cell>
          <cell r="C1028" t="str">
            <v>Tallon Vincent</v>
          </cell>
          <cell r="D1028" t="str">
            <v>Geassocieerd Notaris</v>
          </cell>
          <cell r="E1028" t="str">
            <v>Kasteellaan</v>
          </cell>
          <cell r="F1028" t="str">
            <v>12</v>
          </cell>
          <cell r="G1028" t="str">
            <v/>
          </cell>
          <cell r="H1028" t="str">
            <v>3450</v>
          </cell>
          <cell r="I1028" t="str">
            <v>Vlaams Brabant</v>
          </cell>
          <cell r="K1028" t="str">
            <v>Geetbets</v>
          </cell>
          <cell r="M1028" t="str">
            <v>M</v>
          </cell>
          <cell r="O1028" t="str">
            <v>011.58.70.17</v>
          </cell>
          <cell r="P1028" t="str">
            <v>011.58.11.55</v>
          </cell>
          <cell r="Q1028" t="str">
            <v>VINCENT.TALLON@NOTARIS.BE</v>
          </cell>
          <cell r="R1028">
            <v>3598</v>
          </cell>
        </row>
        <row r="1029">
          <cell r="A1029">
            <v>1028</v>
          </cell>
          <cell r="B1029" t="str">
            <v>Dominique Tasset Notaire SPRL</v>
          </cell>
          <cell r="C1029" t="str">
            <v>Tasset Dominique</v>
          </cell>
          <cell r="D1029" t="str">
            <v>Notaris</v>
          </cell>
          <cell r="E1029" t="str">
            <v>Grand´Place</v>
          </cell>
          <cell r="F1029" t="str">
            <v>30</v>
          </cell>
          <cell r="G1029" t="str">
            <v/>
          </cell>
          <cell r="H1029" t="str">
            <v>7090</v>
          </cell>
          <cell r="I1029" t="str">
            <v>Hainaut</v>
          </cell>
          <cell r="K1029" t="str">
            <v>Braine-le-Comte</v>
          </cell>
          <cell r="M1029" t="str">
            <v>Vr</v>
          </cell>
          <cell r="O1029" t="str">
            <v>067.55.05.55</v>
          </cell>
          <cell r="P1029" t="str">
            <v>067.56.05.35</v>
          </cell>
          <cell r="Q1029" t="str">
            <v>DOMINIQUE.TASSET@NOTAIRE.BE</v>
          </cell>
          <cell r="R1029">
            <v>3447</v>
          </cell>
        </row>
        <row r="1030">
          <cell r="A1030">
            <v>1029</v>
          </cell>
          <cell r="B1030" t="str">
            <v>TAYMANS Jean-Francois</v>
          </cell>
          <cell r="C1030" t="str">
            <v>TAYMANS Jean-Francois</v>
          </cell>
          <cell r="D1030" t="str">
            <v>Notaris</v>
          </cell>
          <cell r="E1030" t="str">
            <v>Rue du Midi</v>
          </cell>
          <cell r="F1030" t="str">
            <v>146</v>
          </cell>
          <cell r="G1030" t="str">
            <v/>
          </cell>
          <cell r="H1030" t="str">
            <v>1000</v>
          </cell>
          <cell r="I1030" t="str">
            <v>Bruxelles</v>
          </cell>
          <cell r="K1030" t="str">
            <v>Bruxelles</v>
          </cell>
          <cell r="M1030" t="str">
            <v>M</v>
          </cell>
          <cell r="O1030" t="str">
            <v>02.512.01.40</v>
          </cell>
          <cell r="P1030" t="str">
            <v>02.512.61.66</v>
          </cell>
          <cell r="Q1030" t="str">
            <v>JEANFRANCOIS.TAYMANS@NOTAIRE.BE</v>
          </cell>
          <cell r="R1030">
            <v>1082</v>
          </cell>
        </row>
        <row r="1031">
          <cell r="A1031">
            <v>1030</v>
          </cell>
          <cell r="B1031" t="str">
            <v>TAYMANS d´EYPERNON Nadine</v>
          </cell>
          <cell r="C1031" t="str">
            <v>TaymansdEypernon Nadine</v>
          </cell>
          <cell r="D1031" t="str">
            <v>Notaris</v>
          </cell>
          <cell r="E1031" t="str">
            <v>rue De Crayerstraat</v>
          </cell>
          <cell r="F1031" t="str">
            <v>7</v>
          </cell>
          <cell r="G1031" t="str">
            <v/>
          </cell>
          <cell r="H1031" t="str">
            <v>1000</v>
          </cell>
          <cell r="I1031" t="str">
            <v>Bruxelles</v>
          </cell>
          <cell r="K1031" t="str">
            <v>Bruxelles</v>
          </cell>
          <cell r="M1031" t="str">
            <v>Vr</v>
          </cell>
          <cell r="O1031" t="str">
            <v>02.649.61.22</v>
          </cell>
          <cell r="P1031" t="str">
            <v>02.644.32.47</v>
          </cell>
          <cell r="Q1031" t="str">
            <v>NADINE.TAYMANSDEYPERNON@NOTAIRE.BE</v>
          </cell>
          <cell r="R1031">
            <v>2529</v>
          </cell>
        </row>
        <row r="1032">
          <cell r="A1032">
            <v>1031</v>
          </cell>
          <cell r="B1032" t="str">
            <v>THEVELIN Henri</v>
          </cell>
          <cell r="C1032" t="str">
            <v>THEVELIN Henri</v>
          </cell>
          <cell r="D1032" t="str">
            <v>Notaris</v>
          </cell>
          <cell r="E1032" t="str">
            <v>Gentstraat</v>
          </cell>
          <cell r="F1032" t="str">
            <v>12</v>
          </cell>
          <cell r="G1032" t="str">
            <v/>
          </cell>
          <cell r="H1032" t="str">
            <v>8957</v>
          </cell>
          <cell r="I1032" t="str">
            <v>West-Vlaanderen</v>
          </cell>
          <cell r="K1032" t="str">
            <v>Mesen</v>
          </cell>
          <cell r="L1032">
            <v>23175</v>
          </cell>
          <cell r="M1032" t="str">
            <v>M</v>
          </cell>
          <cell r="O1032" t="str">
            <v>057.44.51.51</v>
          </cell>
          <cell r="P1032" t="str">
            <v>057.44.60.97</v>
          </cell>
          <cell r="Q1032" t="str">
            <v>HENRI.THEVELIN@NOTARIS.BE</v>
          </cell>
          <cell r="R1032">
            <v>3209</v>
          </cell>
        </row>
        <row r="1033">
          <cell r="A1033">
            <v>1032</v>
          </cell>
          <cell r="B1033" t="str">
            <v>THIBAUT de MAISIERES Eric</v>
          </cell>
          <cell r="C1033" t="str">
            <v>ThibautdeMaisieres Eric</v>
          </cell>
          <cell r="D1033" t="str">
            <v>Notaris</v>
          </cell>
          <cell r="E1033" t="str">
            <v>Blanchestraat</v>
          </cell>
          <cell r="F1033" t="str">
            <v>15</v>
          </cell>
          <cell r="G1033" t="str">
            <v>bte 8</v>
          </cell>
          <cell r="H1033" t="str">
            <v>1050</v>
          </cell>
          <cell r="I1033" t="str">
            <v>Bruxelles</v>
          </cell>
          <cell r="K1033" t="str">
            <v>Bruxelles</v>
          </cell>
          <cell r="M1033" t="str">
            <v>M</v>
          </cell>
          <cell r="O1033" t="str">
            <v>02.537.37.01</v>
          </cell>
          <cell r="P1033" t="str">
            <v>02.539.41.80</v>
          </cell>
          <cell r="Q1033" t="str">
            <v>ERIC.THIBAUTDEMAISIERES@NOTAIRE.BE</v>
          </cell>
          <cell r="R1033">
            <v>3105</v>
          </cell>
        </row>
        <row r="1034">
          <cell r="A1034">
            <v>1033</v>
          </cell>
          <cell r="B1034" t="str">
            <v>THIELENS Joëlle</v>
          </cell>
          <cell r="C1034" t="str">
            <v>THIELENS Joëlle</v>
          </cell>
          <cell r="D1034" t="str">
            <v>Notaris</v>
          </cell>
          <cell r="E1034" t="str">
            <v>chaussée de Charleroi</v>
          </cell>
          <cell r="F1034" t="str">
            <v>241</v>
          </cell>
          <cell r="G1034" t="str">
            <v/>
          </cell>
          <cell r="H1034" t="str">
            <v>6220</v>
          </cell>
          <cell r="I1034" t="str">
            <v>Hainaut</v>
          </cell>
          <cell r="K1034" t="str">
            <v>Fleurus</v>
          </cell>
          <cell r="M1034" t="str">
            <v>Vr</v>
          </cell>
          <cell r="O1034" t="str">
            <v>071.81.18.05</v>
          </cell>
          <cell r="P1034" t="str">
            <v>071.81.22.54</v>
          </cell>
          <cell r="Q1034" t="str">
            <v>JOELLE.THIELENS@NOTAIRE.BE</v>
          </cell>
          <cell r="R1034">
            <v>3511</v>
          </cell>
        </row>
        <row r="1035">
          <cell r="A1035">
            <v>1034</v>
          </cell>
          <cell r="B1035" t="str">
            <v>THIERY-VANDER HEYDE Joseph</v>
          </cell>
          <cell r="C1035" t="str">
            <v>ThieryVanderHeyde Joseph</v>
          </cell>
          <cell r="D1035" t="str">
            <v>Notaris</v>
          </cell>
          <cell r="E1035" t="str">
            <v>Rumbeeksesteenweg</v>
          </cell>
          <cell r="F1035" t="str">
            <v>352</v>
          </cell>
          <cell r="G1035" t="str">
            <v/>
          </cell>
          <cell r="H1035" t="str">
            <v>8800</v>
          </cell>
          <cell r="I1035" t="str">
            <v>West-Vlaanderen</v>
          </cell>
          <cell r="K1035" t="str">
            <v>Rumbeke</v>
          </cell>
          <cell r="L1035">
            <v>18842</v>
          </cell>
          <cell r="M1035" t="str">
            <v>M</v>
          </cell>
          <cell r="O1035" t="str">
            <v>051.26.02.92</v>
          </cell>
          <cell r="P1035" t="str">
            <v>051.26.02.93</v>
          </cell>
          <cell r="Q1035" t="str">
            <v>JOSEPH.THIERYVANDERHEYDE@NOTARIS.BE</v>
          </cell>
          <cell r="R1035">
            <v>2734</v>
          </cell>
        </row>
        <row r="1036">
          <cell r="A1036">
            <v>1035</v>
          </cell>
          <cell r="B1036" t="str">
            <v>THIRAN Bernard</v>
          </cell>
          <cell r="C1036" t="str">
            <v>THIRAN Bernard</v>
          </cell>
          <cell r="D1036" t="str">
            <v>Notaris</v>
          </cell>
          <cell r="E1036" t="str">
            <v>Rue Le Campinaire</v>
          </cell>
          <cell r="F1036" t="str">
            <v>28</v>
          </cell>
          <cell r="G1036" t="str">
            <v/>
          </cell>
          <cell r="H1036" t="str">
            <v>6240</v>
          </cell>
          <cell r="I1036" t="str">
            <v>Hainaut</v>
          </cell>
          <cell r="K1036" t="str">
            <v>Farciennes</v>
          </cell>
          <cell r="M1036" t="str">
            <v>M</v>
          </cell>
          <cell r="O1036" t="str">
            <v>071.38.06.79</v>
          </cell>
          <cell r="P1036" t="str">
            <v>071.38.05.37</v>
          </cell>
          <cell r="Q1036" t="str">
            <v>BERNARD.THIRAN@NOTAIRE.BE</v>
          </cell>
          <cell r="R1036">
            <v>2974</v>
          </cell>
        </row>
        <row r="1037">
          <cell r="A1037">
            <v>1036</v>
          </cell>
          <cell r="B1037" t="str">
            <v>THOMAS Luc</v>
          </cell>
          <cell r="C1037" t="str">
            <v>THOMAS Luc</v>
          </cell>
          <cell r="D1037" t="str">
            <v>Notaris</v>
          </cell>
          <cell r="E1037" t="str">
            <v>Chaussée Victor Lampe</v>
          </cell>
          <cell r="F1037" t="str">
            <v>125</v>
          </cell>
          <cell r="G1037" t="str">
            <v/>
          </cell>
          <cell r="H1037" t="str">
            <v>7866</v>
          </cell>
          <cell r="I1037" t="str">
            <v>Hainaut</v>
          </cell>
          <cell r="K1037" t="str">
            <v>Ollignies</v>
          </cell>
          <cell r="M1037" t="str">
            <v>M</v>
          </cell>
          <cell r="O1037" t="str">
            <v>068.27.09.00</v>
          </cell>
          <cell r="P1037" t="str">
            <v>068.33.75.93</v>
          </cell>
          <cell r="Q1037" t="str">
            <v>LUC.THOMAS@NOTAIRE.BE</v>
          </cell>
          <cell r="R1037">
            <v>2854</v>
          </cell>
        </row>
        <row r="1038">
          <cell r="A1038">
            <v>1037</v>
          </cell>
          <cell r="B1038" t="str">
            <v>THOMAS Pierre</v>
          </cell>
          <cell r="C1038" t="str">
            <v>THOMAS Pierre</v>
          </cell>
          <cell r="D1038" t="str">
            <v>Notaris</v>
          </cell>
          <cell r="E1038" t="str">
            <v>Cordoeaniersstraat</v>
          </cell>
          <cell r="F1038" t="str">
            <v>10</v>
          </cell>
          <cell r="G1038" t="str">
            <v/>
          </cell>
          <cell r="H1038" t="str">
            <v>8000</v>
          </cell>
          <cell r="I1038" t="str">
            <v>West-Vlaanderen</v>
          </cell>
          <cell r="K1038" t="str">
            <v>Brugge</v>
          </cell>
          <cell r="L1038">
            <v>15355</v>
          </cell>
          <cell r="M1038" t="str">
            <v>M</v>
          </cell>
          <cell r="O1038" t="str">
            <v>050.33.53.07</v>
          </cell>
          <cell r="P1038" t="str">
            <v>050.33.62.68</v>
          </cell>
          <cell r="Q1038" t="str">
            <v>PIERRE.THOMAS@NOTARIS.BE</v>
          </cell>
          <cell r="R1038">
            <v>1085</v>
          </cell>
        </row>
        <row r="1039">
          <cell r="A1039">
            <v>1038</v>
          </cell>
          <cell r="B1039" t="str">
            <v>THYS Michel</v>
          </cell>
          <cell r="C1039" t="str">
            <v>THYS Michel</v>
          </cell>
          <cell r="D1039" t="str">
            <v>Notaris</v>
          </cell>
          <cell r="E1039" t="str">
            <v>Bd de la Cambre</v>
          </cell>
          <cell r="F1039" t="str">
            <v>74</v>
          </cell>
          <cell r="G1039" t="str">
            <v/>
          </cell>
          <cell r="H1039" t="str">
            <v>1000</v>
          </cell>
          <cell r="I1039" t="str">
            <v>Bruxelles</v>
          </cell>
          <cell r="K1039" t="str">
            <v>Bruxelles</v>
          </cell>
          <cell r="M1039" t="str">
            <v>M</v>
          </cell>
          <cell r="O1039" t="str">
            <v>02.626.24.60</v>
          </cell>
          <cell r="P1039" t="str">
            <v>02.626.24.69</v>
          </cell>
          <cell r="Q1039" t="str">
            <v>MICHEL.THYS@NOTAIRE.BE</v>
          </cell>
          <cell r="R1039">
            <v>2796</v>
          </cell>
        </row>
        <row r="1040">
          <cell r="A1040">
            <v>1039</v>
          </cell>
          <cell r="B1040" t="str">
            <v>TILMANS Philippe</v>
          </cell>
          <cell r="C1040" t="str">
            <v>TILMANS Philippe</v>
          </cell>
          <cell r="D1040" t="str">
            <v>Notaris</v>
          </cell>
          <cell r="E1040" t="str">
            <v>Rue de la Station</v>
          </cell>
          <cell r="F1040" t="str">
            <v>49</v>
          </cell>
          <cell r="G1040" t="str">
            <v/>
          </cell>
          <cell r="H1040" t="str">
            <v>6920</v>
          </cell>
          <cell r="I1040" t="str">
            <v>Luxembourg</v>
          </cell>
          <cell r="K1040" t="str">
            <v>Wellin</v>
          </cell>
          <cell r="M1040" t="str">
            <v>M</v>
          </cell>
          <cell r="O1040" t="str">
            <v>084.38.81.23</v>
          </cell>
          <cell r="P1040" t="str">
            <v>084.38.95.80</v>
          </cell>
          <cell r="Q1040" t="str">
            <v>PHILIPPE.TILMANS@NOTAIRE.BE</v>
          </cell>
          <cell r="R1040">
            <v>2610</v>
          </cell>
        </row>
        <row r="1041">
          <cell r="A1041">
            <v>1040</v>
          </cell>
          <cell r="B1041" t="str">
            <v>TIMMERMANS Alain</v>
          </cell>
          <cell r="C1041" t="str">
            <v>TIMMERMANS Alain</v>
          </cell>
          <cell r="D1041" t="str">
            <v>Notaris</v>
          </cell>
          <cell r="E1041" t="str">
            <v>rue de la Petite Batte</v>
          </cell>
          <cell r="F1041" t="str">
            <v>6</v>
          </cell>
          <cell r="G1041" t="str">
            <v/>
          </cell>
          <cell r="H1041" t="str">
            <v>6941</v>
          </cell>
          <cell r="I1041" t="str">
            <v>Luxembourg</v>
          </cell>
          <cell r="K1041" t="str">
            <v>Bomal-sur-Ourthe</v>
          </cell>
          <cell r="M1041" t="str">
            <v>M</v>
          </cell>
          <cell r="O1041" t="str">
            <v>086.21.10.10</v>
          </cell>
          <cell r="P1041" t="str">
            <v>086.21.38.36</v>
          </cell>
          <cell r="Q1041" t="str">
            <v>alain.timmermans@belnot.be</v>
          </cell>
          <cell r="R1041">
            <v>3048</v>
          </cell>
        </row>
        <row r="1042">
          <cell r="A1042">
            <v>1041</v>
          </cell>
          <cell r="B1042" t="str">
            <v>TIMMERMANS Didier</v>
          </cell>
          <cell r="C1042" t="str">
            <v>TIMMERMANS Didier</v>
          </cell>
          <cell r="D1042" t="str">
            <v>Notaris</v>
          </cell>
          <cell r="E1042" t="str">
            <v>Rue Saint-Nicolas</v>
          </cell>
          <cell r="F1042" t="str">
            <v>67</v>
          </cell>
          <cell r="G1042" t="str">
            <v/>
          </cell>
          <cell r="H1042" t="str">
            <v>4000</v>
          </cell>
          <cell r="I1042" t="str">
            <v>Liège</v>
          </cell>
          <cell r="K1042" t="str">
            <v>Liège</v>
          </cell>
          <cell r="M1042" t="str">
            <v>M</v>
          </cell>
          <cell r="O1042" t="str">
            <v>04.252.62.13</v>
          </cell>
          <cell r="P1042" t="str">
            <v>04.254.15.46</v>
          </cell>
          <cell r="Q1042" t="str">
            <v>didier.timmermans@notaire.be</v>
          </cell>
          <cell r="R1042">
            <v>3119</v>
          </cell>
        </row>
        <row r="1043">
          <cell r="A1043">
            <v>1042</v>
          </cell>
          <cell r="B1043" t="str">
            <v>OLIVIER TIMMERMANS &amp; DANIELLE DUHEN</v>
          </cell>
          <cell r="C1043" t="str">
            <v>Timmermans Olivier</v>
          </cell>
          <cell r="D1043" t="str">
            <v>Geassocieerd Notaris</v>
          </cell>
          <cell r="E1043" t="str">
            <v>Avenue Josse Goffinlaan</v>
          </cell>
          <cell r="F1043" t="str">
            <v>16</v>
          </cell>
          <cell r="G1043" t="str">
            <v/>
          </cell>
          <cell r="H1043" t="str">
            <v>1082</v>
          </cell>
          <cell r="I1043" t="str">
            <v>Bruxelles</v>
          </cell>
          <cell r="K1043" t="str">
            <v>Bruxelles</v>
          </cell>
          <cell r="M1043" t="str">
            <v>M</v>
          </cell>
          <cell r="O1043" t="str">
            <v>02.465.29.18</v>
          </cell>
          <cell r="P1043" t="str">
            <v>02.465.35.17</v>
          </cell>
          <cell r="Q1043" t="str">
            <v>OLIVIER.TIMMERMANS@NOTAIRE.BE</v>
          </cell>
          <cell r="R1043">
            <v>3605</v>
          </cell>
        </row>
        <row r="1044">
          <cell r="A1044">
            <v>1043</v>
          </cell>
          <cell r="B1044" t="str">
            <v>Timmermans Peter</v>
          </cell>
          <cell r="C1044" t="str">
            <v>Timmermans Peter</v>
          </cell>
          <cell r="D1044" t="str">
            <v>Notaris</v>
          </cell>
          <cell r="E1044" t="str">
            <v>Van de Wervestraat</v>
          </cell>
          <cell r="F1044" t="str">
            <v>63</v>
          </cell>
          <cell r="G1044" t="str">
            <v/>
          </cell>
          <cell r="H1044" t="str">
            <v>2060</v>
          </cell>
          <cell r="I1044" t="str">
            <v>Antwerpen</v>
          </cell>
          <cell r="K1044" t="str">
            <v>Antwerpen</v>
          </cell>
          <cell r="M1044" t="str">
            <v>M</v>
          </cell>
          <cell r="O1044" t="str">
            <v>03.213.03.03</v>
          </cell>
          <cell r="P1044" t="str">
            <v>03.213.51.38</v>
          </cell>
          <cell r="Q1044" t="str">
            <v>Peter.Timmermans@NOTARIS.BE</v>
          </cell>
          <cell r="R1044">
            <v>2520</v>
          </cell>
          <cell r="T1044">
            <v>38468</v>
          </cell>
        </row>
        <row r="1045">
          <cell r="A1045">
            <v>1044</v>
          </cell>
          <cell r="B1045" t="str">
            <v>TIMMERMANS &amp; MEURIS BVBA</v>
          </cell>
          <cell r="C1045" t="str">
            <v>Timmermans Willem</v>
          </cell>
          <cell r="D1045" t="str">
            <v>Geassocieerd Notaris</v>
          </cell>
          <cell r="E1045" t="str">
            <v>Molenstraat</v>
          </cell>
          <cell r="F1045" t="str">
            <v>46</v>
          </cell>
          <cell r="G1045" t="str">
            <v/>
          </cell>
          <cell r="H1045" t="str">
            <v>3270</v>
          </cell>
          <cell r="I1045" t="str">
            <v>Vlaams Brabant</v>
          </cell>
          <cell r="K1045" t="str">
            <v>Scherpenheuvel-Zichem</v>
          </cell>
          <cell r="M1045" t="str">
            <v>M</v>
          </cell>
          <cell r="O1045" t="str">
            <v>013.77.23.00</v>
          </cell>
          <cell r="P1045" t="str">
            <v>013.77.84.50</v>
          </cell>
          <cell r="Q1045" t="str">
            <v>WILLEM.TIMMERMANS@NOTARIS.BE</v>
          </cell>
          <cell r="R1045">
            <v>3563</v>
          </cell>
        </row>
        <row r="1046">
          <cell r="A1046">
            <v>1045</v>
          </cell>
          <cell r="B1046" t="str">
            <v>TOBBACK WELLEKENS en ROOMS</v>
          </cell>
          <cell r="C1046" t="str">
            <v>Tobback Karel</v>
          </cell>
          <cell r="D1046" t="str">
            <v>Geassocieerd Notaris</v>
          </cell>
          <cell r="E1046" t="str">
            <v>H. Spillemaeckersstraat</v>
          </cell>
          <cell r="F1046" t="str">
            <v>50</v>
          </cell>
          <cell r="G1046" t="str">
            <v/>
          </cell>
          <cell r="H1046" t="str">
            <v>2850</v>
          </cell>
          <cell r="I1046" t="str">
            <v>Antwerpen</v>
          </cell>
          <cell r="K1046" t="str">
            <v>Boom</v>
          </cell>
          <cell r="M1046" t="str">
            <v>M</v>
          </cell>
          <cell r="O1046" t="str">
            <v>03.888.02.05</v>
          </cell>
          <cell r="P1046" t="str">
            <v>03.844.46.79</v>
          </cell>
          <cell r="Q1046" t="str">
            <v>karel.tobback@belnot.be</v>
          </cell>
          <cell r="R1046">
            <v>3483</v>
          </cell>
        </row>
        <row r="1047">
          <cell r="A1047">
            <v>1046</v>
          </cell>
          <cell r="B1047" t="str">
            <v>TOBBACK Leopold</v>
          </cell>
          <cell r="C1047" t="str">
            <v>TOBBACK Leopold</v>
          </cell>
          <cell r="D1047" t="str">
            <v>Notaris</v>
          </cell>
          <cell r="E1047" t="str">
            <v>Stenenbrug</v>
          </cell>
          <cell r="F1047" t="str">
            <v>105</v>
          </cell>
          <cell r="G1047" t="str">
            <v/>
          </cell>
          <cell r="H1047" t="str">
            <v>2140</v>
          </cell>
          <cell r="I1047" t="str">
            <v>Antwerpen</v>
          </cell>
          <cell r="K1047" t="str">
            <v>Borgerhout Antwerpen)</v>
          </cell>
          <cell r="M1047" t="str">
            <v>M</v>
          </cell>
          <cell r="O1047" t="str">
            <v>03.236.32.81</v>
          </cell>
          <cell r="P1047" t="str">
            <v>03.235.28.73</v>
          </cell>
          <cell r="Q1047" t="str">
            <v>LEOPOLD.TOBBACK@NOTARIS.BE</v>
          </cell>
          <cell r="R1047">
            <v>2614</v>
          </cell>
        </row>
        <row r="1048">
          <cell r="A1048">
            <v>1047</v>
          </cell>
          <cell r="B1048" t="str">
            <v>TONDEUR Joël</v>
          </cell>
          <cell r="C1048" t="str">
            <v>TONDEUR Joël</v>
          </cell>
          <cell r="D1048" t="str">
            <v>Notaris</v>
          </cell>
          <cell r="E1048" t="str">
            <v>Rue de Neufchâteau</v>
          </cell>
          <cell r="F1048" t="str">
            <v>31</v>
          </cell>
          <cell r="G1048" t="str">
            <v/>
          </cell>
          <cell r="H1048" t="str">
            <v>6600</v>
          </cell>
          <cell r="I1048" t="str">
            <v>Luxembourg</v>
          </cell>
          <cell r="K1048" t="str">
            <v>Bastogne</v>
          </cell>
          <cell r="M1048" t="str">
            <v>M</v>
          </cell>
          <cell r="O1048" t="str">
            <v>061.21.01.60</v>
          </cell>
          <cell r="P1048" t="str">
            <v>061.21.58.60</v>
          </cell>
          <cell r="Q1048" t="str">
            <v>JOEL.TONDEUR@NOTAIRE.BE</v>
          </cell>
          <cell r="R1048">
            <v>2879</v>
          </cell>
        </row>
        <row r="1049">
          <cell r="A1049">
            <v>1048</v>
          </cell>
          <cell r="B1049" t="str">
            <v>TONDREAU Emmanuël</v>
          </cell>
          <cell r="C1049" t="str">
            <v>TONDREAU Emmanuël</v>
          </cell>
          <cell r="D1049" t="str">
            <v>Notaris</v>
          </cell>
          <cell r="E1049" t="str">
            <v>Rue Jean Lescarts</v>
          </cell>
          <cell r="F1049" t="str">
            <v>15</v>
          </cell>
          <cell r="G1049" t="str">
            <v/>
          </cell>
          <cell r="H1049" t="str">
            <v>7000</v>
          </cell>
          <cell r="I1049" t="str">
            <v>Hainaut</v>
          </cell>
          <cell r="K1049" t="str">
            <v>Mons</v>
          </cell>
          <cell r="M1049" t="str">
            <v>M</v>
          </cell>
          <cell r="O1049" t="str">
            <v>065.35.18.73</v>
          </cell>
          <cell r="P1049" t="str">
            <v>065.36.10.59</v>
          </cell>
          <cell r="Q1049" t="str">
            <v>EMMANUEL.TONDREAU@NOTAIRE.BE</v>
          </cell>
          <cell r="R1049">
            <v>2441</v>
          </cell>
        </row>
        <row r="1050">
          <cell r="A1050">
            <v>1049</v>
          </cell>
          <cell r="B1050" t="str">
            <v>BERBEN TOPFF &amp; LOPEZ-HERNANDEZ</v>
          </cell>
          <cell r="C1050" t="str">
            <v>Topff Marc</v>
          </cell>
          <cell r="D1050" t="str">
            <v>Geassocieerd Notaris</v>
          </cell>
          <cell r="E1050" t="str">
            <v>Boseind</v>
          </cell>
          <cell r="F1050" t="str">
            <v>23</v>
          </cell>
          <cell r="G1050" t="str">
            <v/>
          </cell>
          <cell r="H1050" t="str">
            <v>3910</v>
          </cell>
          <cell r="I1050" t="str">
            <v>Limburg</v>
          </cell>
          <cell r="K1050" t="str">
            <v>Neerpelt</v>
          </cell>
          <cell r="M1050" t="str">
            <v>M</v>
          </cell>
          <cell r="O1050" t="str">
            <v>011.64.10.95</v>
          </cell>
          <cell r="P1050" t="str">
            <v>011.64.81.91</v>
          </cell>
          <cell r="Q1050" t="str">
            <v>marc.topff@notaire.be</v>
          </cell>
          <cell r="R1050">
            <v>3610</v>
          </cell>
        </row>
        <row r="1051">
          <cell r="A1051">
            <v>1050</v>
          </cell>
          <cell r="B1051" t="str">
            <v>Patrick TORRELLE BVBA</v>
          </cell>
          <cell r="C1051" t="str">
            <v>Torelle Patrick</v>
          </cell>
          <cell r="D1051" t="str">
            <v>Notaris</v>
          </cell>
          <cell r="E1051" t="str">
            <v>Marktstraat</v>
          </cell>
          <cell r="F1051" t="str">
            <v>52</v>
          </cell>
          <cell r="G1051" t="str">
            <v/>
          </cell>
          <cell r="H1051" t="str">
            <v>8530</v>
          </cell>
          <cell r="I1051" t="str">
            <v>West-Vlaanderen</v>
          </cell>
          <cell r="K1051" t="str">
            <v>Harelbeke</v>
          </cell>
          <cell r="L1051">
            <v>19259</v>
          </cell>
          <cell r="M1051" t="str">
            <v>M</v>
          </cell>
          <cell r="O1051" t="str">
            <v>056.71.12.86</v>
          </cell>
          <cell r="P1051" t="str">
            <v>056.71.10.96</v>
          </cell>
          <cell r="Q1051" t="str">
            <v>PATRICK.TORRELLE@NOTARIS.BE</v>
          </cell>
          <cell r="R1051">
            <v>3357</v>
          </cell>
        </row>
        <row r="1052">
          <cell r="A1052">
            <v>1051</v>
          </cell>
          <cell r="B1052" t="str">
            <v>TOURNIER Luc</v>
          </cell>
          <cell r="C1052" t="str">
            <v>TOURNIER Luc</v>
          </cell>
          <cell r="D1052" t="str">
            <v>Notaris</v>
          </cell>
          <cell r="E1052" t="str">
            <v>Koolmijnlaan</v>
          </cell>
          <cell r="F1052" t="str">
            <v>402</v>
          </cell>
          <cell r="G1052" t="str">
            <v/>
          </cell>
          <cell r="H1052" t="str">
            <v>3581</v>
          </cell>
          <cell r="I1052" t="str">
            <v>Limburg</v>
          </cell>
          <cell r="K1052" t="str">
            <v>Beverlo</v>
          </cell>
          <cell r="M1052" t="str">
            <v>M</v>
          </cell>
          <cell r="O1052" t="str">
            <v>011.42.57.01</v>
          </cell>
          <cell r="P1052" t="str">
            <v>011.42.87.45</v>
          </cell>
          <cell r="Q1052" t="str">
            <v>LUC.TOURNIER@NOTARIS.BE</v>
          </cell>
          <cell r="R1052">
            <v>3206</v>
          </cell>
        </row>
        <row r="1053">
          <cell r="A1053">
            <v>1052</v>
          </cell>
          <cell r="B1053" t="str">
            <v>TOYE André</v>
          </cell>
          <cell r="C1053" t="str">
            <v>TOYE André</v>
          </cell>
          <cell r="D1053" t="str">
            <v>Notaris</v>
          </cell>
          <cell r="E1053" t="str">
            <v>Fietelstraat</v>
          </cell>
          <cell r="F1053" t="str">
            <v>54</v>
          </cell>
          <cell r="G1053" t="str">
            <v/>
          </cell>
          <cell r="H1053" t="str">
            <v>9700</v>
          </cell>
          <cell r="I1053" t="str">
            <v>Oost-Vlaanderen</v>
          </cell>
          <cell r="K1053" t="str">
            <v>Oudenaarde</v>
          </cell>
          <cell r="M1053" t="str">
            <v>M</v>
          </cell>
          <cell r="O1053" t="str">
            <v>055.31.94.57</v>
          </cell>
          <cell r="P1053" t="str">
            <v>055.30.00.62</v>
          </cell>
          <cell r="Q1053" t="str">
            <v>ANDRE.TOYE@NOTARIS.BE</v>
          </cell>
          <cell r="R1053">
            <v>2749</v>
          </cell>
        </row>
        <row r="1054">
          <cell r="A1054">
            <v>1053</v>
          </cell>
          <cell r="B1054" t="str">
            <v>TUERLINCKX Bernard</v>
          </cell>
          <cell r="C1054" t="str">
            <v>TUERLINCKX Bernard</v>
          </cell>
          <cell r="D1054" t="str">
            <v>Notaris</v>
          </cell>
          <cell r="E1054" t="str">
            <v>Wechtersesteenweg</v>
          </cell>
          <cell r="F1054" t="str">
            <v>27</v>
          </cell>
          <cell r="G1054" t="str">
            <v/>
          </cell>
          <cell r="H1054" t="str">
            <v>3150</v>
          </cell>
          <cell r="I1054" t="str">
            <v>Vlaams Brabant</v>
          </cell>
          <cell r="K1054" t="str">
            <v>Haacht</v>
          </cell>
          <cell r="M1054" t="str">
            <v>M</v>
          </cell>
          <cell r="O1054" t="str">
            <v>016.60.14.54</v>
          </cell>
          <cell r="P1054" t="str">
            <v>016.60.03.08</v>
          </cell>
          <cell r="Q1054" t="str">
            <v>bernard.tuerlinckx@notaris.be</v>
          </cell>
          <cell r="R1054">
            <v>436</v>
          </cell>
          <cell r="T1054">
            <v>38621</v>
          </cell>
        </row>
        <row r="1055">
          <cell r="A1055">
            <v>1054</v>
          </cell>
          <cell r="B1055" t="str">
            <v>TUERLINCKX Luc &amp; Yves</v>
          </cell>
          <cell r="C1055" t="str">
            <v>Tuerlinckx Luc</v>
          </cell>
          <cell r="D1055" t="str">
            <v>Geassocieerd Notaris</v>
          </cell>
          <cell r="E1055" t="str">
            <v>Romboutstraat</v>
          </cell>
          <cell r="F1055" t="str">
            <v>6</v>
          </cell>
          <cell r="G1055" t="str">
            <v/>
          </cell>
          <cell r="H1055" t="str">
            <v>3740</v>
          </cell>
          <cell r="I1055" t="str">
            <v>Limburg</v>
          </cell>
          <cell r="K1055" t="str">
            <v>Bilzen</v>
          </cell>
          <cell r="M1055" t="str">
            <v>M</v>
          </cell>
          <cell r="O1055" t="str">
            <v>089/411032</v>
          </cell>
          <cell r="P1055" t="str">
            <v>089/417340</v>
          </cell>
          <cell r="Q1055" t="str">
            <v>luc.tuerlinckx@belnot.be</v>
          </cell>
          <cell r="R1055">
            <v>3662</v>
          </cell>
        </row>
        <row r="1056">
          <cell r="A1056">
            <v>1055</v>
          </cell>
          <cell r="B1056" t="str">
            <v>TUERLINCKX Luc &amp; Yves</v>
          </cell>
          <cell r="C1056" t="str">
            <v>Tuerlinckx Yves</v>
          </cell>
          <cell r="D1056" t="str">
            <v>Geassocieerd Notaris</v>
          </cell>
          <cell r="E1056" t="str">
            <v>Romboutstraat</v>
          </cell>
          <cell r="F1056" t="str">
            <v>6</v>
          </cell>
          <cell r="G1056" t="str">
            <v/>
          </cell>
          <cell r="H1056" t="str">
            <v>3740</v>
          </cell>
          <cell r="I1056" t="str">
            <v>Limburg</v>
          </cell>
          <cell r="K1056" t="str">
            <v>Bilzen</v>
          </cell>
          <cell r="M1056" t="str">
            <v>M</v>
          </cell>
          <cell r="O1056" t="str">
            <v>089/411032</v>
          </cell>
          <cell r="P1056" t="str">
            <v>089/417340</v>
          </cell>
          <cell r="Q1056" t="str">
            <v>yves.tuerlinckx@belnot.be</v>
          </cell>
          <cell r="R1056">
            <v>3662</v>
          </cell>
        </row>
        <row r="1057">
          <cell r="A1057">
            <v>1056</v>
          </cell>
          <cell r="B1057" t="str">
            <v>TULIPPE-HECQ Michel</v>
          </cell>
          <cell r="C1057" t="str">
            <v>TULIPPE-HECQ Michel</v>
          </cell>
          <cell r="D1057" t="str">
            <v>Notaris</v>
          </cell>
          <cell r="E1057" t="str">
            <v>Rue de Roubaix</v>
          </cell>
          <cell r="F1057" t="str">
            <v>50</v>
          </cell>
          <cell r="G1057" t="str">
            <v/>
          </cell>
          <cell r="H1057" t="str">
            <v>7520</v>
          </cell>
          <cell r="I1057" t="str">
            <v>Hainaut</v>
          </cell>
          <cell r="K1057" t="str">
            <v>Templeuve Tournai)</v>
          </cell>
          <cell r="M1057" t="str">
            <v>M</v>
          </cell>
          <cell r="O1057" t="str">
            <v>069.35.23.89</v>
          </cell>
          <cell r="P1057" t="str">
            <v>069.35.22.70</v>
          </cell>
          <cell r="Q1057" t="str">
            <v>MICHEL.TULIPPE@NOTAIRE.BE</v>
          </cell>
          <cell r="R1057">
            <v>3014</v>
          </cell>
        </row>
        <row r="1058">
          <cell r="A1058">
            <v>1057</v>
          </cell>
          <cell r="B1058" t="str">
            <v>TYTGAT Charles &amp; Jean</v>
          </cell>
          <cell r="C1058" t="str">
            <v>Tytgat Charles</v>
          </cell>
          <cell r="D1058" t="str">
            <v>Geassocieerd Notaris</v>
          </cell>
          <cell r="E1058" t="str">
            <v>Place de l´Eglise</v>
          </cell>
          <cell r="F1058" t="str">
            <v>19</v>
          </cell>
          <cell r="G1058" t="str">
            <v/>
          </cell>
          <cell r="H1058" t="str">
            <v>5190</v>
          </cell>
          <cell r="I1058" t="str">
            <v>Namur</v>
          </cell>
          <cell r="K1058" t="str">
            <v>Spy</v>
          </cell>
          <cell r="M1058" t="str">
            <v>M</v>
          </cell>
          <cell r="O1058" t="str">
            <v>071.78.50.81</v>
          </cell>
          <cell r="P1058" t="str">
            <v>071.78.84.73</v>
          </cell>
          <cell r="Q1058" t="str">
            <v>jean.tytgat@notaire.be</v>
          </cell>
          <cell r="R1058">
            <v>74</v>
          </cell>
        </row>
        <row r="1059">
          <cell r="A1059">
            <v>1058</v>
          </cell>
          <cell r="B1059" t="str">
            <v>TYTGAT Charles &amp; Jean</v>
          </cell>
          <cell r="C1059" t="str">
            <v>Tytgat Jean</v>
          </cell>
          <cell r="D1059" t="str">
            <v>Geassocieerd Notaris</v>
          </cell>
          <cell r="E1059" t="str">
            <v>Place de l´Eglise</v>
          </cell>
          <cell r="F1059" t="str">
            <v>19</v>
          </cell>
          <cell r="G1059" t="str">
            <v/>
          </cell>
          <cell r="H1059" t="str">
            <v>5190</v>
          </cell>
          <cell r="I1059" t="str">
            <v>Namur</v>
          </cell>
          <cell r="K1059" t="str">
            <v>Spy</v>
          </cell>
          <cell r="M1059" t="str">
            <v>M</v>
          </cell>
          <cell r="O1059" t="str">
            <v>071.78.50.81</v>
          </cell>
          <cell r="P1059" t="str">
            <v>071.78.84.73</v>
          </cell>
          <cell r="Q1059" t="str">
            <v>jean.tytgat@notaire.be</v>
          </cell>
          <cell r="R1059">
            <v>74</v>
          </cell>
          <cell r="T1059">
            <v>38723</v>
          </cell>
        </row>
        <row r="1060">
          <cell r="A1060">
            <v>1059</v>
          </cell>
          <cell r="B1060" t="str">
            <v>TYTGAT Yves</v>
          </cell>
          <cell r="C1060" t="str">
            <v>TYTGAT Yves</v>
          </cell>
          <cell r="D1060" t="str">
            <v>Notaris</v>
          </cell>
          <cell r="E1060" t="str">
            <v>Zonnestraat</v>
          </cell>
          <cell r="F1060" t="str">
            <v>6</v>
          </cell>
          <cell r="G1060" t="str">
            <v/>
          </cell>
          <cell r="H1060" t="str">
            <v>9000</v>
          </cell>
          <cell r="I1060" t="str">
            <v>Oost-Vlaanderen</v>
          </cell>
          <cell r="K1060" t="str">
            <v>Gent</v>
          </cell>
          <cell r="M1060" t="str">
            <v>M</v>
          </cell>
          <cell r="O1060" t="str">
            <v>09.225.72.88</v>
          </cell>
          <cell r="P1060" t="str">
            <v>09.224.30.67</v>
          </cell>
          <cell r="Q1060" t="str">
            <v>YVES.TYTGAT@NOTARIS.BE</v>
          </cell>
          <cell r="R1060">
            <v>1095</v>
          </cell>
        </row>
        <row r="1061">
          <cell r="A1061">
            <v>1060</v>
          </cell>
          <cell r="B1061" t="str">
            <v>ULRICI Mathieu</v>
          </cell>
          <cell r="C1061" t="str">
            <v>ULRICI Mathieu</v>
          </cell>
          <cell r="D1061" t="str">
            <v>Notaris</v>
          </cell>
          <cell r="E1061" t="str">
            <v>Chaussée d´Argenteau</v>
          </cell>
          <cell r="F1061" t="str">
            <v>92</v>
          </cell>
          <cell r="G1061" t="str">
            <v/>
          </cell>
          <cell r="H1061" t="str">
            <v>4601</v>
          </cell>
          <cell r="I1061" t="str">
            <v>Liège</v>
          </cell>
          <cell r="K1061" t="str">
            <v>Argenteau</v>
          </cell>
          <cell r="M1061" t="str">
            <v>M</v>
          </cell>
          <cell r="O1061" t="str">
            <v>04.379.12.20</v>
          </cell>
          <cell r="P1061" t="str">
            <v>04.379.09.05</v>
          </cell>
          <cell r="Q1061" t="str">
            <v>MATHIEU.ULRICI@NOTAIRE.BE</v>
          </cell>
          <cell r="R1061">
            <v>2634</v>
          </cell>
        </row>
        <row r="1062">
          <cell r="A1062">
            <v>1061</v>
          </cell>
          <cell r="B1062" t="str">
            <v>Etude du Notaire Umbreit SPRL</v>
          </cell>
          <cell r="C1062" t="str">
            <v>Umbreit Jean-Pierre</v>
          </cell>
          <cell r="D1062" t="str">
            <v>Notaire</v>
          </cell>
          <cell r="E1062" t="str">
            <v>Route de Bastogne</v>
          </cell>
          <cell r="F1062" t="str">
            <v>359</v>
          </cell>
          <cell r="G1062" t="str">
            <v/>
          </cell>
          <cell r="H1062" t="str">
            <v>6700</v>
          </cell>
          <cell r="I1062" t="str">
            <v>Luxembourg</v>
          </cell>
          <cell r="K1062" t="str">
            <v>Arlon</v>
          </cell>
          <cell r="M1062" t="str">
            <v>M</v>
          </cell>
          <cell r="O1062" t="str">
            <v>063,45,02,90</v>
          </cell>
          <cell r="P1062" t="str">
            <v>063.21.91.79</v>
          </cell>
          <cell r="Q1062" t="str">
            <v>JEANPIERRE.UMBREIT@NOTAIRE.BE</v>
          </cell>
          <cell r="R1062">
            <v>680</v>
          </cell>
          <cell r="S1062" t="str">
            <v>000-1054301-08</v>
          </cell>
        </row>
        <row r="1063">
          <cell r="A1063">
            <v>1062</v>
          </cell>
          <cell r="B1063" t="str">
            <v>URBIN-CHOFFRAY Louis</v>
          </cell>
          <cell r="C1063" t="str">
            <v>URBIN-CHOFFRAY Louis</v>
          </cell>
          <cell r="D1063" t="str">
            <v>Notaris</v>
          </cell>
          <cell r="E1063" t="str">
            <v>Rue Lavaux</v>
          </cell>
          <cell r="F1063" t="str">
            <v>1</v>
          </cell>
          <cell r="G1063" t="str">
            <v/>
          </cell>
          <cell r="H1063" t="str">
            <v>4130</v>
          </cell>
          <cell r="I1063" t="str">
            <v>Liège</v>
          </cell>
          <cell r="K1063" t="str">
            <v>Esneux</v>
          </cell>
          <cell r="M1063" t="str">
            <v>M</v>
          </cell>
          <cell r="O1063" t="str">
            <v>04.380.10.98</v>
          </cell>
          <cell r="P1063" t="str">
            <v>04.380.46.82</v>
          </cell>
          <cell r="Q1063" t="str">
            <v>LOUIS.URBINCHOFFRAY@NOTAIRE.BE</v>
          </cell>
          <cell r="R1063">
            <v>3204</v>
          </cell>
        </row>
        <row r="1064">
          <cell r="A1064">
            <v>1063</v>
          </cell>
          <cell r="B1064" t="str">
            <v>UYTTERHAEGEN Christiaan</v>
          </cell>
          <cell r="C1064" t="str">
            <v>UYTTERHAEGEN Christiaan</v>
          </cell>
          <cell r="D1064" t="str">
            <v>Notaris</v>
          </cell>
          <cell r="E1064" t="str">
            <v>Koningin Astridlaan</v>
          </cell>
          <cell r="F1064" t="str">
            <v>43</v>
          </cell>
          <cell r="G1064" t="str">
            <v/>
          </cell>
          <cell r="H1064" t="str">
            <v>9230</v>
          </cell>
          <cell r="I1064" t="str">
            <v>Oost-Vlaanderen</v>
          </cell>
          <cell r="K1064" t="str">
            <v>Wetteren</v>
          </cell>
          <cell r="M1064" t="str">
            <v>M</v>
          </cell>
          <cell r="O1064" t="str">
            <v>09.369.05.64</v>
          </cell>
          <cell r="P1064" t="str">
            <v>09.369.51.18</v>
          </cell>
          <cell r="Q1064" t="str">
            <v>CHRISTIAAN.UYTTERHAEGEN@NOTARIS.BE</v>
          </cell>
          <cell r="R1064">
            <v>3123</v>
          </cell>
        </row>
        <row r="1065">
          <cell r="A1065">
            <v>1064</v>
          </cell>
          <cell r="B1065" t="str">
            <v>VALKENIERS Bert</v>
          </cell>
          <cell r="C1065" t="str">
            <v>VALKENIERS Bert</v>
          </cell>
          <cell r="D1065" t="str">
            <v>Notaris</v>
          </cell>
          <cell r="E1065" t="str">
            <v>Potterijstraat</v>
          </cell>
          <cell r="F1065" t="str">
            <v>14</v>
          </cell>
          <cell r="G1065" t="str">
            <v/>
          </cell>
          <cell r="H1065" t="str">
            <v>3300</v>
          </cell>
          <cell r="I1065" t="str">
            <v>Vlaams Brabant</v>
          </cell>
          <cell r="K1065" t="str">
            <v>Tienen</v>
          </cell>
          <cell r="M1065" t="str">
            <v>M</v>
          </cell>
          <cell r="O1065" t="str">
            <v>016.81.14.10</v>
          </cell>
          <cell r="P1065" t="str">
            <v>016.82.14.00</v>
          </cell>
          <cell r="Q1065" t="str">
            <v>bert.valkeniers@belnot.be</v>
          </cell>
          <cell r="R1065">
            <v>3175</v>
          </cell>
        </row>
        <row r="1066">
          <cell r="A1066">
            <v>1065</v>
          </cell>
          <cell r="B1066" t="str">
            <v>Notaris Frans Van Achter BVBA</v>
          </cell>
          <cell r="C1066" t="str">
            <v>VanAchter Frans</v>
          </cell>
          <cell r="D1066" t="str">
            <v>Notaris</v>
          </cell>
          <cell r="E1066" t="str">
            <v>Brusselsestraat</v>
          </cell>
          <cell r="F1066" t="str">
            <v>73</v>
          </cell>
          <cell r="G1066" t="str">
            <v/>
          </cell>
          <cell r="H1066" t="str">
            <v>1500</v>
          </cell>
          <cell r="I1066" t="str">
            <v>Vlaams Brabant</v>
          </cell>
          <cell r="K1066" t="str">
            <v>Halle</v>
          </cell>
          <cell r="M1066" t="str">
            <v>M</v>
          </cell>
          <cell r="O1066" t="str">
            <v>02.356.53.34</v>
          </cell>
          <cell r="P1066" t="str">
            <v>02.360.39.74</v>
          </cell>
          <cell r="Q1066" t="str">
            <v>frans.vanachter@belnot.be</v>
          </cell>
          <cell r="R1066">
            <v>2617</v>
          </cell>
        </row>
        <row r="1067">
          <cell r="A1067">
            <v>1066</v>
          </cell>
          <cell r="B1067" t="str">
            <v>VAN AENRODE Guido</v>
          </cell>
          <cell r="C1067" t="str">
            <v>VanAenrode Guido</v>
          </cell>
          <cell r="D1067" t="str">
            <v>Notaris</v>
          </cell>
          <cell r="E1067" t="str">
            <v>Reinpadstraat</v>
          </cell>
          <cell r="F1067" t="str">
            <v>8</v>
          </cell>
          <cell r="G1067" t="str">
            <v/>
          </cell>
          <cell r="H1067" t="str">
            <v>3600</v>
          </cell>
          <cell r="I1067" t="str">
            <v>Limburg</v>
          </cell>
          <cell r="K1067" t="str">
            <v>Genk</v>
          </cell>
          <cell r="M1067" t="str">
            <v>M</v>
          </cell>
          <cell r="O1067" t="str">
            <v>089.65.08.11</v>
          </cell>
          <cell r="P1067" t="str">
            <v>089.65.08.22</v>
          </cell>
          <cell r="Q1067" t="str">
            <v>GUIDO.VANAENRODE@NOTARIS.BE</v>
          </cell>
          <cell r="R1067">
            <v>3583</v>
          </cell>
        </row>
        <row r="1068">
          <cell r="A1068">
            <v>1067</v>
          </cell>
          <cell r="B1068" t="str">
            <v>VAN BAEL HOLVOET VAN BAEL &amp; VERHAERT</v>
          </cell>
          <cell r="C1068" t="str">
            <v>VanBael Anton</v>
          </cell>
          <cell r="D1068" t="str">
            <v>Geassocieerd Notaris</v>
          </cell>
          <cell r="E1068" t="str">
            <v>Mechelsesteenweg</v>
          </cell>
          <cell r="F1068" t="str">
            <v>65</v>
          </cell>
          <cell r="G1068" t="str">
            <v/>
          </cell>
          <cell r="H1068" t="str">
            <v>2018</v>
          </cell>
          <cell r="I1068" t="str">
            <v>Antwerpen</v>
          </cell>
          <cell r="K1068" t="str">
            <v>Antwerpen</v>
          </cell>
          <cell r="M1068" t="str">
            <v>M</v>
          </cell>
          <cell r="O1068" t="str">
            <v>03.205.62.80</v>
          </cell>
          <cell r="P1068" t="str">
            <v>03.205.62.90</v>
          </cell>
          <cell r="Q1068" t="str">
            <v>anton.vanbael@notaris.be</v>
          </cell>
          <cell r="R1068">
            <v>3502</v>
          </cell>
        </row>
        <row r="1069">
          <cell r="A1069">
            <v>1068</v>
          </cell>
          <cell r="B1069" t="str">
            <v>VAN BAEL HOLVOET VAN BAEL &amp; VERHAERT</v>
          </cell>
          <cell r="C1069" t="str">
            <v>VanBael Jan</v>
          </cell>
          <cell r="D1069" t="str">
            <v>Geassocieerd Notaris</v>
          </cell>
          <cell r="E1069" t="str">
            <v>Mechelsesteenweg</v>
          </cell>
          <cell r="F1069" t="str">
            <v>65</v>
          </cell>
          <cell r="G1069" t="str">
            <v/>
          </cell>
          <cell r="H1069" t="str">
            <v>2018</v>
          </cell>
          <cell r="I1069" t="str">
            <v>Antwerpen</v>
          </cell>
          <cell r="K1069" t="str">
            <v>Antwerpen</v>
          </cell>
          <cell r="M1069" t="str">
            <v>M</v>
          </cell>
          <cell r="O1069" t="str">
            <v>03.205.62.80</v>
          </cell>
          <cell r="P1069" t="str">
            <v>03.205.62.90</v>
          </cell>
          <cell r="Q1069" t="str">
            <v>JAN.VANBAEL@NOTARIS.BE</v>
          </cell>
          <cell r="R1069">
            <v>3502</v>
          </cell>
        </row>
        <row r="1070">
          <cell r="A1070">
            <v>1069</v>
          </cell>
          <cell r="B1070" t="str">
            <v>VAN BELLE Christian</v>
          </cell>
          <cell r="C1070" t="str">
            <v>VanBelle Christian</v>
          </cell>
          <cell r="D1070" t="str">
            <v>Notaris</v>
          </cell>
          <cell r="E1070" t="str">
            <v>Smidsestraat</v>
          </cell>
          <cell r="F1070" t="str">
            <v>2</v>
          </cell>
          <cell r="G1070" t="str">
            <v/>
          </cell>
          <cell r="H1070" t="str">
            <v>9000</v>
          </cell>
          <cell r="I1070" t="str">
            <v>Oost-Vlaanderen</v>
          </cell>
          <cell r="K1070" t="str">
            <v>Gent</v>
          </cell>
          <cell r="M1070" t="str">
            <v>M</v>
          </cell>
          <cell r="O1070" t="str">
            <v>09.225.60.60</v>
          </cell>
          <cell r="P1070" t="str">
            <v>09.223.50.39</v>
          </cell>
          <cell r="Q1070" t="str">
            <v>CHRISTIAN.VANBELLE@NOTARIS.BE</v>
          </cell>
          <cell r="R1070">
            <v>3427</v>
          </cell>
        </row>
        <row r="1071">
          <cell r="A1071">
            <v>1070</v>
          </cell>
          <cell r="B1071" t="str">
            <v>VAN BELLE Jean-Pierre</v>
          </cell>
          <cell r="C1071" t="str">
            <v>VanBelle Jean-Pierre</v>
          </cell>
          <cell r="D1071" t="str">
            <v>Notaris</v>
          </cell>
          <cell r="E1071" t="str">
            <v>Antwerpsesteenweg</v>
          </cell>
          <cell r="F1071" t="str">
            <v>62</v>
          </cell>
          <cell r="G1071" t="str">
            <v/>
          </cell>
          <cell r="H1071" t="str">
            <v>2660</v>
          </cell>
          <cell r="I1071" t="str">
            <v>Antwerpen</v>
          </cell>
          <cell r="K1071" t="str">
            <v>Hoboken Antwerpen)</v>
          </cell>
          <cell r="M1071" t="str">
            <v>M</v>
          </cell>
          <cell r="O1071" t="str">
            <v>03.827.57.43</v>
          </cell>
          <cell r="P1071" t="str">
            <v>03.830.08.32</v>
          </cell>
          <cell r="Q1071" t="str">
            <v>JEANPIERRE.VANBELLE@NOTARIS.BE</v>
          </cell>
          <cell r="R1071">
            <v>2697</v>
          </cell>
        </row>
        <row r="1072">
          <cell r="A1072">
            <v>1071</v>
          </cell>
          <cell r="B1072" t="str">
            <v>VAN BELLE Thibault</v>
          </cell>
          <cell r="C1072" t="str">
            <v>VanBelle Thibault</v>
          </cell>
          <cell r="D1072" t="str">
            <v>Notaris</v>
          </cell>
          <cell r="E1072" t="str">
            <v>Dreef</v>
          </cell>
          <cell r="F1072" t="str">
            <v>68</v>
          </cell>
          <cell r="G1072" t="str">
            <v/>
          </cell>
          <cell r="H1072" t="str">
            <v>9930</v>
          </cell>
          <cell r="I1072" t="str">
            <v>Oost-Vlaanderen</v>
          </cell>
          <cell r="K1072" t="str">
            <v>Zomergem</v>
          </cell>
          <cell r="M1072" t="str">
            <v>M</v>
          </cell>
          <cell r="O1072" t="str">
            <v>09.372.70.47</v>
          </cell>
          <cell r="P1072" t="str">
            <v>09.372.83.93</v>
          </cell>
          <cell r="Q1072" t="str">
            <v>THIBAULT.VANBELLE@NOTARIS.BE</v>
          </cell>
          <cell r="R1072">
            <v>3248</v>
          </cell>
        </row>
        <row r="1073">
          <cell r="A1073">
            <v>1072</v>
          </cell>
          <cell r="B1073" t="str">
            <v>VANBELLINGEN Jean</v>
          </cell>
          <cell r="C1073" t="str">
            <v>VANBELLINGEN Jean</v>
          </cell>
          <cell r="D1073" t="str">
            <v>Notaris</v>
          </cell>
          <cell r="E1073" t="str">
            <v>Avenue du Centenaire</v>
          </cell>
          <cell r="F1073" t="str">
            <v>7</v>
          </cell>
          <cell r="G1073" t="str">
            <v/>
          </cell>
          <cell r="H1073" t="str">
            <v>6997</v>
          </cell>
          <cell r="I1073" t="str">
            <v>Luxembourg</v>
          </cell>
          <cell r="K1073" t="str">
            <v>Erezée</v>
          </cell>
          <cell r="M1073" t="str">
            <v>M</v>
          </cell>
          <cell r="O1073" t="str">
            <v>086.47.70.22</v>
          </cell>
          <cell r="P1073" t="str">
            <v>086.47.77.47</v>
          </cell>
          <cell r="Q1073" t="str">
            <v>JEAN.VANBELLINGEN@NOTAIRE.BE</v>
          </cell>
          <cell r="R1073">
            <v>2850</v>
          </cell>
        </row>
        <row r="1074">
          <cell r="A1074">
            <v>1073</v>
          </cell>
          <cell r="B1074" t="str">
            <v>VERHASSELT LEONARD &amp; VAN BELLINGHEN</v>
          </cell>
          <cell r="C1074" t="str">
            <v>VanBellinghen Frederic</v>
          </cell>
          <cell r="D1074" t="str">
            <v>Geassocieerd Notaris</v>
          </cell>
          <cell r="E1074" t="str">
            <v>de Limburg Stirumlaan</v>
          </cell>
          <cell r="F1074" t="str">
            <v>73</v>
          </cell>
          <cell r="G1074" t="str">
            <v/>
          </cell>
          <cell r="H1074" t="str">
            <v>1780</v>
          </cell>
          <cell r="I1074" t="str">
            <v>Vlaams Brabant</v>
          </cell>
          <cell r="K1074" t="str">
            <v>Wemmel</v>
          </cell>
          <cell r="M1074" t="str">
            <v>M</v>
          </cell>
          <cell r="O1074" t="str">
            <v>02.460.46.10</v>
          </cell>
          <cell r="P1074" t="str">
            <v>02.460.08.38</v>
          </cell>
          <cell r="Q1074" t="str">
            <v>frederic.vanbellinghen@notaris.be</v>
          </cell>
          <cell r="R1074">
            <v>3561</v>
          </cell>
          <cell r="T1074">
            <v>38672</v>
          </cell>
        </row>
        <row r="1075">
          <cell r="A1075">
            <v>1074</v>
          </cell>
          <cell r="B1075" t="str">
            <v>VAN BELLINGHEN Jacques</v>
          </cell>
          <cell r="C1075" t="str">
            <v>VanBellinghen Jacques</v>
          </cell>
          <cell r="D1075" t="str">
            <v>Notaris</v>
          </cell>
          <cell r="E1075" t="str">
            <v>Van Cauwelaertstraat</v>
          </cell>
          <cell r="F1075" t="str">
            <v>40</v>
          </cell>
          <cell r="G1075" t="str">
            <v/>
          </cell>
          <cell r="H1075" t="str">
            <v>1740</v>
          </cell>
          <cell r="I1075" t="str">
            <v>Vlaams Brabant</v>
          </cell>
          <cell r="K1075" t="str">
            <v>Ternat</v>
          </cell>
          <cell r="M1075" t="str">
            <v>M</v>
          </cell>
          <cell r="O1075" t="str">
            <v>02.582.11.72</v>
          </cell>
          <cell r="P1075" t="str">
            <v>02.582.33.77</v>
          </cell>
          <cell r="Q1075" t="str">
            <v>JACQUES.VANBELLINGHEN@NOTARIS.BE</v>
          </cell>
          <cell r="R1075">
            <v>838</v>
          </cell>
        </row>
        <row r="1076">
          <cell r="A1076">
            <v>1075</v>
          </cell>
          <cell r="B1076" t="str">
            <v>VAN BENEDEN Marc &amp; BROUWERS Olivier</v>
          </cell>
          <cell r="C1076" t="str">
            <v>VanBeneden Marc</v>
          </cell>
          <cell r="D1076" t="str">
            <v>Geassocieerd Notaris</v>
          </cell>
          <cell r="E1076" t="str">
            <v>rue du Noyer</v>
          </cell>
          <cell r="F1076" t="str">
            <v>183</v>
          </cell>
          <cell r="G1076" t="str">
            <v/>
          </cell>
          <cell r="H1076" t="str">
            <v>1000</v>
          </cell>
          <cell r="I1076" t="str">
            <v>Bruxelles</v>
          </cell>
          <cell r="K1076" t="str">
            <v>Bruxelles</v>
          </cell>
          <cell r="M1076" t="str">
            <v>M</v>
          </cell>
          <cell r="O1076" t="str">
            <v>02.736.01.05</v>
          </cell>
          <cell r="P1076" t="str">
            <v>02.732.12.65</v>
          </cell>
          <cell r="Q1076" t="str">
            <v>MARC.VANBENEDEN@NOTAIRE.BE</v>
          </cell>
          <cell r="R1076">
            <v>2874</v>
          </cell>
        </row>
        <row r="1077">
          <cell r="A1077">
            <v>1076</v>
          </cell>
          <cell r="B1077" t="str">
            <v>EYSKENS DEFLANDER EN VANBERGHEN</v>
          </cell>
          <cell r="C1077" t="str">
            <v>Vanberghen Win</v>
          </cell>
          <cell r="D1077" t="str">
            <v>Geassocieerd Notaris</v>
          </cell>
          <cell r="E1077" t="str">
            <v>Steenweg op Turnhout</v>
          </cell>
          <cell r="F1077" t="str">
            <v>106</v>
          </cell>
          <cell r="G1077" t="str">
            <v/>
          </cell>
          <cell r="H1077" t="str">
            <v>2360</v>
          </cell>
          <cell r="I1077" t="str">
            <v>Antwerpen</v>
          </cell>
          <cell r="K1077" t="str">
            <v>Oud-Turnhout</v>
          </cell>
          <cell r="M1077" t="str">
            <v>M</v>
          </cell>
          <cell r="O1077" t="str">
            <v>014.45.31.51</v>
          </cell>
          <cell r="P1077" t="str">
            <v>014.45.31.03</v>
          </cell>
          <cell r="Q1077" t="str">
            <v>win.vanberghen@notaris.be</v>
          </cell>
          <cell r="R1077">
            <v>3630</v>
          </cell>
        </row>
        <row r="1078">
          <cell r="A1078">
            <v>1077</v>
          </cell>
          <cell r="B1078" t="str">
            <v>VAN BEVER Patricia</v>
          </cell>
          <cell r="C1078" t="str">
            <v>VanBever Patricia</v>
          </cell>
          <cell r="D1078" t="str">
            <v>Notaris</v>
          </cell>
          <cell r="E1078" t="str">
            <v>Avenue Schlögel</v>
          </cell>
          <cell r="F1078" t="str">
            <v>92</v>
          </cell>
          <cell r="G1078" t="str">
            <v/>
          </cell>
          <cell r="H1078" t="str">
            <v>5590</v>
          </cell>
          <cell r="I1078" t="str">
            <v>Namur</v>
          </cell>
          <cell r="K1078" t="str">
            <v>Ciney</v>
          </cell>
          <cell r="M1078" t="str">
            <v>Vr</v>
          </cell>
          <cell r="O1078" t="str">
            <v>083.21.10.16</v>
          </cell>
          <cell r="P1078" t="str">
            <v>083.21.56.51</v>
          </cell>
          <cell r="Q1078" t="str">
            <v>PATRICIA.VANBEVER@NOTAIRE.BE</v>
          </cell>
          <cell r="R1078">
            <v>3164</v>
          </cell>
        </row>
        <row r="1079">
          <cell r="A1079">
            <v>1078</v>
          </cell>
          <cell r="B1079" t="str">
            <v>VANBEYLEN Karel</v>
          </cell>
          <cell r="C1079" t="str">
            <v>VANBEYLEN Karel</v>
          </cell>
          <cell r="D1079" t="str">
            <v>Notaris</v>
          </cell>
          <cell r="E1079" t="str">
            <v>Lichterveldestraat</v>
          </cell>
          <cell r="F1079" t="str">
            <v>72</v>
          </cell>
          <cell r="G1079" t="str">
            <v/>
          </cell>
          <cell r="H1079" t="str">
            <v>8750</v>
          </cell>
          <cell r="I1079" t="str">
            <v>West-Vlaanderen</v>
          </cell>
          <cell r="K1079" t="str">
            <v>Zwevezele</v>
          </cell>
          <cell r="L1079">
            <v>21745</v>
          </cell>
          <cell r="M1079" t="str">
            <v>M</v>
          </cell>
          <cell r="O1079" t="str">
            <v>051.61.10.94</v>
          </cell>
          <cell r="P1079" t="str">
            <v>051.61.28.66</v>
          </cell>
          <cell r="Q1079" t="str">
            <v>KAREL.VANBEYLEN@NOTARIS.BE</v>
          </cell>
          <cell r="R1079">
            <v>2921</v>
          </cell>
        </row>
        <row r="1080">
          <cell r="A1080">
            <v>1079</v>
          </cell>
          <cell r="B1080" t="str">
            <v>VAN BIERVLIET Sofie</v>
          </cell>
          <cell r="C1080" t="str">
            <v>VanBiervliet Sofie</v>
          </cell>
          <cell r="D1080" t="str">
            <v>Notaris</v>
          </cell>
          <cell r="E1080" t="str">
            <v>Mechelbaan</v>
          </cell>
          <cell r="F1080" t="str">
            <v>452</v>
          </cell>
          <cell r="G1080" t="str">
            <v/>
          </cell>
          <cell r="H1080" t="str">
            <v>2580</v>
          </cell>
          <cell r="I1080" t="str">
            <v>Antwerpen</v>
          </cell>
          <cell r="K1080" t="str">
            <v>Putte</v>
          </cell>
          <cell r="M1080" t="str">
            <v>Vr</v>
          </cell>
          <cell r="O1080" t="str">
            <v>015.75.50.16</v>
          </cell>
          <cell r="P1080" t="str">
            <v>015.75.26.25</v>
          </cell>
          <cell r="Q1080" t="str">
            <v>sofie.vanbiervliet@notaris.be</v>
          </cell>
          <cell r="R1080">
            <v>343</v>
          </cell>
        </row>
        <row r="1081">
          <cell r="A1081">
            <v>1080</v>
          </cell>
          <cell r="B1081" t="str">
            <v>van BLERK Ferdinand</v>
          </cell>
          <cell r="C1081" t="str">
            <v>vanBlerck Ferdinand</v>
          </cell>
          <cell r="D1081" t="str">
            <v>Notaris</v>
          </cell>
          <cell r="E1081" t="str">
            <v>Lorzeplein</v>
          </cell>
          <cell r="F1081" t="str">
            <v>5</v>
          </cell>
          <cell r="G1081" t="str">
            <v/>
          </cell>
          <cell r="H1081" t="str">
            <v>2480</v>
          </cell>
          <cell r="I1081" t="str">
            <v>Antwerpen</v>
          </cell>
          <cell r="K1081" t="str">
            <v>Dessel</v>
          </cell>
          <cell r="M1081" t="str">
            <v>M</v>
          </cell>
          <cell r="O1081" t="str">
            <v>014.37.76.42</v>
          </cell>
          <cell r="P1081" t="str">
            <v>014.37.12.10</v>
          </cell>
          <cell r="Q1081" t="str">
            <v>FERDINAND.VANBLERK@NOTARIS.BE</v>
          </cell>
          <cell r="R1081">
            <v>62</v>
          </cell>
        </row>
        <row r="1082">
          <cell r="A1082">
            <v>1081</v>
          </cell>
          <cell r="B1082" t="str">
            <v>VAN BOCKRIJCK Daniel</v>
          </cell>
          <cell r="C1082" t="str">
            <v>VanBockrijck Daniel</v>
          </cell>
          <cell r="D1082" t="str">
            <v>Notaris</v>
          </cell>
          <cell r="E1082" t="str">
            <v>Van Putlei</v>
          </cell>
          <cell r="F1082" t="str">
            <v>103</v>
          </cell>
          <cell r="G1082" t="str">
            <v/>
          </cell>
          <cell r="H1082" t="str">
            <v>2547</v>
          </cell>
          <cell r="I1082" t="str">
            <v>Antwerpen</v>
          </cell>
          <cell r="K1082" t="str">
            <v>Lint</v>
          </cell>
          <cell r="M1082" t="str">
            <v>M</v>
          </cell>
          <cell r="O1082" t="str">
            <v>03.454.34.23</v>
          </cell>
          <cell r="P1082" t="str">
            <v>03.454.34.25</v>
          </cell>
          <cell r="Q1082" t="str">
            <v>DANIEL.VANBOCKRIJCK@NOTARIS.BE</v>
          </cell>
          <cell r="R1082">
            <v>3096</v>
          </cell>
        </row>
        <row r="1083">
          <cell r="A1083">
            <v>1082</v>
          </cell>
          <cell r="B1083" t="str">
            <v>VAN BOXSTAEL Jean-Louis</v>
          </cell>
          <cell r="C1083" t="str">
            <v>VanBoxstael Jean-Louis</v>
          </cell>
          <cell r="D1083" t="str">
            <v>Notaris</v>
          </cell>
          <cell r="E1083" t="str">
            <v>rue de Caraman</v>
          </cell>
          <cell r="F1083" t="str">
            <v>23</v>
          </cell>
          <cell r="G1083" t="str">
            <v/>
          </cell>
          <cell r="H1083" t="str">
            <v>7300</v>
          </cell>
          <cell r="I1083" t="str">
            <v>Hainaut</v>
          </cell>
          <cell r="K1083" t="str">
            <v>Boussu</v>
          </cell>
          <cell r="M1083" t="str">
            <v>M</v>
          </cell>
          <cell r="O1083" t="str">
            <v>065.78.43.32</v>
          </cell>
          <cell r="P1083" t="str">
            <v>065.78.23.12</v>
          </cell>
          <cell r="Q1083" t="str">
            <v>JEANLOUIS.VANBOXSTAEL@NOTAIRE.BE</v>
          </cell>
          <cell r="R1083">
            <v>3378</v>
          </cell>
        </row>
        <row r="1084">
          <cell r="A1084">
            <v>1083</v>
          </cell>
          <cell r="B1084" t="str">
            <v>VAN BUGGENHOUT Sabine</v>
          </cell>
          <cell r="C1084" t="str">
            <v>VanBuggenhout Sabine</v>
          </cell>
          <cell r="D1084" t="str">
            <v>Notaris</v>
          </cell>
          <cell r="E1084" t="str">
            <v>Hoogstraat</v>
          </cell>
          <cell r="F1084" t="str">
            <v>68</v>
          </cell>
          <cell r="G1084" t="str">
            <v/>
          </cell>
          <cell r="H1084" t="str">
            <v>1861</v>
          </cell>
          <cell r="I1084" t="str">
            <v>Vlaams Brabant</v>
          </cell>
          <cell r="K1084" t="str">
            <v>Wolvertem</v>
          </cell>
          <cell r="M1084" t="str">
            <v>Vr</v>
          </cell>
          <cell r="O1084" t="str">
            <v>02.269.12.74</v>
          </cell>
          <cell r="P1084" t="str">
            <v>02.269.80.80</v>
          </cell>
          <cell r="Q1084" t="str">
            <v>SABINE.VANBUGGENHOUT@NOTARIS.BE</v>
          </cell>
          <cell r="R1084">
            <v>3233</v>
          </cell>
        </row>
        <row r="1085">
          <cell r="A1085">
            <v>1084</v>
          </cell>
          <cell r="B1085" t="str">
            <v>VAN CAENEGEM Johan</v>
          </cell>
          <cell r="C1085" t="str">
            <v>VanCaenegem Sabine</v>
          </cell>
          <cell r="D1085" t="str">
            <v>Notaris</v>
          </cell>
          <cell r="E1085" t="str">
            <v>Waregemsesteenweg</v>
          </cell>
          <cell r="F1085" t="str">
            <v>9</v>
          </cell>
          <cell r="G1085" t="str">
            <v/>
          </cell>
          <cell r="H1085" t="str">
            <v>9770</v>
          </cell>
          <cell r="I1085" t="str">
            <v>Oost-Vlaanderen</v>
          </cell>
          <cell r="K1085" t="str">
            <v>Kruishoutem</v>
          </cell>
          <cell r="M1085" t="str">
            <v>M</v>
          </cell>
          <cell r="O1085" t="str">
            <v>09.383.50.80</v>
          </cell>
          <cell r="P1085" t="str">
            <v>09.383.62.55</v>
          </cell>
          <cell r="Q1085" t="str">
            <v>JOHAN.VANCAENEGEM@NOTARIS.BE</v>
          </cell>
          <cell r="R1085">
            <v>3436</v>
          </cell>
        </row>
        <row r="1086">
          <cell r="A1086">
            <v>1085</v>
          </cell>
          <cell r="B1086" t="str">
            <v>VAN CAILLIE Henry</v>
          </cell>
          <cell r="C1086" t="str">
            <v>VanCaillie Henry</v>
          </cell>
          <cell r="D1086" t="str">
            <v>Notaris</v>
          </cell>
          <cell r="E1086" t="str">
            <v>Lauwerstraat</v>
          </cell>
          <cell r="F1086" t="str">
            <v>27</v>
          </cell>
          <cell r="G1086" t="str">
            <v/>
          </cell>
          <cell r="H1086" t="str">
            <v>8000</v>
          </cell>
          <cell r="I1086" t="str">
            <v>West-Vlaanderen</v>
          </cell>
          <cell r="K1086" t="str">
            <v>Brugge</v>
          </cell>
          <cell r="L1086">
            <v>17636</v>
          </cell>
          <cell r="M1086" t="str">
            <v>M</v>
          </cell>
          <cell r="O1086" t="str">
            <v>050.45.44.45</v>
          </cell>
          <cell r="P1086" t="str">
            <v>050.45.44.44</v>
          </cell>
          <cell r="Q1086" t="str">
            <v>HENRY.VANCAILLIE@NOTARIS.BE</v>
          </cell>
          <cell r="R1086">
            <v>443</v>
          </cell>
        </row>
        <row r="1087">
          <cell r="A1087">
            <v>1086</v>
          </cell>
          <cell r="B1087" t="str">
            <v>VAN CAMPENHOUT Christian</v>
          </cell>
          <cell r="C1087" t="str">
            <v>VanCampenhout Charles</v>
          </cell>
          <cell r="D1087" t="str">
            <v>Notaris</v>
          </cell>
          <cell r="E1087" t="str">
            <v>Boulevard M. Carêmelaan</v>
          </cell>
          <cell r="F1087" t="str">
            <v>10</v>
          </cell>
          <cell r="G1087" t="str">
            <v/>
          </cell>
          <cell r="H1087" t="str">
            <v>1070</v>
          </cell>
          <cell r="I1087" t="str">
            <v>Bruxelles</v>
          </cell>
          <cell r="K1087" t="str">
            <v>Bruxelles</v>
          </cell>
          <cell r="M1087" t="str">
            <v>M</v>
          </cell>
          <cell r="O1087" t="str">
            <v>02.556.43.70</v>
          </cell>
          <cell r="P1087" t="str">
            <v>02.556.43.79</v>
          </cell>
          <cell r="Q1087" t="str">
            <v>CHRISTIAN.VANCAMPENHOUT@NOTARIS.BE</v>
          </cell>
          <cell r="R1087">
            <v>2996</v>
          </cell>
        </row>
        <row r="1088">
          <cell r="A1088">
            <v>1087</v>
          </cell>
          <cell r="B1088" t="str">
            <v>BVBA VAN CAMPENHOUT &amp; ARNAUTS</v>
          </cell>
          <cell r="C1088" t="str">
            <v>VanCampenhout Luc</v>
          </cell>
          <cell r="D1088" t="str">
            <v>Geassocieerd Notaris</v>
          </cell>
          <cell r="E1088" t="str">
            <v>Tremelobaan</v>
          </cell>
          <cell r="F1088" t="str">
            <v>61</v>
          </cell>
          <cell r="G1088" t="str">
            <v/>
          </cell>
          <cell r="H1088" t="str">
            <v>3140</v>
          </cell>
          <cell r="I1088" t="str">
            <v>Vlaams Brabant</v>
          </cell>
          <cell r="K1088" t="str">
            <v>Keerbergen</v>
          </cell>
          <cell r="M1088" t="str">
            <v>M</v>
          </cell>
          <cell r="O1088" t="str">
            <v>015.52.07.50</v>
          </cell>
          <cell r="P1088" t="str">
            <v>015.52.93.75</v>
          </cell>
          <cell r="Q1088" t="str">
            <v>LUC.VANCAMPENHOUT@NOTARIS.BE</v>
          </cell>
          <cell r="R1088">
            <v>3487</v>
          </cell>
        </row>
        <row r="1089">
          <cell r="A1089">
            <v>1088</v>
          </cell>
          <cell r="B1089" t="str">
            <v>VAN CAUWELAERT Charles</v>
          </cell>
          <cell r="C1089" t="str">
            <v>VanCauwelaert Charles</v>
          </cell>
          <cell r="D1089" t="str">
            <v>Notaris</v>
          </cell>
          <cell r="E1089" t="str">
            <v>Venlosesteenweg</v>
          </cell>
          <cell r="F1089" t="str">
            <v>17</v>
          </cell>
          <cell r="G1089" t="str">
            <v/>
          </cell>
          <cell r="H1089" t="str">
            <v>3680</v>
          </cell>
          <cell r="I1089" t="str">
            <v>Limburg</v>
          </cell>
          <cell r="K1089" t="str">
            <v>Maaseik</v>
          </cell>
          <cell r="M1089" t="str">
            <v>M</v>
          </cell>
          <cell r="O1089" t="str">
            <v>089.56.42.87</v>
          </cell>
          <cell r="P1089" t="str">
            <v>089.56.56.08</v>
          </cell>
          <cell r="Q1089" t="str">
            <v>CHARLES.VANCAUWELAERT@NOTARIS.BE</v>
          </cell>
          <cell r="R1089">
            <v>444</v>
          </cell>
        </row>
        <row r="1090">
          <cell r="A1090">
            <v>1089</v>
          </cell>
          <cell r="B1090" t="str">
            <v>VAN CAUWENBERGH-DUCATTEEUW</v>
          </cell>
          <cell r="C1090" t="str">
            <v>VanCauwenbergh Frederic</v>
          </cell>
          <cell r="D1090" t="str">
            <v>Geassocieerd Notaris</v>
          </cell>
          <cell r="E1090" t="str">
            <v>Hovestraat</v>
          </cell>
          <cell r="F1090" t="str">
            <v>37</v>
          </cell>
          <cell r="G1090" t="str">
            <v/>
          </cell>
          <cell r="H1090" t="str">
            <v>2650</v>
          </cell>
          <cell r="I1090" t="str">
            <v>Antwerpen</v>
          </cell>
          <cell r="K1090" t="str">
            <v>Edegem</v>
          </cell>
          <cell r="M1090" t="str">
            <v>M</v>
          </cell>
          <cell r="O1090" t="str">
            <v>03.457.01.46</v>
          </cell>
          <cell r="P1090" t="str">
            <v>03.458.10.43</v>
          </cell>
          <cell r="Q1090" t="str">
            <v>FREDERIC.VANCAUWENBERGH@NOTARIS.BE</v>
          </cell>
          <cell r="R1090">
            <v>3595</v>
          </cell>
        </row>
        <row r="1091">
          <cell r="A1091">
            <v>1090</v>
          </cell>
          <cell r="B1091" t="str">
            <v>VAN CAUWENBERGH Jean</v>
          </cell>
          <cell r="C1091" t="str">
            <v>VanCauwenbergh Jean</v>
          </cell>
          <cell r="D1091" t="str">
            <v>Notaris</v>
          </cell>
          <cell r="E1091" t="str">
            <v>Lisperstraat</v>
          </cell>
          <cell r="F1091" t="str">
            <v>59</v>
          </cell>
          <cell r="G1091" t="str">
            <v/>
          </cell>
          <cell r="H1091" t="str">
            <v>2500</v>
          </cell>
          <cell r="I1091" t="str">
            <v>Antwerpen</v>
          </cell>
          <cell r="K1091" t="str">
            <v>Lier</v>
          </cell>
          <cell r="M1091" t="str">
            <v>M</v>
          </cell>
          <cell r="O1091" t="str">
            <v>03.480.00.57</v>
          </cell>
          <cell r="P1091" t="str">
            <v>03.489.07.21</v>
          </cell>
          <cell r="Q1091" t="str">
            <v>JEAN.VANCAUWENBERGH@NOTARIS.BE</v>
          </cell>
          <cell r="R1091">
            <v>2975</v>
          </cell>
        </row>
        <row r="1092">
          <cell r="A1092">
            <v>1091</v>
          </cell>
          <cell r="B1092" t="str">
            <v>BVBA Notaris Marc Van Cauwenberghe</v>
          </cell>
          <cell r="C1092" t="str">
            <v>VanCauwenberghe Mard</v>
          </cell>
          <cell r="D1092" t="str">
            <v>Notaris</v>
          </cell>
          <cell r="E1092" t="str">
            <v>Congoplein</v>
          </cell>
          <cell r="F1092" t="str">
            <v>2</v>
          </cell>
          <cell r="G1092" t="str">
            <v>bus 1</v>
          </cell>
          <cell r="H1092" t="str">
            <v>9800</v>
          </cell>
          <cell r="I1092" t="str">
            <v>Oost-Vlaanderen</v>
          </cell>
          <cell r="K1092" t="str">
            <v>Deinze</v>
          </cell>
          <cell r="M1092" t="str">
            <v>M</v>
          </cell>
          <cell r="O1092" t="str">
            <v>09.386.11.70</v>
          </cell>
          <cell r="P1092" t="str">
            <v>09.386.47.32</v>
          </cell>
          <cell r="Q1092" t="str">
            <v>MARC.VANCAUWENBERGHE@NOTARIS.BE</v>
          </cell>
          <cell r="R1092">
            <v>3023</v>
          </cell>
        </row>
        <row r="1093">
          <cell r="A1093">
            <v>1092</v>
          </cell>
          <cell r="B1093" t="str">
            <v>VANCOPPERNOLLE Maggy</v>
          </cell>
          <cell r="C1093" t="str">
            <v>VANCOPPERNOLLE Maggy</v>
          </cell>
          <cell r="D1093" t="str">
            <v>Notaris</v>
          </cell>
          <cell r="E1093" t="str">
            <v>Burgemeester Nolfstraat</v>
          </cell>
          <cell r="F1093" t="str">
            <v>7</v>
          </cell>
          <cell r="G1093" t="str">
            <v/>
          </cell>
          <cell r="H1093" t="str">
            <v>8500</v>
          </cell>
          <cell r="I1093" t="str">
            <v>West-Vlaanderen</v>
          </cell>
          <cell r="K1093" t="str">
            <v>Kortrijk</v>
          </cell>
          <cell r="L1093">
            <v>23268</v>
          </cell>
          <cell r="M1093" t="str">
            <v>Vr</v>
          </cell>
          <cell r="O1093" t="str">
            <v>056.22.26.50</v>
          </cell>
          <cell r="P1093" t="str">
            <v>056.22.39.29</v>
          </cell>
          <cell r="Q1093" t="str">
            <v>MAGGY.VANCOPPERNOLLE@NOTARIS.BE</v>
          </cell>
          <cell r="R1093">
            <v>3564</v>
          </cell>
        </row>
        <row r="1094">
          <cell r="A1094">
            <v>1093</v>
          </cell>
          <cell r="B1094" t="str">
            <v>VANDAELE Angélique</v>
          </cell>
          <cell r="C1094" t="str">
            <v>VANDAELE Angélique</v>
          </cell>
          <cell r="D1094" t="str">
            <v>Notaris</v>
          </cell>
          <cell r="E1094" t="str">
            <v>Drie Koningenstraat</v>
          </cell>
          <cell r="F1094" t="str">
            <v>9</v>
          </cell>
          <cell r="G1094" t="str">
            <v/>
          </cell>
          <cell r="H1094" t="str">
            <v>9051</v>
          </cell>
          <cell r="I1094" t="str">
            <v>Oost-Vlaanderen</v>
          </cell>
          <cell r="K1094" t="str">
            <v>Sint-Denijs-Westrem</v>
          </cell>
          <cell r="M1094" t="str">
            <v>Vr</v>
          </cell>
          <cell r="O1094" t="str">
            <v>09.228.28.27</v>
          </cell>
          <cell r="P1094" t="str">
            <v>09.228.28.58</v>
          </cell>
          <cell r="Q1094" t="str">
            <v>ANGELIQUE.VANDAELE@NOTARIS.BE</v>
          </cell>
          <cell r="R1094">
            <v>3341</v>
          </cell>
        </row>
        <row r="1095">
          <cell r="A1095">
            <v>1094</v>
          </cell>
          <cell r="B1095" t="str">
            <v>Van Damme Bruno</v>
          </cell>
          <cell r="C1095" t="str">
            <v>VanDamme Bruno</v>
          </cell>
          <cell r="D1095" t="str">
            <v>Notaris</v>
          </cell>
          <cell r="E1095" t="str">
            <v>Kokstraat</v>
          </cell>
          <cell r="F1095" t="str">
            <v>45</v>
          </cell>
          <cell r="G1095" t="str">
            <v/>
          </cell>
          <cell r="H1095" t="str">
            <v>8620</v>
          </cell>
          <cell r="I1095" t="str">
            <v>West-Vlaanderen</v>
          </cell>
          <cell r="K1095" t="str">
            <v>Nieuwpoort</v>
          </cell>
          <cell r="M1095" t="str">
            <v>M</v>
          </cell>
          <cell r="O1095" t="str">
            <v>058.23.31.19</v>
          </cell>
          <cell r="P1095" t="str">
            <v>058.23.48.52</v>
          </cell>
          <cell r="Q1095" t="str">
            <v>bruno.vandamme@belnot.be</v>
          </cell>
          <cell r="R1095">
            <v>425</v>
          </cell>
          <cell r="T1095">
            <v>38621</v>
          </cell>
        </row>
        <row r="1096">
          <cell r="A1096">
            <v>1095</v>
          </cell>
          <cell r="B1096" t="str">
            <v>Van Damme Michel &amp; Christian</v>
          </cell>
          <cell r="C1096" t="str">
            <v>Vandamme Christian</v>
          </cell>
          <cell r="D1096" t="str">
            <v>Geassocieerd Notaris</v>
          </cell>
          <cell r="E1096" t="str">
            <v>Gistelsteenweg</v>
          </cell>
          <cell r="F1096" t="str">
            <v>138</v>
          </cell>
          <cell r="G1096" t="str">
            <v>bus F/1</v>
          </cell>
          <cell r="H1096" t="str">
            <v>8200</v>
          </cell>
          <cell r="I1096" t="str">
            <v>West-Vlaanderen</v>
          </cell>
          <cell r="K1096" t="str">
            <v>Sint-Andries Brugge)</v>
          </cell>
          <cell r="M1096" t="str">
            <v>M</v>
          </cell>
          <cell r="O1096" t="str">
            <v>050.38.11.11</v>
          </cell>
          <cell r="P1096" t="str">
            <v>050.38.57.77</v>
          </cell>
          <cell r="Q1096" t="str">
            <v>Christian.VANDAMME@NOTARIS.BE</v>
          </cell>
        </row>
        <row r="1097">
          <cell r="A1097">
            <v>1096</v>
          </cell>
          <cell r="B1097" t="str">
            <v>VAN DAMME Luc &amp; Wim</v>
          </cell>
          <cell r="C1097" t="str">
            <v>VanDamme Luc</v>
          </cell>
          <cell r="D1097" t="str">
            <v>Geassocieerd Notaris</v>
          </cell>
          <cell r="E1097" t="str">
            <v>Burgemeester Vermeulenlaan</v>
          </cell>
          <cell r="F1097" t="str">
            <v>14</v>
          </cell>
          <cell r="G1097" t="str">
            <v/>
          </cell>
          <cell r="H1097" t="str">
            <v>9080</v>
          </cell>
          <cell r="I1097" t="str">
            <v>Oost-Vlaanderen</v>
          </cell>
          <cell r="K1097" t="str">
            <v>Lochristi</v>
          </cell>
          <cell r="M1097" t="str">
            <v>M</v>
          </cell>
          <cell r="O1097" t="str">
            <v>09.355.57.25</v>
          </cell>
          <cell r="P1097" t="str">
            <v>09.355.69.52</v>
          </cell>
          <cell r="Q1097" t="str">
            <v>LUC.VANDAMME@NOTARIS.BE</v>
          </cell>
          <cell r="R1097">
            <v>2573</v>
          </cell>
        </row>
        <row r="1098">
          <cell r="A1098">
            <v>1097</v>
          </cell>
          <cell r="B1098" t="str">
            <v>Van Damme Michel &amp; Christian</v>
          </cell>
          <cell r="C1098" t="str">
            <v>VanDamme Michel</v>
          </cell>
          <cell r="D1098" t="str">
            <v>Geassocieerd Notaris</v>
          </cell>
          <cell r="E1098" t="str">
            <v>Gistelsteenweg</v>
          </cell>
          <cell r="F1098" t="str">
            <v>138</v>
          </cell>
          <cell r="G1098" t="str">
            <v>bus F/1</v>
          </cell>
          <cell r="H1098" t="str">
            <v>8200</v>
          </cell>
          <cell r="I1098" t="str">
            <v>West-Vlaanderen</v>
          </cell>
          <cell r="K1098" t="str">
            <v>Sint-Andries Brugge)</v>
          </cell>
          <cell r="L1098">
            <v>25198</v>
          </cell>
          <cell r="M1098" t="str">
            <v>M</v>
          </cell>
          <cell r="O1098" t="str">
            <v>050.38.11.11</v>
          </cell>
          <cell r="P1098" t="str">
            <v>050.38.57.77</v>
          </cell>
          <cell r="Q1098" t="str">
            <v>MICHEL.VANDAMME@NOTARIS.BE</v>
          </cell>
          <cell r="R1098">
            <v>3450</v>
          </cell>
        </row>
        <row r="1099">
          <cell r="A1099">
            <v>1098</v>
          </cell>
          <cell r="B1099" t="str">
            <v>VAN DAMME Serge</v>
          </cell>
          <cell r="C1099" t="str">
            <v>VanDamme Serge</v>
          </cell>
          <cell r="D1099" t="str">
            <v>Notaris</v>
          </cell>
          <cell r="E1099" t="str">
            <v>Westhoeklaan</v>
          </cell>
          <cell r="F1099" t="str">
            <v>66</v>
          </cell>
          <cell r="G1099" t="str">
            <v/>
          </cell>
          <cell r="H1099" t="str">
            <v>8660</v>
          </cell>
          <cell r="I1099" t="str">
            <v>West-Vlaanderen</v>
          </cell>
          <cell r="K1099" t="str">
            <v>De Panne</v>
          </cell>
          <cell r="L1099">
            <v>21233</v>
          </cell>
          <cell r="M1099" t="str">
            <v>M</v>
          </cell>
          <cell r="O1099" t="str">
            <v>058.41.36.48</v>
          </cell>
          <cell r="P1099" t="str">
            <v>058.41.32.76</v>
          </cell>
          <cell r="Q1099" t="str">
            <v>SERGE.VANDAMME@NOTARIS.BE</v>
          </cell>
          <cell r="R1099">
            <v>2896</v>
          </cell>
        </row>
        <row r="1100">
          <cell r="A1100">
            <v>1099</v>
          </cell>
          <cell r="B1100" t="str">
            <v>VAN DAMME Luc &amp; Wim</v>
          </cell>
          <cell r="C1100" t="str">
            <v>VanDamme Wm</v>
          </cell>
          <cell r="D1100" t="str">
            <v>Geassocieerd Notaris</v>
          </cell>
          <cell r="E1100" t="str">
            <v>Burgemeester Vermeulenlaan</v>
          </cell>
          <cell r="F1100" t="str">
            <v>14</v>
          </cell>
          <cell r="G1100" t="str">
            <v/>
          </cell>
          <cell r="H1100" t="str">
            <v>9080</v>
          </cell>
          <cell r="I1100" t="str">
            <v>Oost-Vlaanderen</v>
          </cell>
          <cell r="K1100" t="str">
            <v>Lochristi</v>
          </cell>
          <cell r="M1100" t="str">
            <v>M</v>
          </cell>
          <cell r="O1100" t="str">
            <v>09.355.57.25</v>
          </cell>
          <cell r="P1100" t="str">
            <v>09.355.69.52</v>
          </cell>
          <cell r="Q1100" t="str">
            <v>WIM.VANDAMME@NOTARIS.BE</v>
          </cell>
          <cell r="R1100">
            <v>2573</v>
          </cell>
          <cell r="T1100">
            <v>38723</v>
          </cell>
        </row>
        <row r="1101">
          <cell r="A1101">
            <v>1100</v>
          </cell>
          <cell r="B1101" t="str">
            <v>BVBA WYLLEMAN - VAN de KEERE</v>
          </cell>
          <cell r="C1101" t="str">
            <v>VandeKeere Bart</v>
          </cell>
          <cell r="D1101" t="str">
            <v>Geassocieerd Notaris</v>
          </cell>
          <cell r="E1101" t="str">
            <v>Sleidingedorp</v>
          </cell>
          <cell r="F1101" t="str">
            <v>102</v>
          </cell>
          <cell r="G1101" t="str">
            <v/>
          </cell>
          <cell r="H1101" t="str">
            <v>9940</v>
          </cell>
          <cell r="I1101" t="str">
            <v>Oost-Vlaanderen</v>
          </cell>
          <cell r="K1101" t="str">
            <v>Sleidinge</v>
          </cell>
          <cell r="M1101" t="str">
            <v>M</v>
          </cell>
          <cell r="O1101" t="str">
            <v>09.357.73.57</v>
          </cell>
          <cell r="P1101" t="str">
            <v>09.357.73.87</v>
          </cell>
          <cell r="Q1101" t="str">
            <v>bart.vandekeere@notaris.be</v>
          </cell>
          <cell r="R1101">
            <v>3485</v>
          </cell>
        </row>
        <row r="1102">
          <cell r="A1102">
            <v>1101</v>
          </cell>
          <cell r="B1102" t="str">
            <v>Elke Vandekerckhove</v>
          </cell>
          <cell r="C1102" t="str">
            <v>Vandekerckhove Elke</v>
          </cell>
          <cell r="D1102" t="str">
            <v>Notaris</v>
          </cell>
          <cell r="E1102" t="str">
            <v>Hundelgemsesteenweg</v>
          </cell>
          <cell r="F1102" t="str">
            <v>588</v>
          </cell>
          <cell r="G1102" t="str">
            <v/>
          </cell>
          <cell r="H1102" t="str">
            <v>9820</v>
          </cell>
          <cell r="I1102" t="str">
            <v>Oost-Vlaanderen</v>
          </cell>
          <cell r="K1102" t="str">
            <v>Merelbeke</v>
          </cell>
          <cell r="M1102" t="str">
            <v>Vr</v>
          </cell>
          <cell r="O1102" t="str">
            <v>09.230.64.87</v>
          </cell>
          <cell r="P1102" t="str">
            <v>09.231.85.36</v>
          </cell>
          <cell r="Q1102" t="str">
            <v>elke.vandekerckhove@notaris.be</v>
          </cell>
          <cell r="R1102">
            <v>2911</v>
          </cell>
          <cell r="S1102" t="str">
            <v>733-0318923-17</v>
          </cell>
          <cell r="T1102">
            <v>38694</v>
          </cell>
        </row>
        <row r="1103">
          <cell r="A1103">
            <v>1102</v>
          </cell>
          <cell r="B1103" t="str">
            <v>VANDEKERCKHOVE Goedele</v>
          </cell>
          <cell r="C1103" t="str">
            <v>VANDEKERCKHOVE Goedele</v>
          </cell>
          <cell r="D1103" t="str">
            <v>Notaris</v>
          </cell>
          <cell r="E1103" t="str">
            <v>Mechelsesteenweg</v>
          </cell>
          <cell r="F1103" t="str">
            <v>202</v>
          </cell>
          <cell r="G1103" t="str">
            <v/>
          </cell>
          <cell r="H1103" t="str">
            <v>2018</v>
          </cell>
          <cell r="I1103" t="str">
            <v>Antwerpen</v>
          </cell>
          <cell r="K1103" t="str">
            <v>Antwerpen</v>
          </cell>
          <cell r="M1103" t="str">
            <v>Vr</v>
          </cell>
          <cell r="O1103" t="str">
            <v>03.237.17.05</v>
          </cell>
          <cell r="P1103" t="str">
            <v>03.216.07.19</v>
          </cell>
          <cell r="Q1103" t="str">
            <v>GOEDELE.VANDEKERCKHOVE@NOTARIS.BE</v>
          </cell>
          <cell r="R1103">
            <v>3585</v>
          </cell>
        </row>
        <row r="1104">
          <cell r="A1104">
            <v>1103</v>
          </cell>
          <cell r="B1104" t="str">
            <v>VANDEMEULEBROECKE Pascal</v>
          </cell>
          <cell r="C1104" t="str">
            <v>VANDEMEULEBROECKE Pascal</v>
          </cell>
          <cell r="D1104" t="str">
            <v>Notaris</v>
          </cell>
          <cell r="E1104" t="str">
            <v>Kortrijksesteenweg</v>
          </cell>
          <cell r="F1104" t="str">
            <v>200</v>
          </cell>
          <cell r="G1104" t="str">
            <v/>
          </cell>
          <cell r="H1104" t="str">
            <v>9830</v>
          </cell>
          <cell r="I1104" t="str">
            <v>Oost-Vlaanderen</v>
          </cell>
          <cell r="K1104" t="str">
            <v>Sint-Martens-Latem</v>
          </cell>
          <cell r="M1104" t="str">
            <v>M</v>
          </cell>
          <cell r="O1104" t="str">
            <v>09.282.76.13</v>
          </cell>
          <cell r="P1104" t="str">
            <v>09.282.77.95</v>
          </cell>
          <cell r="Q1104" t="str">
            <v>PASCAL.VANDEMEULEBROECKE@NOTARIS.BE</v>
          </cell>
          <cell r="R1104">
            <v>2545</v>
          </cell>
        </row>
        <row r="1105">
          <cell r="A1105">
            <v>1104</v>
          </cell>
          <cell r="B1105" t="str">
            <v>VAN den ABBEELE Philip</v>
          </cell>
          <cell r="C1105" t="str">
            <v>VandenAbeele Philip</v>
          </cell>
          <cell r="D1105" t="str">
            <v>Notaris</v>
          </cell>
          <cell r="E1105" t="str">
            <v>Britselei</v>
          </cell>
          <cell r="F1105" t="str">
            <v>47-49</v>
          </cell>
          <cell r="G1105" t="str">
            <v/>
          </cell>
          <cell r="H1105" t="str">
            <v>2000</v>
          </cell>
          <cell r="I1105" t="str">
            <v>Antwerpen</v>
          </cell>
          <cell r="K1105" t="str">
            <v>Antwerpen</v>
          </cell>
          <cell r="M1105" t="str">
            <v>M</v>
          </cell>
          <cell r="O1105" t="str">
            <v>03.237.37.56</v>
          </cell>
          <cell r="P1105" t="str">
            <v>03.238.80.15</v>
          </cell>
          <cell r="Q1105" t="str">
            <v>PHILIP.VANDENABBEELE@NOTARIS.BE</v>
          </cell>
          <cell r="R1105">
            <v>3201</v>
          </cell>
        </row>
        <row r="1106">
          <cell r="A1106">
            <v>1105</v>
          </cell>
          <cell r="B1106" t="str">
            <v>de SAGHER en VANDENAMEELE</v>
          </cell>
          <cell r="C1106" t="str">
            <v>Vandenameele Bruno</v>
          </cell>
          <cell r="D1106" t="str">
            <v>Geassocieerd Notaris</v>
          </cell>
          <cell r="E1106" t="str">
            <v>Boeschepestraat</v>
          </cell>
          <cell r="F1106" t="str">
            <v>4</v>
          </cell>
          <cell r="G1106" t="str">
            <v/>
          </cell>
          <cell r="H1106" t="str">
            <v>8970</v>
          </cell>
          <cell r="I1106" t="str">
            <v>West-Vlaanderen</v>
          </cell>
          <cell r="K1106" t="str">
            <v>Poperinge</v>
          </cell>
          <cell r="L1106">
            <v>24638</v>
          </cell>
          <cell r="M1106" t="str">
            <v>M</v>
          </cell>
          <cell r="O1106" t="str">
            <v>057.33.33.81</v>
          </cell>
          <cell r="P1106" t="str">
            <v>057.33.80.11</v>
          </cell>
          <cell r="Q1106" t="str">
            <v>BRUNO.VANDENAMEELE@NOTARIS.BE</v>
          </cell>
          <cell r="R1106">
            <v>3478</v>
          </cell>
        </row>
        <row r="1107">
          <cell r="A1107">
            <v>1106</v>
          </cell>
          <cell r="B1107" t="str">
            <v>van den BERG Alain</v>
          </cell>
          <cell r="C1107" t="str">
            <v>vandenBerg Alain</v>
          </cell>
          <cell r="D1107" t="str">
            <v>Notaris</v>
          </cell>
          <cell r="E1107" t="str">
            <v>Rue du Commerce</v>
          </cell>
          <cell r="F1107" t="str">
            <v>1</v>
          </cell>
          <cell r="G1107" t="str">
            <v/>
          </cell>
          <cell r="H1107" t="str">
            <v>4100</v>
          </cell>
          <cell r="I1107" t="str">
            <v>Liège</v>
          </cell>
          <cell r="K1107" t="str">
            <v>Seraing</v>
          </cell>
          <cell r="M1107" t="str">
            <v>M</v>
          </cell>
          <cell r="O1107" t="str">
            <v>04.337.05.82</v>
          </cell>
          <cell r="P1107" t="str">
            <v>04.337.05.55</v>
          </cell>
          <cell r="Q1107" t="str">
            <v>ALAIN.VANDENBERG@NOTAIRE.BE</v>
          </cell>
          <cell r="R1107">
            <v>2943</v>
          </cell>
        </row>
        <row r="1108">
          <cell r="A1108">
            <v>1107</v>
          </cell>
          <cell r="B1108" t="str">
            <v>DECKERS DE GRAEVE SLEDSENS &amp; VAN DEN BERGH</v>
          </cell>
          <cell r="C1108" t="str">
            <v>VanDenBergh Rene</v>
          </cell>
          <cell r="D1108" t="str">
            <v>Geassocieerd Notaris</v>
          </cell>
          <cell r="E1108" t="str">
            <v>Broederminstraat</v>
          </cell>
          <cell r="F1108" t="str">
            <v>9</v>
          </cell>
          <cell r="G1108" t="str">
            <v/>
          </cell>
          <cell r="H1108" t="str">
            <v>2018</v>
          </cell>
          <cell r="I1108" t="str">
            <v>Antwerpen</v>
          </cell>
          <cell r="K1108" t="str">
            <v>Antwerpen</v>
          </cell>
          <cell r="M1108" t="str">
            <v>M</v>
          </cell>
          <cell r="O1108" t="str">
            <v>03.233.90.66</v>
          </cell>
          <cell r="P1108" t="str">
            <v>03.234.23.86</v>
          </cell>
          <cell r="Q1108" t="str">
            <v>rene.vandenbergh@notaris.be</v>
          </cell>
          <cell r="R1108">
            <v>3523</v>
          </cell>
        </row>
        <row r="1109">
          <cell r="A1109">
            <v>1108</v>
          </cell>
          <cell r="B1109" t="str">
            <v>VANDENBERGHE Bruno</v>
          </cell>
          <cell r="C1109" t="str">
            <v>VANDENBERGHE Bruno</v>
          </cell>
          <cell r="D1109" t="str">
            <v>Notaris</v>
          </cell>
          <cell r="E1109" t="str">
            <v>Rue du Curé du Château</v>
          </cell>
          <cell r="F1109" t="str">
            <v>7</v>
          </cell>
          <cell r="G1109" t="str">
            <v/>
          </cell>
          <cell r="H1109" t="str">
            <v>7500</v>
          </cell>
          <cell r="I1109" t="str">
            <v>Hainaut</v>
          </cell>
          <cell r="K1109" t="str">
            <v>Tournai</v>
          </cell>
          <cell r="M1109" t="str">
            <v>M</v>
          </cell>
          <cell r="O1109" t="str">
            <v>069.22.49.22</v>
          </cell>
          <cell r="P1109" t="str">
            <v>069.21.54.54</v>
          </cell>
          <cell r="Q1109" t="str">
            <v>BRUNO.VANDENBERGHE@NOTAIRE.BE</v>
          </cell>
          <cell r="R1109">
            <v>2805</v>
          </cell>
        </row>
        <row r="1110">
          <cell r="A1110">
            <v>1109</v>
          </cell>
          <cell r="B1110" t="str">
            <v>VANDENBERGHE Guido</v>
          </cell>
          <cell r="C1110" t="str">
            <v>VANDENBERGHE Guido</v>
          </cell>
          <cell r="D1110" t="str">
            <v>Notaris</v>
          </cell>
          <cell r="E1110" t="str">
            <v>H. Consciencestraat</v>
          </cell>
          <cell r="F1110" t="str">
            <v>46</v>
          </cell>
          <cell r="G1110" t="str">
            <v/>
          </cell>
          <cell r="H1110" t="str">
            <v>8800</v>
          </cell>
          <cell r="I1110" t="str">
            <v>West-Vlaanderen</v>
          </cell>
          <cell r="K1110" t="str">
            <v>Roeselare</v>
          </cell>
          <cell r="L1110">
            <v>23992</v>
          </cell>
          <cell r="M1110" t="str">
            <v>M</v>
          </cell>
          <cell r="O1110" t="str">
            <v>051.20.29.97</v>
          </cell>
          <cell r="P1110" t="str">
            <v>051.25.04.53</v>
          </cell>
          <cell r="Q1110" t="str">
            <v>GUIDO.VANDENBERGHE@NOTARIS.BE</v>
          </cell>
          <cell r="R1110">
            <v>3244</v>
          </cell>
        </row>
        <row r="1111">
          <cell r="A1111">
            <v>1110</v>
          </cell>
          <cell r="B1111" t="str">
            <v>VAN den BOSSCHE Aloïs</v>
          </cell>
          <cell r="C1111" t="str">
            <v>VandenBossche Alois</v>
          </cell>
          <cell r="D1111" t="str">
            <v>Notaris</v>
          </cell>
          <cell r="E1111" t="str">
            <v>Markt</v>
          </cell>
          <cell r="F1111" t="str">
            <v>2</v>
          </cell>
          <cell r="G1111" t="str">
            <v/>
          </cell>
          <cell r="H1111" t="str">
            <v>2290</v>
          </cell>
          <cell r="I1111" t="str">
            <v>Antwerpen</v>
          </cell>
          <cell r="K1111" t="str">
            <v>Vorselaar</v>
          </cell>
          <cell r="M1111" t="str">
            <v>M</v>
          </cell>
          <cell r="O1111" t="str">
            <v>014.51.42.78</v>
          </cell>
          <cell r="P1111" t="str">
            <v>014.51.62.85</v>
          </cell>
          <cell r="Q1111" t="str">
            <v>alois.vandenbossche@belnot.be</v>
          </cell>
          <cell r="R1111">
            <v>2430</v>
          </cell>
        </row>
        <row r="1112">
          <cell r="A1112">
            <v>1111</v>
          </cell>
          <cell r="B1112" t="str">
            <v>VAN DEN BOSSCHE Christiaan</v>
          </cell>
          <cell r="C1112" t="str">
            <v>VandenBossche Christiaan</v>
          </cell>
          <cell r="D1112" t="str">
            <v>Notaris</v>
          </cell>
          <cell r="E1112" t="str">
            <v>Affligem</v>
          </cell>
          <cell r="F1112" t="str">
            <v>28</v>
          </cell>
          <cell r="G1112" t="str">
            <v/>
          </cell>
          <cell r="H1112" t="str">
            <v>9255</v>
          </cell>
          <cell r="I1112" t="str">
            <v>Oost-Vlaanderen</v>
          </cell>
          <cell r="K1112" t="str">
            <v>Buggenhout</v>
          </cell>
          <cell r="M1112" t="str">
            <v>M</v>
          </cell>
          <cell r="O1112" t="str">
            <v>052.33.44.65</v>
          </cell>
          <cell r="P1112" t="str">
            <v>052.34.05.09</v>
          </cell>
          <cell r="Q1112" t="str">
            <v>CHRISTIAN.VANDENBOSSCHE@NOTARIS.BE</v>
          </cell>
          <cell r="R1112">
            <v>2543</v>
          </cell>
        </row>
        <row r="1113">
          <cell r="A1113">
            <v>1112</v>
          </cell>
          <cell r="B1113" t="str">
            <v>EEMAN &amp; VAN DEN BOSSCHE</v>
          </cell>
          <cell r="C1113" t="str">
            <v>VanDenBossche Pascale</v>
          </cell>
          <cell r="D1113" t="str">
            <v>Geassocieerd Notaris</v>
          </cell>
          <cell r="E1113" t="str">
            <v>Esplanadeplein</v>
          </cell>
          <cell r="F1113" t="str">
            <v>10/A</v>
          </cell>
          <cell r="G1113" t="str">
            <v/>
          </cell>
          <cell r="H1113" t="str">
            <v>9300</v>
          </cell>
          <cell r="I1113" t="str">
            <v>Oost-Vlaanderen</v>
          </cell>
          <cell r="K1113" t="str">
            <v>Aalst</v>
          </cell>
          <cell r="M1113" t="str">
            <v>Vr</v>
          </cell>
          <cell r="O1113" t="str">
            <v>053.21.40.72</v>
          </cell>
          <cell r="P1113" t="str">
            <v>053.21.58.76</v>
          </cell>
          <cell r="Q1113" t="str">
            <v>PASCALE.VANDENBOSSCHE@NOTARIS.BE</v>
          </cell>
          <cell r="R1113">
            <v>3522</v>
          </cell>
        </row>
        <row r="1114">
          <cell r="A1114">
            <v>1113</v>
          </cell>
          <cell r="B1114" t="str">
            <v>VAN DEN BRANDE Guy</v>
          </cell>
          <cell r="C1114" t="str">
            <v>VandenBrande Guy</v>
          </cell>
          <cell r="D1114" t="str">
            <v>Notaris</v>
          </cell>
          <cell r="E1114" t="str">
            <v>Deensestraat</v>
          </cell>
          <cell r="F1114" t="str">
            <v>1</v>
          </cell>
          <cell r="G1114" t="str">
            <v/>
          </cell>
          <cell r="H1114" t="str">
            <v>2500</v>
          </cell>
          <cell r="I1114" t="str">
            <v>Antwerpen</v>
          </cell>
          <cell r="K1114" t="str">
            <v>Lier</v>
          </cell>
          <cell r="M1114" t="str">
            <v>M</v>
          </cell>
          <cell r="O1114" t="str">
            <v>03.480.01.85</v>
          </cell>
          <cell r="P1114" t="str">
            <v>03.488.13.32</v>
          </cell>
          <cell r="Q1114" t="str">
            <v>GUY.VANDENBRANDE@NOTARIS.BE</v>
          </cell>
          <cell r="R1114">
            <v>3002</v>
          </cell>
        </row>
        <row r="1115">
          <cell r="A1115">
            <v>1114</v>
          </cell>
          <cell r="B1115" t="str">
            <v>VANDENBROUCKE Olivier</v>
          </cell>
          <cell r="C1115" t="str">
            <v>VANDENBROUCKE Olivier</v>
          </cell>
          <cell r="D1115" t="str">
            <v>Notaris</v>
          </cell>
          <cell r="E1115" t="str">
            <v>rue Arthur Baudhuin</v>
          </cell>
          <cell r="F1115" t="str">
            <v>55</v>
          </cell>
          <cell r="G1115" t="str">
            <v/>
          </cell>
          <cell r="H1115" t="str">
            <v>6220</v>
          </cell>
          <cell r="I1115" t="str">
            <v>Hainaut</v>
          </cell>
          <cell r="K1115" t="str">
            <v>Lambusart</v>
          </cell>
          <cell r="M1115" t="str">
            <v>M</v>
          </cell>
          <cell r="O1115" t="str">
            <v>071.82.30.30</v>
          </cell>
          <cell r="P1115" t="str">
            <v>071.82.30.39</v>
          </cell>
          <cell r="Q1115" t="str">
            <v>OLIVIER.VANDENBROUCKE@NOTAIRE.BE</v>
          </cell>
          <cell r="R1115">
            <v>3397</v>
          </cell>
        </row>
        <row r="1116">
          <cell r="A1116">
            <v>1115</v>
          </cell>
          <cell r="B1116" t="str">
            <v>LUCAS VANDEN BUSSCHE &amp; THOMAS DUSSELIER</v>
          </cell>
          <cell r="C1116" t="str">
            <v>VandenBussche Lucas</v>
          </cell>
          <cell r="D1116" t="str">
            <v>Geassocieerd Notaris</v>
          </cell>
          <cell r="E1116" t="str">
            <v>Van Bunnenlaan</v>
          </cell>
          <cell r="F1116" t="str">
            <v>57</v>
          </cell>
          <cell r="G1116" t="str">
            <v/>
          </cell>
          <cell r="H1116" t="str">
            <v>8300</v>
          </cell>
          <cell r="I1116" t="str">
            <v>West-Vlaanderen</v>
          </cell>
          <cell r="K1116" t="str">
            <v>Knokke-Heist</v>
          </cell>
          <cell r="L1116">
            <v>17265</v>
          </cell>
          <cell r="M1116" t="str">
            <v>M</v>
          </cell>
          <cell r="O1116" t="str">
            <v>050.63.20.20</v>
          </cell>
          <cell r="P1116" t="str">
            <v>050.61.52.85</v>
          </cell>
          <cell r="Q1116" t="str">
            <v>LUCAS.VANDENBUSSCHE@NOTARIS.BE</v>
          </cell>
          <cell r="R1116">
            <v>3599</v>
          </cell>
        </row>
        <row r="1117">
          <cell r="A1117">
            <v>1116</v>
          </cell>
          <cell r="B1117" t="str">
            <v>Vanden Bussche - Debaets</v>
          </cell>
          <cell r="C1117" t="str">
            <v>VandenBussche Marc</v>
          </cell>
          <cell r="D1117" t="str">
            <v>Geassocieerd Notaris</v>
          </cell>
          <cell r="E1117" t="str">
            <v>Guldenvlieslaan</v>
          </cell>
          <cell r="F1117" t="str">
            <v>34A</v>
          </cell>
          <cell r="G1117" t="str">
            <v/>
          </cell>
          <cell r="H1117" t="str">
            <v>8670</v>
          </cell>
          <cell r="I1117" t="str">
            <v>West-Vlaanderen</v>
          </cell>
          <cell r="K1117" t="str">
            <v>Koksijde</v>
          </cell>
          <cell r="L1117">
            <v>18369</v>
          </cell>
          <cell r="M1117" t="str">
            <v>M</v>
          </cell>
          <cell r="O1117" t="str">
            <v>058.53.20.10</v>
          </cell>
          <cell r="P1117" t="str">
            <v>058.52.29.57</v>
          </cell>
          <cell r="Q1117" t="str">
            <v>MARC.VANDENBUSSCHE@NOTARIS.BE</v>
          </cell>
          <cell r="R1117">
            <v>2562</v>
          </cell>
        </row>
        <row r="1118">
          <cell r="A1118">
            <v>1117</v>
          </cell>
          <cell r="B1118" t="str">
            <v>VANDEN EYCKEN Yves</v>
          </cell>
          <cell r="C1118" t="str">
            <v>VandenEycken Yves</v>
          </cell>
          <cell r="D1118" t="str">
            <v>Notaris</v>
          </cell>
          <cell r="E1118" t="str">
            <v>Aalstsesteenweg</v>
          </cell>
          <cell r="F1118" t="str">
            <v>227</v>
          </cell>
          <cell r="G1118" t="str">
            <v/>
          </cell>
          <cell r="H1118" t="str">
            <v>9506</v>
          </cell>
          <cell r="I1118" t="str">
            <v>Oost-Vlaanderen</v>
          </cell>
          <cell r="K1118" t="str">
            <v>Idegem</v>
          </cell>
          <cell r="M1118" t="str">
            <v>M</v>
          </cell>
          <cell r="O1118" t="str">
            <v>054.50.04.56</v>
          </cell>
          <cell r="P1118" t="str">
            <v>054.50.29.24</v>
          </cell>
          <cell r="Q1118" t="str">
            <v>YVES.VANDENEYCKEN@NOTARIS.BE</v>
          </cell>
          <cell r="R1118">
            <v>3163</v>
          </cell>
        </row>
        <row r="1119">
          <cell r="A1119">
            <v>1118</v>
          </cell>
          <cell r="B1119" t="str">
            <v>VAN DEN EYNDE Kathleen</v>
          </cell>
          <cell r="C1119" t="str">
            <v>VandenEynde Kathleen</v>
          </cell>
          <cell r="D1119" t="str">
            <v>Notaris</v>
          </cell>
          <cell r="E1119" t="str">
            <v>Rumbeeksesteenweg</v>
          </cell>
          <cell r="F1119" t="str">
            <v>472</v>
          </cell>
          <cell r="G1119" t="str">
            <v/>
          </cell>
          <cell r="H1119" t="str">
            <v>8800</v>
          </cell>
          <cell r="I1119" t="str">
            <v>West-Vlaanderen</v>
          </cell>
          <cell r="K1119" t="str">
            <v>Rumbeke</v>
          </cell>
          <cell r="L1119">
            <v>25456</v>
          </cell>
          <cell r="M1119" t="str">
            <v>Vr</v>
          </cell>
          <cell r="O1119" t="str">
            <v>051.20.63.70</v>
          </cell>
          <cell r="P1119" t="str">
            <v>051.22.48.56</v>
          </cell>
          <cell r="Q1119" t="str">
            <v>KATHLEEN.VANDENEYNDE@NOTARIS.BE</v>
          </cell>
          <cell r="R1119">
            <v>3332</v>
          </cell>
        </row>
        <row r="1120">
          <cell r="A1120">
            <v>1119</v>
          </cell>
          <cell r="B1120" t="str">
            <v>PIERRE VAN DEN EYNDE &amp; LORETTE ROUSSEAU SPRL</v>
          </cell>
          <cell r="C1120" t="str">
            <v>VandenEynde Pierre</v>
          </cell>
          <cell r="D1120" t="str">
            <v>Geassocieerd Notaris</v>
          </cell>
          <cell r="E1120" t="str">
            <v>rue Royale</v>
          </cell>
          <cell r="F1120" t="str">
            <v>207</v>
          </cell>
          <cell r="G1120" t="str">
            <v>bte 1</v>
          </cell>
          <cell r="H1120" t="str">
            <v>1210</v>
          </cell>
          <cell r="I1120" t="str">
            <v>Bruxelles</v>
          </cell>
          <cell r="K1120" t="str">
            <v>Bruxelles</v>
          </cell>
          <cell r="M1120" t="str">
            <v>M</v>
          </cell>
          <cell r="O1120" t="str">
            <v>02.227.40.40</v>
          </cell>
          <cell r="P1120" t="str">
            <v>02.218.35.44</v>
          </cell>
          <cell r="Q1120" t="str">
            <v>PIERRE.VANDENEYNDE@NOTAIRE.BE</v>
          </cell>
          <cell r="R1120">
            <v>3559</v>
          </cell>
        </row>
        <row r="1121">
          <cell r="A1121">
            <v>1120</v>
          </cell>
          <cell r="B1121" t="str">
            <v>VAN DEN EYNDE Stefaan</v>
          </cell>
          <cell r="C1121" t="str">
            <v>VandenEynde Stefaan</v>
          </cell>
          <cell r="D1121" t="str">
            <v>Notaris</v>
          </cell>
          <cell r="E1121" t="str">
            <v>Kapittellaan</v>
          </cell>
          <cell r="F1121" t="str">
            <v>7</v>
          </cell>
          <cell r="G1121" t="str">
            <v/>
          </cell>
          <cell r="H1121" t="str">
            <v>1860</v>
          </cell>
          <cell r="I1121" t="str">
            <v>Vlaams Brabant</v>
          </cell>
          <cell r="K1121" t="str">
            <v>Meise</v>
          </cell>
          <cell r="M1121" t="str">
            <v>M</v>
          </cell>
          <cell r="O1121" t="str">
            <v>02.272.40.50</v>
          </cell>
          <cell r="P1121" t="str">
            <v>02.269.70.93</v>
          </cell>
          <cell r="Q1121" t="str">
            <v>STEFAAN.VANDENEYNDE@NOTARIS.BE</v>
          </cell>
          <cell r="R1121">
            <v>1237</v>
          </cell>
        </row>
        <row r="1122">
          <cell r="A1122">
            <v>1121</v>
          </cell>
          <cell r="B1122" t="str">
            <v>VAN DEN HAUTE Dirk</v>
          </cell>
          <cell r="C1122" t="str">
            <v>VandenHaute Dirk</v>
          </cell>
          <cell r="D1122" t="str">
            <v>Notaris</v>
          </cell>
          <cell r="E1122" t="str">
            <v>G. Vandersteenstraat</v>
          </cell>
          <cell r="F1122" t="str">
            <v>6</v>
          </cell>
          <cell r="G1122" t="str">
            <v/>
          </cell>
          <cell r="H1122" t="str">
            <v>1750</v>
          </cell>
          <cell r="I1122" t="str">
            <v>Vlaams Brabant</v>
          </cell>
          <cell r="K1122" t="str">
            <v>Sint-Kwintens-Lennik</v>
          </cell>
          <cell r="M1122" t="str">
            <v>M</v>
          </cell>
          <cell r="O1122" t="str">
            <v>02.532.41.23</v>
          </cell>
          <cell r="P1122" t="str">
            <v>02.532.22.45</v>
          </cell>
          <cell r="Q1122" t="str">
            <v>DIRK.VANDENHAUTE@NOTARIS.BE</v>
          </cell>
          <cell r="R1122">
            <v>3133</v>
          </cell>
        </row>
        <row r="1123">
          <cell r="A1123">
            <v>1122</v>
          </cell>
          <cell r="B1123" t="str">
            <v>van den HOVE d´ERTSENRYCK Paul</v>
          </cell>
          <cell r="C1123" t="str">
            <v>vandenHovedErtsenryck Paul</v>
          </cell>
          <cell r="D1123" t="str">
            <v>Notaris</v>
          </cell>
          <cell r="E1123" t="str">
            <v>Dokter August Sniedersstraat</v>
          </cell>
          <cell r="F1123" t="str">
            <v>1A</v>
          </cell>
          <cell r="G1123" t="str">
            <v/>
          </cell>
          <cell r="H1123" t="str">
            <v>2240</v>
          </cell>
          <cell r="I1123" t="str">
            <v>Antwerpen</v>
          </cell>
          <cell r="K1123" t="str">
            <v>Zandhoven</v>
          </cell>
          <cell r="M1123" t="str">
            <v>M</v>
          </cell>
          <cell r="O1123" t="str">
            <v>03.484.31.07</v>
          </cell>
          <cell r="P1123" t="str">
            <v>03.464.02.07</v>
          </cell>
          <cell r="Q1123" t="str">
            <v>PAUL.VANDENHOVEDERTSENRYCK@NOTARIS.BE</v>
          </cell>
          <cell r="R1123">
            <v>461</v>
          </cell>
        </row>
        <row r="1124">
          <cell r="A1124">
            <v>1123</v>
          </cell>
          <cell r="B1124" t="str">
            <v>VAN DEN KIEBOOM René</v>
          </cell>
          <cell r="C1124" t="str">
            <v>VandenKieboom René</v>
          </cell>
          <cell r="D1124" t="str">
            <v>Notaris</v>
          </cell>
          <cell r="E1124" t="str">
            <v>Korte Lozanastraat</v>
          </cell>
          <cell r="F1124" t="str">
            <v>12</v>
          </cell>
          <cell r="G1124" t="str">
            <v/>
          </cell>
          <cell r="H1124" t="str">
            <v>2018</v>
          </cell>
          <cell r="I1124" t="str">
            <v>Antwerpen</v>
          </cell>
          <cell r="K1124" t="str">
            <v>Antwerpen</v>
          </cell>
          <cell r="M1124" t="str">
            <v>M</v>
          </cell>
          <cell r="O1124" t="str">
            <v>03.238.15.94</v>
          </cell>
          <cell r="P1124" t="str">
            <v>03.248.13.93</v>
          </cell>
          <cell r="Q1124" t="str">
            <v>RENE.VANDENKIEBOOM@NOTARIS.BE</v>
          </cell>
          <cell r="R1124">
            <v>2717</v>
          </cell>
        </row>
        <row r="1125">
          <cell r="A1125">
            <v>1124</v>
          </cell>
          <cell r="B1125" t="str">
            <v>Notaris Maryelle Van den Moortel BVBA</v>
          </cell>
          <cell r="C1125" t="str">
            <v>VandenMoortel Maryelle</v>
          </cell>
          <cell r="D1125" t="str">
            <v>Notaris</v>
          </cell>
          <cell r="E1125" t="str">
            <v>Graven Egmont en Hoornlaan</v>
          </cell>
          <cell r="F1125" t="str">
            <v>18 A</v>
          </cell>
          <cell r="G1125" t="str">
            <v/>
          </cell>
          <cell r="H1125" t="str">
            <v>3090</v>
          </cell>
          <cell r="I1125" t="str">
            <v>Vlaams Brabant</v>
          </cell>
          <cell r="K1125" t="str">
            <v>Overijse</v>
          </cell>
          <cell r="M1125" t="str">
            <v>Vr</v>
          </cell>
          <cell r="O1125" t="str">
            <v>02.687.83.20</v>
          </cell>
          <cell r="P1125" t="str">
            <v>02.687.34.42</v>
          </cell>
          <cell r="Q1125" t="str">
            <v>MARYELLE.VANDENMOORTEL@NOTARIS.BE</v>
          </cell>
          <cell r="R1125">
            <v>1320</v>
          </cell>
        </row>
        <row r="1126">
          <cell r="A1126">
            <v>1125</v>
          </cell>
          <cell r="B1126" t="str">
            <v>VAN den NIEUWENHUIZEN Johan</v>
          </cell>
          <cell r="C1126" t="str">
            <v>VandenNieuwenhuyzen Johan</v>
          </cell>
          <cell r="D1126" t="str">
            <v>Notaris</v>
          </cell>
          <cell r="E1126" t="str">
            <v>Barelveldweg</v>
          </cell>
          <cell r="F1126" t="str">
            <v>78</v>
          </cell>
          <cell r="G1126" t="str">
            <v/>
          </cell>
          <cell r="H1126" t="str">
            <v>2880</v>
          </cell>
          <cell r="I1126" t="str">
            <v>Antwerpen</v>
          </cell>
          <cell r="K1126" t="str">
            <v>Bornem</v>
          </cell>
          <cell r="M1126" t="str">
            <v>M</v>
          </cell>
          <cell r="O1126" t="str">
            <v>03.897.15.15</v>
          </cell>
          <cell r="P1126" t="str">
            <v>03.897.15.10</v>
          </cell>
          <cell r="Q1126" t="str">
            <v>JOHAN.VANDENNIEUWENHUIZEN@NOTARIS.BE</v>
          </cell>
          <cell r="R1126">
            <v>3400</v>
          </cell>
        </row>
        <row r="1127">
          <cell r="A1127">
            <v>1126</v>
          </cell>
          <cell r="B1127" t="str">
            <v>VANDENWEGHE Jan</v>
          </cell>
          <cell r="C1127" t="str">
            <v>VANDENWEGHE Jan</v>
          </cell>
          <cell r="D1127" t="str">
            <v>Notaris</v>
          </cell>
          <cell r="E1127" t="str">
            <v>Berten Pilstraat</v>
          </cell>
          <cell r="F1127" t="str">
            <v>9</v>
          </cell>
          <cell r="G1127" t="str">
            <v/>
          </cell>
          <cell r="H1127" t="str">
            <v>8980</v>
          </cell>
          <cell r="I1127" t="str">
            <v>West-Vlaanderen</v>
          </cell>
          <cell r="K1127" t="str">
            <v>Zonnebeke</v>
          </cell>
          <cell r="L1127">
            <v>20982</v>
          </cell>
          <cell r="M1127" t="str">
            <v>M</v>
          </cell>
          <cell r="O1127" t="str">
            <v>051.77.74.26</v>
          </cell>
          <cell r="P1127" t="str">
            <v>051.77.22.81</v>
          </cell>
          <cell r="Q1127" t="str">
            <v>JAN.VANDENWEGHE@NOTARIS.BE</v>
          </cell>
          <cell r="R1127">
            <v>2987</v>
          </cell>
        </row>
        <row r="1128">
          <cell r="A1128">
            <v>1127</v>
          </cell>
          <cell r="B1128" t="str">
            <v>VANDEN WEGHE Jean-Pierre</v>
          </cell>
          <cell r="C1128" t="str">
            <v>VandenWeghe Jean-Pierre</v>
          </cell>
          <cell r="D1128" t="str">
            <v>Notaris</v>
          </cell>
          <cell r="E1128" t="str">
            <v>Koning Albertstraat</v>
          </cell>
          <cell r="F1128" t="str">
            <v>227</v>
          </cell>
          <cell r="G1128" t="str">
            <v/>
          </cell>
          <cell r="H1128" t="str">
            <v>2800</v>
          </cell>
          <cell r="I1128" t="str">
            <v>Antwerpen</v>
          </cell>
          <cell r="K1128" t="str">
            <v>Mechelen</v>
          </cell>
          <cell r="M1128" t="str">
            <v>M</v>
          </cell>
          <cell r="O1128" t="str">
            <v>015.20.13.64</v>
          </cell>
          <cell r="P1128" t="str">
            <v>015.20.64.87</v>
          </cell>
          <cell r="Q1128" t="str">
            <v>JEANPIERRE.VANDENWEGHE@NOTARIS.BE</v>
          </cell>
          <cell r="R1128">
            <v>2994</v>
          </cell>
        </row>
        <row r="1129">
          <cell r="A1129">
            <v>1128</v>
          </cell>
          <cell r="B1129" t="str">
            <v>VAN den WEGHE Patrick</v>
          </cell>
          <cell r="C1129" t="str">
            <v>VandenWeghe Patrick</v>
          </cell>
          <cell r="D1129" t="str">
            <v>Notaris</v>
          </cell>
          <cell r="E1129" t="str">
            <v>L. Ruelensstraat</v>
          </cell>
          <cell r="F1129" t="str">
            <v>54</v>
          </cell>
          <cell r="G1129" t="str">
            <v/>
          </cell>
          <cell r="H1129" t="str">
            <v>3010</v>
          </cell>
          <cell r="I1129" t="str">
            <v>Vlaams Brabant</v>
          </cell>
          <cell r="K1129" t="str">
            <v>Kessel-Lo Leuven)</v>
          </cell>
          <cell r="M1129" t="str">
            <v>M</v>
          </cell>
          <cell r="O1129" t="str">
            <v>016.25.71.22</v>
          </cell>
          <cell r="P1129" t="str">
            <v>016.26.19.38</v>
          </cell>
          <cell r="Q1129" t="str">
            <v>patrick.vandenweghe@belnot.be</v>
          </cell>
          <cell r="R1129">
            <v>1223</v>
          </cell>
        </row>
        <row r="1130">
          <cell r="A1130">
            <v>1129</v>
          </cell>
          <cell r="B1130" t="str">
            <v>VAN den WEGHE Xavier</v>
          </cell>
          <cell r="C1130" t="str">
            <v>VandenWeghe Xavier</v>
          </cell>
          <cell r="D1130" t="str">
            <v>Notaris</v>
          </cell>
          <cell r="E1130" t="str">
            <v>Staatsbaan</v>
          </cell>
          <cell r="F1130" t="str">
            <v>20</v>
          </cell>
          <cell r="G1130" t="str">
            <v/>
          </cell>
          <cell r="H1130" t="str">
            <v>9870</v>
          </cell>
          <cell r="I1130" t="str">
            <v>Oost-Vlaanderen</v>
          </cell>
          <cell r="K1130" t="str">
            <v>Zulte</v>
          </cell>
          <cell r="M1130" t="str">
            <v>M</v>
          </cell>
          <cell r="O1130" t="str">
            <v>09.388.82.77</v>
          </cell>
          <cell r="P1130" t="str">
            <v>09.388.67.54</v>
          </cell>
          <cell r="Q1130" t="str">
            <v>XAVIER.VANDENWEGHE@NOTARIS.BE</v>
          </cell>
          <cell r="R1130">
            <v>3024</v>
          </cell>
        </row>
        <row r="1131">
          <cell r="A1131">
            <v>1130</v>
          </cell>
          <cell r="B1131" t="str">
            <v>Van den Wouwer Jean</v>
          </cell>
          <cell r="C1131" t="str">
            <v>VandenWouwer Jean</v>
          </cell>
          <cell r="D1131" t="str">
            <v>Notaris</v>
          </cell>
          <cell r="E1131" t="str">
            <v>Place du Petit Sablon</v>
          </cell>
          <cell r="F1131">
            <v>14</v>
          </cell>
          <cell r="H1131">
            <v>1000</v>
          </cell>
          <cell r="I1131" t="str">
            <v>Vlaams Brabant</v>
          </cell>
          <cell r="K1131" t="str">
            <v>Brussel</v>
          </cell>
          <cell r="M1131" t="str">
            <v>M</v>
          </cell>
          <cell r="O1131" t="str">
            <v>02.512.45.19</v>
          </cell>
          <cell r="P1131" t="str">
            <v>02.514.40.36</v>
          </cell>
          <cell r="Q1131" t="str">
            <v>jean.vandenwouwer@notaire.be</v>
          </cell>
          <cell r="S1131" t="str">
            <v>375-1011593-59</v>
          </cell>
          <cell r="T1131">
            <v>38743</v>
          </cell>
        </row>
        <row r="1132">
          <cell r="A1132">
            <v>1131</v>
          </cell>
          <cell r="B1132" t="str">
            <v>VAN DE POEL Ward</v>
          </cell>
          <cell r="C1132" t="str">
            <v>VandePoel Ward</v>
          </cell>
          <cell r="D1132" t="str">
            <v>Notaris</v>
          </cell>
          <cell r="E1132" t="str">
            <v>Hoogstraat</v>
          </cell>
          <cell r="F1132" t="str">
            <v>86</v>
          </cell>
          <cell r="G1132" t="str">
            <v/>
          </cell>
          <cell r="H1132" t="str">
            <v>2580</v>
          </cell>
          <cell r="I1132" t="str">
            <v>Antwerpen</v>
          </cell>
          <cell r="K1132" t="str">
            <v>Putte</v>
          </cell>
          <cell r="M1132" t="str">
            <v>M</v>
          </cell>
          <cell r="O1132" t="str">
            <v>015.75.62.38</v>
          </cell>
          <cell r="P1132" t="str">
            <v>015.75.27.43</v>
          </cell>
          <cell r="Q1132" t="str">
            <v>WARD.VANDEPOEL@NOTARIS.BE</v>
          </cell>
          <cell r="R1132">
            <v>3330</v>
          </cell>
        </row>
        <row r="1133">
          <cell r="A1133">
            <v>1132</v>
          </cell>
          <cell r="B1133" t="str">
            <v>VANDEPUTTE Bart</v>
          </cell>
          <cell r="C1133" t="str">
            <v>VANDEPUTTE Bart</v>
          </cell>
          <cell r="D1133" t="str">
            <v>Notaris</v>
          </cell>
          <cell r="E1133" t="str">
            <v>Spiegelrei</v>
          </cell>
          <cell r="F1133" t="str">
            <v>17</v>
          </cell>
          <cell r="G1133" t="str">
            <v/>
          </cell>
          <cell r="H1133" t="str">
            <v>8000</v>
          </cell>
          <cell r="I1133" t="str">
            <v>West-Vlaanderen</v>
          </cell>
          <cell r="K1133" t="str">
            <v>Brugge</v>
          </cell>
          <cell r="L1133">
            <v>22145</v>
          </cell>
          <cell r="M1133" t="str">
            <v>M</v>
          </cell>
          <cell r="O1133" t="str">
            <v>050.33.58.50</v>
          </cell>
          <cell r="P1133" t="str">
            <v>050.33.66.43</v>
          </cell>
          <cell r="Q1133" t="str">
            <v>BART.VANDEPUTTE@NOTARIS.BE</v>
          </cell>
          <cell r="R1133">
            <v>3251</v>
          </cell>
        </row>
        <row r="1134">
          <cell r="A1134">
            <v>1133</v>
          </cell>
          <cell r="B1134" t="str">
            <v>VANDEPUTTE Karel</v>
          </cell>
          <cell r="C1134" t="str">
            <v>VANDEPUTTE Karel</v>
          </cell>
          <cell r="D1134" t="str">
            <v>Notaris</v>
          </cell>
          <cell r="E1134" t="str">
            <v>Rumbeeksesteenweg</v>
          </cell>
          <cell r="F1134" t="str">
            <v>200</v>
          </cell>
          <cell r="G1134" t="str">
            <v/>
          </cell>
          <cell r="H1134" t="str">
            <v>8800</v>
          </cell>
          <cell r="I1134" t="str">
            <v>West-Vlaanderen</v>
          </cell>
          <cell r="K1134" t="str">
            <v>Roeselare</v>
          </cell>
          <cell r="L1134">
            <v>22725</v>
          </cell>
          <cell r="M1134" t="str">
            <v>M</v>
          </cell>
          <cell r="O1134" t="str">
            <v>051.20.26.16</v>
          </cell>
          <cell r="P1134" t="str">
            <v>051.20.06.52</v>
          </cell>
          <cell r="Q1134" t="str">
            <v>KAREL.VANDEPUTTE@NOTARIS.BE</v>
          </cell>
          <cell r="R1134">
            <v>3237</v>
          </cell>
        </row>
        <row r="1135">
          <cell r="A1135">
            <v>1134</v>
          </cell>
          <cell r="B1135" t="str">
            <v>Notaris Patrick Vandeputte BVBA</v>
          </cell>
          <cell r="C1135" t="str">
            <v>Vandeputte Patrick</v>
          </cell>
          <cell r="D1135" t="str">
            <v>Notaris</v>
          </cell>
          <cell r="E1135" t="str">
            <v>Lammekensstraat</v>
          </cell>
          <cell r="F1135" t="str">
            <v>79</v>
          </cell>
          <cell r="G1135" t="str">
            <v/>
          </cell>
          <cell r="H1135" t="str">
            <v>2140</v>
          </cell>
          <cell r="I1135" t="str">
            <v>Antwerpen</v>
          </cell>
          <cell r="K1135" t="str">
            <v>Borgerhout Antwerpen)</v>
          </cell>
          <cell r="M1135" t="str">
            <v>M</v>
          </cell>
          <cell r="O1135" t="str">
            <v>03.235.44.45</v>
          </cell>
          <cell r="P1135" t="str">
            <v>03.235.98.24</v>
          </cell>
          <cell r="Q1135" t="str">
            <v>PATRICK.VANDEPUTTE@NOTARIS.BE</v>
          </cell>
          <cell r="R1135">
            <v>3030</v>
          </cell>
        </row>
        <row r="1136">
          <cell r="A1136">
            <v>1135</v>
          </cell>
          <cell r="B1136" t="str">
            <v>VAN de PUTTE Wim</v>
          </cell>
          <cell r="C1136" t="str">
            <v>VandePutte Wim</v>
          </cell>
          <cell r="D1136" t="str">
            <v>Notaris</v>
          </cell>
          <cell r="E1136" t="str">
            <v>Bruggestraat</v>
          </cell>
          <cell r="F1136" t="str">
            <v>157</v>
          </cell>
          <cell r="G1136" t="str">
            <v/>
          </cell>
          <cell r="H1136" t="str">
            <v>8970</v>
          </cell>
          <cell r="I1136" t="str">
            <v>West-Vlaanderen</v>
          </cell>
          <cell r="K1136" t="str">
            <v>Poperinge</v>
          </cell>
          <cell r="M1136" t="str">
            <v>M</v>
          </cell>
          <cell r="O1136" t="str">
            <v>057.33.31.13</v>
          </cell>
          <cell r="P1136" t="str">
            <v>057.33.81.05</v>
          </cell>
          <cell r="Q1136" t="str">
            <v>wim.vandeputte@belnot.be</v>
          </cell>
          <cell r="R1136">
            <v>3285</v>
          </cell>
          <cell r="S1136" t="str">
            <v>738-3122970-77</v>
          </cell>
          <cell r="T1136" t="str">
            <v>*1997</v>
          </cell>
        </row>
        <row r="1137">
          <cell r="A1137">
            <v>1136</v>
          </cell>
          <cell r="B1137" t="str">
            <v>VAN der AUWERMEULEN Bernard</v>
          </cell>
          <cell r="C1137" t="str">
            <v>VanderAuwermeulen Bernard</v>
          </cell>
          <cell r="D1137" t="str">
            <v>Notaris</v>
          </cell>
          <cell r="E1137" t="str">
            <v>Kerkstraat</v>
          </cell>
          <cell r="F1137" t="str">
            <v>31</v>
          </cell>
          <cell r="G1137" t="str">
            <v>bus 1</v>
          </cell>
          <cell r="H1137" t="str">
            <v>9930</v>
          </cell>
          <cell r="I1137" t="str">
            <v>Oost-Vlaanderen</v>
          </cell>
          <cell r="K1137" t="str">
            <v>Zomergem</v>
          </cell>
          <cell r="M1137" t="str">
            <v>M</v>
          </cell>
          <cell r="O1137" t="str">
            <v>09.372.71.80</v>
          </cell>
          <cell r="P1137" t="str">
            <v>09.372.97.80</v>
          </cell>
          <cell r="Q1137" t="str">
            <v>BERNARD.VANDERAUWERMEULEN@NOTARIS.BE</v>
          </cell>
          <cell r="R1137">
            <v>3329</v>
          </cell>
        </row>
        <row r="1138">
          <cell r="A1138">
            <v>1137</v>
          </cell>
          <cell r="B1138" t="str">
            <v>VAN DER AUWERMEULEN Michel</v>
          </cell>
          <cell r="C1138" t="str">
            <v>VanderAuwermeulen Michel</v>
          </cell>
          <cell r="D1138" t="str">
            <v>Notaris</v>
          </cell>
          <cell r="G1138" t="str">
            <v/>
          </cell>
          <cell r="H1138">
            <v>9120</v>
          </cell>
          <cell r="I1138" t="str">
            <v>Oost-Vlaanderen</v>
          </cell>
          <cell r="K1138" t="str">
            <v>Beveren</v>
          </cell>
          <cell r="M1138" t="str">
            <v>M</v>
          </cell>
          <cell r="O1138" t="str">
            <v>03.773.47.12</v>
          </cell>
          <cell r="P1138" t="str">
            <v>03.773.29.15</v>
          </cell>
          <cell r="Q1138" t="str">
            <v>MICHEL.VANDERAUWERMEULEN@NOTARIS.BE</v>
          </cell>
          <cell r="R1138">
            <v>3058</v>
          </cell>
        </row>
        <row r="1139">
          <cell r="A1139">
            <v>1138</v>
          </cell>
          <cell r="B1139" t="str">
            <v>van der Beeck Bernard</v>
          </cell>
          <cell r="C1139" t="str">
            <v>vanderBeeck Michel</v>
          </cell>
          <cell r="D1139" t="str">
            <v>Notaris</v>
          </cell>
          <cell r="E1139" t="str">
            <v>Chaussée de Haecht</v>
          </cell>
          <cell r="F1139" t="str">
            <v>160</v>
          </cell>
          <cell r="G1139" t="str">
            <v/>
          </cell>
          <cell r="H1139" t="str">
            <v>1030</v>
          </cell>
          <cell r="I1139" t="str">
            <v>Bruxelles</v>
          </cell>
          <cell r="K1139" t="str">
            <v>Bruxelles</v>
          </cell>
          <cell r="M1139" t="str">
            <v>M</v>
          </cell>
          <cell r="O1139" t="str">
            <v>02.215.84.68</v>
          </cell>
          <cell r="P1139" t="str">
            <v>02.216.32.08</v>
          </cell>
          <cell r="Q1139" t="str">
            <v>BERNARD.VANDERBEEK@NOTARIS.BE</v>
          </cell>
          <cell r="R1139">
            <v>3234</v>
          </cell>
        </row>
        <row r="1140">
          <cell r="A1140">
            <v>1139</v>
          </cell>
          <cell r="B1140" t="str">
            <v>Pierre-Paul vander Borght SPRL</v>
          </cell>
          <cell r="C1140" t="str">
            <v>vanderBorght Pierre-Paul</v>
          </cell>
          <cell r="D1140" t="str">
            <v>Notaris</v>
          </cell>
          <cell r="E1140" t="str">
            <v>Square Vergote</v>
          </cell>
          <cell r="F1140" t="str">
            <v>41</v>
          </cell>
          <cell r="G1140" t="str">
            <v/>
          </cell>
          <cell r="H1140" t="str">
            <v>1030</v>
          </cell>
          <cell r="I1140" t="str">
            <v>Bruxelles</v>
          </cell>
          <cell r="K1140" t="str">
            <v>Bruxelles</v>
          </cell>
          <cell r="M1140" t="str">
            <v>M</v>
          </cell>
          <cell r="O1140" t="str">
            <v>02.732.72.70</v>
          </cell>
          <cell r="P1140" t="str">
            <v>02.732.76.96</v>
          </cell>
          <cell r="Q1140" t="str">
            <v>PIERREPAUL.VANDERBORGHT@NOTAIRE.BE</v>
          </cell>
          <cell r="R1140">
            <v>2971</v>
          </cell>
        </row>
        <row r="1141">
          <cell r="A1141">
            <v>1140</v>
          </cell>
          <cell r="B1141" t="str">
            <v>VAN DER BRACHT Jean</v>
          </cell>
          <cell r="C1141" t="str">
            <v>VanderBracht Jean</v>
          </cell>
          <cell r="D1141" t="str">
            <v>Notaris</v>
          </cell>
          <cell r="E1141" t="str">
            <v>Grote Steenweg</v>
          </cell>
          <cell r="F1141" t="str">
            <v>77</v>
          </cell>
          <cell r="G1141" t="str">
            <v/>
          </cell>
          <cell r="H1141" t="str">
            <v>9340</v>
          </cell>
          <cell r="I1141" t="str">
            <v>Oost-Vlaanderen</v>
          </cell>
          <cell r="K1141" t="str">
            <v>Oordegem</v>
          </cell>
          <cell r="M1141" t="str">
            <v>M</v>
          </cell>
          <cell r="O1141" t="str">
            <v>09.369.06.26</v>
          </cell>
          <cell r="P1141" t="str">
            <v>09.366.05.77</v>
          </cell>
          <cell r="Q1141" t="str">
            <v>JEAN.VANDERBRACHT@NOTARIS.BE</v>
          </cell>
          <cell r="R1141">
            <v>2501</v>
          </cell>
        </row>
        <row r="1142">
          <cell r="A1142">
            <v>1141</v>
          </cell>
          <cell r="B1142" t="str">
            <v>VANDERCRUYSSE Bart</v>
          </cell>
          <cell r="C1142" t="str">
            <v>VANDERCRUYSSE Bart</v>
          </cell>
          <cell r="D1142" t="str">
            <v>Notaris</v>
          </cell>
          <cell r="E1142" t="str">
            <v>Steenakkerplein</v>
          </cell>
          <cell r="F1142" t="str">
            <v>1</v>
          </cell>
          <cell r="G1142" t="str">
            <v/>
          </cell>
          <cell r="H1142" t="str">
            <v>8940</v>
          </cell>
          <cell r="I1142" t="str">
            <v>West-Vlaanderen</v>
          </cell>
          <cell r="K1142" t="str">
            <v>Wervik</v>
          </cell>
          <cell r="L1142">
            <v>22538</v>
          </cell>
          <cell r="M1142" t="str">
            <v>M</v>
          </cell>
          <cell r="O1142" t="str">
            <v>056.31.11.10</v>
          </cell>
          <cell r="P1142" t="str">
            <v>056.31.20.45</v>
          </cell>
          <cell r="Q1142" t="str">
            <v>BART.VANDERCRUYSSE@NOTARIS.BE</v>
          </cell>
          <cell r="R1142">
            <v>3158</v>
          </cell>
        </row>
        <row r="1143">
          <cell r="A1143">
            <v>1142</v>
          </cell>
          <cell r="B1143" t="str">
            <v>VAN der CRUYSSE Filip</v>
          </cell>
          <cell r="C1143" t="str">
            <v>VanderCruysse Filip</v>
          </cell>
          <cell r="D1143" t="str">
            <v>Notaris</v>
          </cell>
          <cell r="E1143" t="str">
            <v>Stationsplein</v>
          </cell>
          <cell r="F1143" t="str">
            <v>11</v>
          </cell>
          <cell r="G1143" t="str">
            <v>bus 1</v>
          </cell>
          <cell r="H1143" t="str">
            <v>9160</v>
          </cell>
          <cell r="I1143" t="str">
            <v>Oost-Vlaanderen</v>
          </cell>
          <cell r="K1143" t="str">
            <v>Lokeren</v>
          </cell>
          <cell r="M1143" t="str">
            <v>M</v>
          </cell>
          <cell r="O1143" t="str">
            <v>09.348.11.81</v>
          </cell>
          <cell r="P1143" t="str">
            <v>09.349.33.64</v>
          </cell>
          <cell r="Q1143" t="str">
            <v>FILIP.VANDERCRUYSSE@NOTARIS.BE</v>
          </cell>
          <cell r="R1143">
            <v>3328</v>
          </cell>
        </row>
        <row r="1144">
          <cell r="A1144">
            <v>1143</v>
          </cell>
          <cell r="B1144" t="str">
            <v>VANDERCRUYSSEN Cécile</v>
          </cell>
          <cell r="C1144" t="str">
            <v>VANDERCRUYSSEN Cécile</v>
          </cell>
          <cell r="D1144" t="str">
            <v>Notaris</v>
          </cell>
          <cell r="E1144" t="str">
            <v>Clarissenstraat</v>
          </cell>
          <cell r="F1144" t="str">
            <v>36</v>
          </cell>
          <cell r="G1144" t="str">
            <v/>
          </cell>
          <cell r="H1144" t="str">
            <v>9000</v>
          </cell>
          <cell r="I1144" t="str">
            <v>Oost-Vlaanderen</v>
          </cell>
          <cell r="K1144" t="str">
            <v>Gent</v>
          </cell>
          <cell r="M1144" t="str">
            <v>Vr</v>
          </cell>
          <cell r="O1144" t="str">
            <v>09.225.07.13</v>
          </cell>
          <cell r="P1144" t="str">
            <v>09.223.12.88</v>
          </cell>
          <cell r="Q1144" t="str">
            <v>CECILE.VANDERCRUYSSEN@NOTARIS.BE</v>
          </cell>
          <cell r="R1144">
            <v>3429</v>
          </cell>
        </row>
        <row r="1145">
          <cell r="A1145">
            <v>1144</v>
          </cell>
          <cell r="B1145" t="str">
            <v>VANDER DONCKT Anne</v>
          </cell>
          <cell r="C1145" t="str">
            <v>VanderDonckt Anne</v>
          </cell>
          <cell r="D1145" t="str">
            <v>Notaris</v>
          </cell>
          <cell r="E1145" t="str">
            <v>Noordlaan</v>
          </cell>
          <cell r="F1145" t="str">
            <v>11</v>
          </cell>
          <cell r="G1145" t="str">
            <v/>
          </cell>
          <cell r="H1145" t="str">
            <v>9200</v>
          </cell>
          <cell r="I1145" t="str">
            <v>Oost-Vlaanderen</v>
          </cell>
          <cell r="K1145" t="str">
            <v>Dendermonde</v>
          </cell>
          <cell r="M1145" t="str">
            <v>Vr</v>
          </cell>
          <cell r="O1145" t="str">
            <v>052.22.45.91</v>
          </cell>
          <cell r="P1145" t="str">
            <v>052.22.43.95</v>
          </cell>
          <cell r="Q1145" t="str">
            <v>ANNE.VANDERDONCKT@NOTAIRE.BE</v>
          </cell>
          <cell r="R1145">
            <v>1206</v>
          </cell>
        </row>
        <row r="1146">
          <cell r="A1146">
            <v>1145</v>
          </cell>
          <cell r="B1146" t="str">
            <v>VANDER EECKEN Stéphane</v>
          </cell>
          <cell r="C1146" t="str">
            <v>VanderEecken Stéphane</v>
          </cell>
          <cell r="D1146" t="str">
            <v>Notaris</v>
          </cell>
          <cell r="E1146" t="str">
            <v>Franklin Rooseveltlaan</v>
          </cell>
          <cell r="F1146" t="str">
            <v>23</v>
          </cell>
          <cell r="G1146" t="str">
            <v/>
          </cell>
          <cell r="H1146" t="str">
            <v>9000</v>
          </cell>
          <cell r="I1146" t="str">
            <v>Oost-Vlaanderen</v>
          </cell>
          <cell r="K1146" t="str">
            <v>Gent</v>
          </cell>
          <cell r="M1146" t="str">
            <v>M</v>
          </cell>
          <cell r="O1146" t="str">
            <v>09.225.07.78</v>
          </cell>
          <cell r="P1146" t="str">
            <v>09.224.07.78</v>
          </cell>
          <cell r="Q1146" t="str">
            <v>STEPHANE.VANDEREECKEN@NOTARIS.BE</v>
          </cell>
          <cell r="R1146">
            <v>3438</v>
          </cell>
        </row>
        <row r="1147">
          <cell r="A1147">
            <v>1146</v>
          </cell>
          <cell r="B1147" t="str">
            <v>van der ELST Gery</v>
          </cell>
          <cell r="C1147" t="str">
            <v>vanderElst Guy</v>
          </cell>
          <cell r="D1147" t="str">
            <v>Notaris</v>
          </cell>
          <cell r="E1147" t="str">
            <v>Grand Place</v>
          </cell>
          <cell r="F1147" t="str">
            <v>21</v>
          </cell>
          <cell r="G1147" t="str">
            <v/>
          </cell>
          <cell r="H1147" t="str">
            <v>1360</v>
          </cell>
          <cell r="I1147" t="str">
            <v>Brabant Wallon</v>
          </cell>
          <cell r="K1147" t="str">
            <v>Perwez</v>
          </cell>
          <cell r="M1147" t="str">
            <v>M</v>
          </cell>
          <cell r="O1147" t="str">
            <v>081.65.44.30</v>
          </cell>
          <cell r="P1147" t="str">
            <v>081.65.70.64</v>
          </cell>
          <cell r="Q1147" t="str">
            <v>GERY.VANDERELST@NOTAIRE.BE</v>
          </cell>
          <cell r="R1147">
            <v>3381</v>
          </cell>
        </row>
        <row r="1148">
          <cell r="A1148">
            <v>1147</v>
          </cell>
          <cell r="B1148" t="str">
            <v>VANDER HEYDE Idès-Henri</v>
          </cell>
          <cell r="C1148" t="str">
            <v>VanderHeyde Idès-Henri</v>
          </cell>
          <cell r="D1148" t="str">
            <v>Notaris</v>
          </cell>
          <cell r="E1148" t="str">
            <v>Vijverstraat</v>
          </cell>
          <cell r="F1148">
            <v>49</v>
          </cell>
          <cell r="G1148" t="str">
            <v/>
          </cell>
          <cell r="H1148" t="str">
            <v>8400</v>
          </cell>
          <cell r="I1148" t="str">
            <v>West-Vlaanderen</v>
          </cell>
          <cell r="K1148" t="str">
            <v>Oostende</v>
          </cell>
          <cell r="L1148">
            <v>20978</v>
          </cell>
          <cell r="M1148" t="str">
            <v>M</v>
          </cell>
          <cell r="O1148" t="str">
            <v>059.56.39.60</v>
          </cell>
          <cell r="P1148" t="str">
            <v>059.56.39.61</v>
          </cell>
          <cell r="Q1148" t="str">
            <v>IDESHENRI.VANDERHEYDE@NOTARIS.BE</v>
          </cell>
          <cell r="R1148">
            <v>3022</v>
          </cell>
        </row>
        <row r="1149">
          <cell r="A1149">
            <v>1148</v>
          </cell>
          <cell r="B1149" t="str">
            <v>VANDERHOVEN Marc</v>
          </cell>
          <cell r="C1149" t="str">
            <v>VANDERHOVEN Marc</v>
          </cell>
          <cell r="D1149" t="str">
            <v>Notaris</v>
          </cell>
          <cell r="E1149" t="str">
            <v>Rue Bosseler</v>
          </cell>
          <cell r="F1149" t="str">
            <v>11</v>
          </cell>
          <cell r="G1149" t="str">
            <v/>
          </cell>
          <cell r="H1149" t="str">
            <v>6790</v>
          </cell>
          <cell r="I1149" t="str">
            <v>Luxembourg</v>
          </cell>
          <cell r="K1149" t="str">
            <v>Aubange</v>
          </cell>
          <cell r="M1149" t="str">
            <v>M</v>
          </cell>
          <cell r="O1149" t="str">
            <v>063.38.83.30</v>
          </cell>
          <cell r="P1149" t="str">
            <v>063.38.52.65</v>
          </cell>
          <cell r="Q1149" t="str">
            <v>MARC.VANDERHOVEN@NOTAIRE.BE</v>
          </cell>
          <cell r="R1149">
            <v>47</v>
          </cell>
        </row>
        <row r="1150">
          <cell r="A1150">
            <v>1149</v>
          </cell>
          <cell r="B1150" t="str">
            <v>VANDERLINDEN Joost</v>
          </cell>
          <cell r="C1150" t="str">
            <v>VANDERLINDEN Joost</v>
          </cell>
          <cell r="D1150" t="str">
            <v>Notaris</v>
          </cell>
          <cell r="E1150" t="str">
            <v>Neerstraat</v>
          </cell>
          <cell r="F1150" t="str">
            <v>89-91</v>
          </cell>
          <cell r="G1150" t="str">
            <v/>
          </cell>
          <cell r="H1150" t="str">
            <v>9660</v>
          </cell>
          <cell r="I1150" t="str">
            <v>Oost-Vlaanderen</v>
          </cell>
          <cell r="K1150" t="str">
            <v>Brakel</v>
          </cell>
          <cell r="M1150" t="str">
            <v>M</v>
          </cell>
          <cell r="O1150" t="str">
            <v>055.42.33.99</v>
          </cell>
          <cell r="P1150" t="str">
            <v>055.42.67.55</v>
          </cell>
          <cell r="Q1150" t="str">
            <v>JOOST.VANDERLINDEN@NOTARIS.BE</v>
          </cell>
          <cell r="R1150">
            <v>3146</v>
          </cell>
        </row>
        <row r="1151">
          <cell r="A1151">
            <v>1150</v>
          </cell>
          <cell r="B1151" t="str">
            <v>VAN DER LINDEN Marc &amp; Michaël bvba</v>
          </cell>
          <cell r="C1151" t="str">
            <v>VanDerLinden Marc</v>
          </cell>
          <cell r="D1151" t="str">
            <v>Geassocieerd Notaris</v>
          </cell>
          <cell r="E1151" t="str">
            <v>Leopoldplein</v>
          </cell>
          <cell r="F1151" t="str">
            <v>17</v>
          </cell>
          <cell r="G1151" t="str">
            <v/>
          </cell>
          <cell r="H1151" t="str">
            <v>3500</v>
          </cell>
          <cell r="I1151" t="str">
            <v>Limburg</v>
          </cell>
          <cell r="K1151" t="str">
            <v>Hasselt</v>
          </cell>
          <cell r="M1151" t="str">
            <v>M</v>
          </cell>
          <cell r="O1151" t="str">
            <v>011.22.44.74</v>
          </cell>
          <cell r="P1151" t="str">
            <v>011.24.23.94</v>
          </cell>
          <cell r="Q1151" t="str">
            <v>MARC.VANDERLINDEN@NOTARIS.BE</v>
          </cell>
          <cell r="R1151">
            <v>2549</v>
          </cell>
        </row>
        <row r="1152">
          <cell r="A1152">
            <v>1151</v>
          </cell>
          <cell r="B1152" t="str">
            <v>VAN DER LINDEN Marc &amp; Michaël bvba</v>
          </cell>
          <cell r="C1152" t="str">
            <v>VanderLinden Michaël</v>
          </cell>
          <cell r="D1152" t="str">
            <v>Geassocieerd Notaris</v>
          </cell>
          <cell r="E1152" t="str">
            <v>Leopoldplein</v>
          </cell>
          <cell r="F1152" t="str">
            <v>17</v>
          </cell>
          <cell r="G1152" t="str">
            <v/>
          </cell>
          <cell r="H1152" t="str">
            <v>3500</v>
          </cell>
          <cell r="I1152" t="str">
            <v>Limburg</v>
          </cell>
          <cell r="K1152" t="str">
            <v>Hasselt</v>
          </cell>
          <cell r="M1152" t="str">
            <v>M</v>
          </cell>
          <cell r="O1152" t="str">
            <v>011.22.44.74</v>
          </cell>
          <cell r="P1152" t="str">
            <v>011.24.23.94</v>
          </cell>
          <cell r="Q1152" t="str">
            <v>MARC.VANDERLINDEN@NOTARIS.BE</v>
          </cell>
          <cell r="R1152">
            <v>2549</v>
          </cell>
          <cell r="T1152">
            <v>38672</v>
          </cell>
        </row>
        <row r="1153">
          <cell r="A1153">
            <v>1152</v>
          </cell>
          <cell r="B1153" t="str">
            <v>VAN DER LINDEN Samuël</v>
          </cell>
          <cell r="C1153" t="str">
            <v>VanDerLinden Samuel</v>
          </cell>
          <cell r="D1153" t="str">
            <v>Notaris</v>
          </cell>
          <cell r="E1153" t="str">
            <v>Steenweg</v>
          </cell>
          <cell r="F1153" t="str">
            <v>132</v>
          </cell>
          <cell r="G1153" t="str">
            <v/>
          </cell>
          <cell r="H1153" t="str">
            <v>3590</v>
          </cell>
          <cell r="I1153" t="str">
            <v>Limburg</v>
          </cell>
          <cell r="K1153" t="str">
            <v>Diepenbeek</v>
          </cell>
          <cell r="M1153" t="str">
            <v>M</v>
          </cell>
          <cell r="O1153" t="str">
            <v>011.45.53.00</v>
          </cell>
          <cell r="P1153" t="str">
            <v>011.45.53.50</v>
          </cell>
          <cell r="Q1153" t="str">
            <v>SAMUEL.VANDERLINDEN@NOTARIS.BE</v>
          </cell>
          <cell r="R1153">
            <v>3588</v>
          </cell>
        </row>
        <row r="1154">
          <cell r="A1154">
            <v>1153</v>
          </cell>
          <cell r="B1154" t="str">
            <v>Notaris Rudy Vandermander BVBA</v>
          </cell>
          <cell r="C1154" t="str">
            <v>Vandermander Rudy</v>
          </cell>
          <cell r="D1154" t="str">
            <v>Notaris</v>
          </cell>
          <cell r="E1154" t="str">
            <v>Hospitaalstraat</v>
          </cell>
          <cell r="F1154" t="str">
            <v>50</v>
          </cell>
          <cell r="G1154" t="str">
            <v/>
          </cell>
          <cell r="H1154" t="str">
            <v>9940</v>
          </cell>
          <cell r="I1154" t="str">
            <v>Oost-Vlaanderen</v>
          </cell>
          <cell r="K1154" t="str">
            <v>Ertvelde</v>
          </cell>
          <cell r="M1154" t="str">
            <v>M</v>
          </cell>
          <cell r="O1154" t="str">
            <v>09.344.52.48</v>
          </cell>
          <cell r="P1154" t="str">
            <v>09.344.85.41</v>
          </cell>
          <cell r="Q1154" t="str">
            <v>RUDY.VANDERMANDER@NOTARIS.BE</v>
          </cell>
          <cell r="R1154">
            <v>2551</v>
          </cell>
        </row>
        <row r="1155">
          <cell r="A1155">
            <v>1154</v>
          </cell>
          <cell r="B1155" t="str">
            <v>VAN DER MEERSCH Bart</v>
          </cell>
          <cell r="C1155" t="str">
            <v>VanDerMeersch Bart</v>
          </cell>
          <cell r="D1155" t="str">
            <v>Notaris</v>
          </cell>
          <cell r="E1155" t="str">
            <v>Oude Straat</v>
          </cell>
          <cell r="F1155" t="str">
            <v>36</v>
          </cell>
          <cell r="G1155" t="str">
            <v/>
          </cell>
          <cell r="H1155" t="str">
            <v>3960</v>
          </cell>
          <cell r="I1155" t="str">
            <v>Limburg</v>
          </cell>
          <cell r="K1155" t="str">
            <v>Bree</v>
          </cell>
          <cell r="M1155" t="str">
            <v>M</v>
          </cell>
          <cell r="O1155" t="str">
            <v>089.47.15.96</v>
          </cell>
          <cell r="P1155" t="str">
            <v>089.47.20.35</v>
          </cell>
          <cell r="Q1155" t="str">
            <v>BART.VANDERMEERSCH@NOTARIS.BE</v>
          </cell>
          <cell r="R1155">
            <v>3266</v>
          </cell>
        </row>
        <row r="1156">
          <cell r="A1156">
            <v>1155</v>
          </cell>
          <cell r="B1156" t="str">
            <v>VANDERMEERSCH Lucie</v>
          </cell>
          <cell r="C1156" t="str">
            <v>VANDERMEERSCH Lucie</v>
          </cell>
          <cell r="D1156" t="str">
            <v>Notaris</v>
          </cell>
          <cell r="E1156" t="str">
            <v>Burgschelde</v>
          </cell>
          <cell r="F1156" t="str">
            <v>13</v>
          </cell>
          <cell r="G1156" t="str">
            <v/>
          </cell>
          <cell r="H1156" t="str">
            <v>9700</v>
          </cell>
          <cell r="I1156" t="str">
            <v>Oost-Vlaanderen</v>
          </cell>
          <cell r="K1156" t="str">
            <v>Oudenaarde</v>
          </cell>
          <cell r="M1156" t="str">
            <v>Vr</v>
          </cell>
          <cell r="O1156" t="str">
            <v>055.31.19.09</v>
          </cell>
          <cell r="P1156" t="str">
            <v>055.31.00.50</v>
          </cell>
          <cell r="Q1156" t="str">
            <v>LUCIE.VANDERMEERSCH@NOTARIS.BE</v>
          </cell>
          <cell r="R1156">
            <v>2768</v>
          </cell>
        </row>
        <row r="1157">
          <cell r="A1157">
            <v>1156</v>
          </cell>
          <cell r="B1157" t="str">
            <v>VAN DER PAAL Gertrui</v>
          </cell>
          <cell r="C1157" t="str">
            <v>VanDerPaal Gertrui</v>
          </cell>
          <cell r="D1157" t="str">
            <v>Notaris</v>
          </cell>
          <cell r="E1157" t="str">
            <v>Warande</v>
          </cell>
          <cell r="F1157" t="str">
            <v>17</v>
          </cell>
          <cell r="G1157" t="str">
            <v/>
          </cell>
          <cell r="H1157" t="str">
            <v>9890</v>
          </cell>
          <cell r="I1157" t="str">
            <v>Oost-Vlaanderen</v>
          </cell>
          <cell r="K1157" t="str">
            <v>Gavere</v>
          </cell>
          <cell r="M1157" t="str">
            <v>Vr</v>
          </cell>
          <cell r="O1157" t="str">
            <v>09.384.11.66</v>
          </cell>
          <cell r="P1157" t="str">
            <v>09.384.47.13</v>
          </cell>
          <cell r="Q1157" t="str">
            <v>geertrui.vanderpaal@notaris.be</v>
          </cell>
          <cell r="R1157">
            <v>2754</v>
          </cell>
        </row>
        <row r="1158">
          <cell r="A1158">
            <v>1157</v>
          </cell>
          <cell r="B1158" t="str">
            <v>VANDERPLAETSEN Bernard</v>
          </cell>
          <cell r="C1158" t="str">
            <v>VANDERPLAETSEN Bernard</v>
          </cell>
          <cell r="D1158" t="str">
            <v>Notaris</v>
          </cell>
          <cell r="E1158" t="str">
            <v>Diepestraat</v>
          </cell>
          <cell r="F1158" t="str">
            <v>4</v>
          </cell>
          <cell r="G1158" t="str">
            <v/>
          </cell>
          <cell r="H1158" t="str">
            <v>9920</v>
          </cell>
          <cell r="I1158" t="str">
            <v>Oost-Vlaanderen</v>
          </cell>
          <cell r="K1158" t="str">
            <v>Lovendegem</v>
          </cell>
          <cell r="M1158" t="str">
            <v>M</v>
          </cell>
          <cell r="O1158" t="str">
            <v>09.372.73.33</v>
          </cell>
          <cell r="P1158" t="str">
            <v>09.372.00.82</v>
          </cell>
          <cell r="Q1158" t="str">
            <v>BERNARD.VANDERPLAETSEN@NOTARIS.BE</v>
          </cell>
          <cell r="R1158">
            <v>3207</v>
          </cell>
        </row>
        <row r="1159">
          <cell r="A1159">
            <v>1158</v>
          </cell>
          <cell r="B1159" t="str">
            <v>VANDERSMISSEN Guy</v>
          </cell>
          <cell r="C1159" t="str">
            <v>VANDERSMISSEN Guy</v>
          </cell>
          <cell r="D1159" t="str">
            <v>Notaris</v>
          </cell>
          <cell r="E1159" t="str">
            <v>Sint-Truidensteenweg</v>
          </cell>
          <cell r="F1159" t="str">
            <v>80</v>
          </cell>
          <cell r="G1159" t="str">
            <v/>
          </cell>
          <cell r="H1159" t="str">
            <v>3700</v>
          </cell>
          <cell r="I1159" t="str">
            <v>Limburg</v>
          </cell>
          <cell r="K1159" t="str">
            <v>Tongeren</v>
          </cell>
          <cell r="M1159" t="str">
            <v>M</v>
          </cell>
          <cell r="O1159" t="str">
            <v>012.23.86.57</v>
          </cell>
          <cell r="P1159" t="str">
            <v>012.23.82.58</v>
          </cell>
          <cell r="Q1159" t="str">
            <v>GUY.VANDERSMISSEN@NOTARIS.BE</v>
          </cell>
          <cell r="R1159">
            <v>2608</v>
          </cell>
        </row>
        <row r="1160">
          <cell r="A1160">
            <v>1159</v>
          </cell>
          <cell r="B1160" t="str">
            <v>VANDER STICHELE Pierre</v>
          </cell>
          <cell r="C1160" t="str">
            <v>VanderStichele Pierre</v>
          </cell>
          <cell r="D1160" t="str">
            <v>Notaris</v>
          </cell>
          <cell r="E1160" t="str">
            <v>Damberdstraat</v>
          </cell>
          <cell r="F1160" t="str">
            <v>29</v>
          </cell>
          <cell r="G1160" t="str">
            <v/>
          </cell>
          <cell r="H1160" t="str">
            <v>8560</v>
          </cell>
          <cell r="I1160" t="str">
            <v>West-Vlaanderen</v>
          </cell>
          <cell r="K1160" t="str">
            <v>Moorsele</v>
          </cell>
          <cell r="L1160">
            <v>21631</v>
          </cell>
          <cell r="M1160" t="str">
            <v>M</v>
          </cell>
          <cell r="O1160" t="str">
            <v>056.41.14.48</v>
          </cell>
          <cell r="P1160" t="str">
            <v>056.41.98.70</v>
          </cell>
          <cell r="Q1160" t="str">
            <v>PIERRE.VANDERSTICHELE@NOTARIS.BE</v>
          </cell>
          <cell r="R1160">
            <v>3229</v>
          </cell>
        </row>
        <row r="1161">
          <cell r="A1161">
            <v>1160</v>
          </cell>
          <cell r="B1161" t="str">
            <v>VAN der VEKEN Eduard</v>
          </cell>
          <cell r="C1161" t="str">
            <v>VanderVeken Eduard</v>
          </cell>
          <cell r="D1161" t="str">
            <v>Notaris</v>
          </cell>
          <cell r="E1161" t="str">
            <v>Bazelstraat</v>
          </cell>
          <cell r="F1161" t="str">
            <v>48</v>
          </cell>
          <cell r="G1161" t="str">
            <v/>
          </cell>
          <cell r="H1161" t="str">
            <v>9150</v>
          </cell>
          <cell r="I1161" t="str">
            <v>Oost-Vlaanderen</v>
          </cell>
          <cell r="K1161" t="str">
            <v>Kruibeke</v>
          </cell>
          <cell r="M1161" t="str">
            <v>M</v>
          </cell>
          <cell r="O1161" t="str">
            <v>03.774.30.51</v>
          </cell>
          <cell r="P1161" t="str">
            <v>03.774.06.76</v>
          </cell>
          <cell r="Q1161" t="str">
            <v>EDUARD.VANDERVEKEN@NOTARIS.BE</v>
          </cell>
          <cell r="R1161">
            <v>3050</v>
          </cell>
        </row>
        <row r="1162">
          <cell r="A1162">
            <v>1161</v>
          </cell>
          <cell r="B1162" t="str">
            <v>VAN der VEKEN Raf</v>
          </cell>
          <cell r="C1162" t="str">
            <v>VanderVeken Raf</v>
          </cell>
          <cell r="D1162" t="str">
            <v>Notaris</v>
          </cell>
          <cell r="E1162" t="str">
            <v>Tuinlaan</v>
          </cell>
          <cell r="F1162" t="str">
            <v>2</v>
          </cell>
          <cell r="G1162" t="str">
            <v/>
          </cell>
          <cell r="H1162" t="str">
            <v>9111</v>
          </cell>
          <cell r="I1162" t="str">
            <v>Oost-Vlaanderen</v>
          </cell>
          <cell r="K1162" t="str">
            <v>Belsele</v>
          </cell>
          <cell r="M1162" t="str">
            <v>M</v>
          </cell>
          <cell r="O1162" t="str">
            <v>03.772.37.71</v>
          </cell>
          <cell r="P1162" t="str">
            <v>03.772.12.43</v>
          </cell>
          <cell r="Q1162" t="str">
            <v>RAF.VANDERVEKEN@NOTARIS.BE</v>
          </cell>
          <cell r="R1162">
            <v>3256</v>
          </cell>
        </row>
        <row r="1163">
          <cell r="A1163">
            <v>1162</v>
          </cell>
          <cell r="B1163" t="str">
            <v>BERQUIN NOTARISSEN - BERQUIN NOTAIRES</v>
          </cell>
          <cell r="C1163" t="str">
            <v>Vandervorst Bénédikt</v>
          </cell>
          <cell r="D1163" t="str">
            <v>Geassocieerd Notaris</v>
          </cell>
          <cell r="E1163" t="str">
            <v>Avenue Lloyd Georgelaan</v>
          </cell>
          <cell r="F1163" t="str">
            <v>11</v>
          </cell>
          <cell r="G1163" t="str">
            <v/>
          </cell>
          <cell r="H1163" t="str">
            <v>1000</v>
          </cell>
          <cell r="I1163" t="str">
            <v>Bruxelles</v>
          </cell>
          <cell r="K1163" t="str">
            <v>Bruxelles</v>
          </cell>
          <cell r="M1163" t="str">
            <v>M</v>
          </cell>
          <cell r="O1163" t="str">
            <v>02.645.19.45</v>
          </cell>
          <cell r="P1163" t="str">
            <v>02.645.19.86</v>
          </cell>
          <cell r="Q1163" t="str">
            <v>BENEDIKT.VANDERVORST@NOTAIRE.BE</v>
          </cell>
          <cell r="R1163">
            <v>3224</v>
          </cell>
        </row>
        <row r="1164">
          <cell r="A1164">
            <v>1163</v>
          </cell>
          <cell r="B1164" t="str">
            <v>VAN DER WIELEN Jean</v>
          </cell>
          <cell r="C1164" t="str">
            <v>VanDerWielen Jean</v>
          </cell>
          <cell r="D1164" t="str">
            <v>Notaris</v>
          </cell>
          <cell r="E1164" t="str">
            <v>Rue Curé Ramoux</v>
          </cell>
          <cell r="F1164" t="str">
            <v>11</v>
          </cell>
          <cell r="G1164" t="str">
            <v/>
          </cell>
          <cell r="H1164" t="str">
            <v>4690</v>
          </cell>
          <cell r="I1164" t="str">
            <v>Liège</v>
          </cell>
          <cell r="K1164" t="str">
            <v>Glons</v>
          </cell>
          <cell r="M1164" t="str">
            <v>M</v>
          </cell>
          <cell r="O1164" t="str">
            <v>04.286.32.30</v>
          </cell>
          <cell r="P1164" t="str">
            <v>04.286.34.14</v>
          </cell>
          <cell r="Q1164" t="str">
            <v>JEAN.VANDERWIELEN@NOTAIRE.BE</v>
          </cell>
          <cell r="R1164">
            <v>2454</v>
          </cell>
        </row>
        <row r="1165">
          <cell r="A1165">
            <v>1164</v>
          </cell>
          <cell r="B1165" t="str">
            <v>DECLERCQ - VANDEURZEN</v>
          </cell>
          <cell r="C1165" t="str">
            <v>Vandeurzen Christophe</v>
          </cell>
          <cell r="D1165" t="str">
            <v>Geassocieerd Notaris</v>
          </cell>
          <cell r="E1165" t="str">
            <v>Sint-Maartensplein</v>
          </cell>
          <cell r="F1165" t="str">
            <v>13</v>
          </cell>
          <cell r="G1165" t="str">
            <v/>
          </cell>
          <cell r="H1165" t="str">
            <v>8680</v>
          </cell>
          <cell r="I1165" t="str">
            <v>West-Vlaanderen</v>
          </cell>
          <cell r="K1165" t="str">
            <v>Koekelare</v>
          </cell>
          <cell r="L1165">
            <v>25137</v>
          </cell>
          <cell r="M1165" t="str">
            <v>M</v>
          </cell>
          <cell r="O1165" t="str">
            <v>051.58.80.34</v>
          </cell>
          <cell r="P1165" t="str">
            <v>051.58.33.35</v>
          </cell>
          <cell r="Q1165" t="str">
            <v>christophe.vandeurzen@notaris.be</v>
          </cell>
          <cell r="R1165">
            <v>3648</v>
          </cell>
        </row>
        <row r="1166">
          <cell r="A1166">
            <v>1165</v>
          </cell>
          <cell r="B1166" t="str">
            <v>VAN DE VELDE &amp; GUILLEMYN</v>
          </cell>
          <cell r="C1166" t="str">
            <v>VandeVelde Herwig</v>
          </cell>
          <cell r="D1166" t="str">
            <v>Geassocieerd Notaris</v>
          </cell>
          <cell r="E1166" t="str">
            <v>rue aux Laines</v>
          </cell>
          <cell r="F1166" t="str">
            <v>56</v>
          </cell>
          <cell r="G1166" t="str">
            <v/>
          </cell>
          <cell r="H1166" t="str">
            <v>1000</v>
          </cell>
          <cell r="I1166" t="str">
            <v>Bruxelles</v>
          </cell>
          <cell r="K1166" t="str">
            <v>Bruxelles</v>
          </cell>
          <cell r="M1166" t="str">
            <v>M</v>
          </cell>
          <cell r="O1166" t="str">
            <v>02.511.82.81</v>
          </cell>
          <cell r="P1166" t="str">
            <v>02.511.18.11</v>
          </cell>
          <cell r="Q1166" t="str">
            <v>HERWIG.VANDEVELDE@NOTAIRE.BE</v>
          </cell>
          <cell r="R1166">
            <v>3492</v>
          </cell>
        </row>
        <row r="1167">
          <cell r="A1167">
            <v>1166</v>
          </cell>
          <cell r="B1167" t="str">
            <v>VAN DE VEN Godelieve</v>
          </cell>
          <cell r="C1167" t="str">
            <v>VanDeVen Godelieve</v>
          </cell>
          <cell r="D1167" t="str">
            <v>Notaris</v>
          </cell>
          <cell r="E1167" t="str">
            <v>Kraaigemstraat</v>
          </cell>
          <cell r="F1167" t="str">
            <v>40 A</v>
          </cell>
          <cell r="G1167" t="str">
            <v/>
          </cell>
          <cell r="H1167" t="str">
            <v>9968</v>
          </cell>
          <cell r="I1167" t="str">
            <v>Oost-Vlaanderen</v>
          </cell>
          <cell r="K1167" t="str">
            <v>Bassevelde</v>
          </cell>
          <cell r="M1167" t="str">
            <v>Vr</v>
          </cell>
          <cell r="O1167" t="str">
            <v>09.373.60.58</v>
          </cell>
          <cell r="P1167" t="str">
            <v>09.373.91.06</v>
          </cell>
          <cell r="Q1167" t="str">
            <v>GODELIEVE.VANDEVEN@NOTARIS.BE</v>
          </cell>
          <cell r="R1167">
            <v>79</v>
          </cell>
        </row>
        <row r="1168">
          <cell r="A1168">
            <v>1167</v>
          </cell>
          <cell r="B1168" t="str">
            <v>VAN DIEST &amp; LAENENS</v>
          </cell>
          <cell r="C1168" t="str">
            <v>VanDienst Philippe</v>
          </cell>
          <cell r="D1168" t="str">
            <v>Geassocieerd Notaris</v>
          </cell>
          <cell r="E1168" t="str">
            <v>Handelslei</v>
          </cell>
          <cell r="F1168" t="str">
            <v>102</v>
          </cell>
          <cell r="G1168" t="str">
            <v/>
          </cell>
          <cell r="H1168" t="str">
            <v>2980</v>
          </cell>
          <cell r="I1168" t="str">
            <v>Antwerpen</v>
          </cell>
          <cell r="K1168" t="str">
            <v>Zoersel</v>
          </cell>
          <cell r="M1168" t="str">
            <v>M</v>
          </cell>
          <cell r="O1168" t="str">
            <v>03.384.09.89</v>
          </cell>
          <cell r="P1168" t="str">
            <v>03.384.27.36</v>
          </cell>
          <cell r="Q1168" t="str">
            <v>PHILIPPE.VANDIEST@NOTARIS.BE</v>
          </cell>
          <cell r="R1168">
            <v>3624</v>
          </cell>
        </row>
        <row r="1169">
          <cell r="A1169">
            <v>1168</v>
          </cell>
          <cell r="B1169" t="str">
            <v>van DROOGHENBROECK Vincent</v>
          </cell>
          <cell r="C1169" t="str">
            <v>vanDrooghenbroeck Vincent</v>
          </cell>
          <cell r="D1169" t="str">
            <v>Notaris</v>
          </cell>
          <cell r="E1169" t="str">
            <v>Boulevard Audent</v>
          </cell>
          <cell r="F1169" t="str">
            <v>16</v>
          </cell>
          <cell r="G1169" t="str">
            <v/>
          </cell>
          <cell r="H1169" t="str">
            <v>6000</v>
          </cell>
          <cell r="I1169" t="str">
            <v>Hainaut</v>
          </cell>
          <cell r="K1169" t="str">
            <v>Charleroi</v>
          </cell>
          <cell r="M1169" t="str">
            <v>M</v>
          </cell>
          <cell r="O1169" t="str">
            <v>071.32.07.44</v>
          </cell>
          <cell r="P1169" t="str">
            <v>071.31.26.24</v>
          </cell>
          <cell r="Q1169" t="str">
            <v>VINCENT.VANDROOGHENBROECK@NOTAIRE.BE</v>
          </cell>
          <cell r="R1169">
            <v>614</v>
          </cell>
        </row>
        <row r="1170">
          <cell r="A1170">
            <v>1169</v>
          </cell>
          <cell r="B1170" t="str">
            <v>VAN DUFFEL Giselinde</v>
          </cell>
          <cell r="C1170" t="str">
            <v>VanDuffel Giseline</v>
          </cell>
          <cell r="D1170" t="str">
            <v>Notaris</v>
          </cell>
          <cell r="E1170" t="str">
            <v>Kerkstraat</v>
          </cell>
          <cell r="F1170" t="str">
            <v>27</v>
          </cell>
          <cell r="G1170" t="str">
            <v/>
          </cell>
          <cell r="H1170" t="str">
            <v>9080</v>
          </cell>
          <cell r="I1170" t="str">
            <v>Oost-Vlaanderen</v>
          </cell>
          <cell r="K1170" t="str">
            <v>Zaffelare</v>
          </cell>
          <cell r="M1170" t="str">
            <v>Vr</v>
          </cell>
          <cell r="O1170" t="str">
            <v>09.355.62.94</v>
          </cell>
          <cell r="P1170" t="str">
            <v>09.355.27.15</v>
          </cell>
          <cell r="Q1170" t="str">
            <v>GISELINDE.VANDUFFEL@NOTARIS.BE</v>
          </cell>
          <cell r="R1170">
            <v>3327</v>
          </cell>
        </row>
        <row r="1171">
          <cell r="A1171">
            <v>1170</v>
          </cell>
          <cell r="B1171" t="str">
            <v>VAN DYCK Robert</v>
          </cell>
          <cell r="C1171" t="str">
            <v>VanDyck Robert</v>
          </cell>
          <cell r="D1171" t="str">
            <v>Notaris</v>
          </cell>
          <cell r="E1171" t="str">
            <v>Avenue d´Auderghem</v>
          </cell>
          <cell r="F1171" t="str">
            <v>96</v>
          </cell>
          <cell r="G1171" t="str">
            <v/>
          </cell>
          <cell r="H1171" t="str">
            <v>1040</v>
          </cell>
          <cell r="I1171" t="str">
            <v>Bruxelles</v>
          </cell>
          <cell r="K1171" t="str">
            <v>Bruxelles</v>
          </cell>
          <cell r="M1171" t="str">
            <v>M</v>
          </cell>
          <cell r="O1171" t="str">
            <v>02.736.00.19</v>
          </cell>
          <cell r="P1171" t="str">
            <v>02.735.56.40</v>
          </cell>
          <cell r="Q1171" t="str">
            <v>ROBERT.VANDYCK@NOTAIRE.BE</v>
          </cell>
          <cell r="R1171">
            <v>2738</v>
          </cell>
        </row>
        <row r="1172">
          <cell r="A1172">
            <v>1171</v>
          </cell>
          <cell r="B1172" t="str">
            <v>VAN EDOM Chris</v>
          </cell>
          <cell r="C1172" t="str">
            <v>VanEdom Chris</v>
          </cell>
          <cell r="D1172" t="str">
            <v>Notaris</v>
          </cell>
          <cell r="E1172" t="str">
            <v>Hoogstraat</v>
          </cell>
          <cell r="F1172" t="str">
            <v>56</v>
          </cell>
          <cell r="G1172" t="str">
            <v/>
          </cell>
          <cell r="H1172" t="str">
            <v>3191</v>
          </cell>
          <cell r="I1172" t="str">
            <v>Vlaams Brabant</v>
          </cell>
          <cell r="K1172" t="str">
            <v>Hever</v>
          </cell>
          <cell r="M1172" t="str">
            <v>Vr</v>
          </cell>
          <cell r="O1172" t="str">
            <v>015.52.08.14</v>
          </cell>
          <cell r="P1172" t="str">
            <v>015.51.10.38</v>
          </cell>
          <cell r="Q1172" t="str">
            <v>CHRIS.VANEDOM@NOTARIS.BE</v>
          </cell>
          <cell r="R1172">
            <v>3404</v>
          </cell>
        </row>
        <row r="1173">
          <cell r="A1173">
            <v>1172</v>
          </cell>
          <cell r="B1173" t="str">
            <v>VAN EECKHOUDT Henri</v>
          </cell>
          <cell r="C1173" t="str">
            <v>VanEeckhoudt Henri</v>
          </cell>
          <cell r="D1173" t="str">
            <v>Notaris</v>
          </cell>
          <cell r="E1173" t="str">
            <v>Schapenstraat</v>
          </cell>
          <cell r="F1173" t="str">
            <v>22</v>
          </cell>
          <cell r="G1173" t="str">
            <v/>
          </cell>
          <cell r="H1173" t="str">
            <v>1750</v>
          </cell>
          <cell r="I1173" t="str">
            <v>Vlaams Brabant</v>
          </cell>
          <cell r="K1173" t="str">
            <v>Sint-Martens-Lennik</v>
          </cell>
          <cell r="M1173" t="str">
            <v>M</v>
          </cell>
          <cell r="O1173" t="str">
            <v>02.532.40.75</v>
          </cell>
          <cell r="P1173" t="str">
            <v>02.532.14.72</v>
          </cell>
          <cell r="Q1173" t="str">
            <v>HENRI.VANEECKHOUDT@NOTARIS.BE</v>
          </cell>
          <cell r="R1173">
            <v>2851</v>
          </cell>
          <cell r="S1173" t="str">
            <v>439-1021331-14</v>
          </cell>
        </row>
        <row r="1174">
          <cell r="A1174">
            <v>1173</v>
          </cell>
          <cell r="B1174" t="str">
            <v>VAN EECKHOUDT Jozef</v>
          </cell>
          <cell r="C1174" t="str">
            <v>VanEeckhoudt Jozef</v>
          </cell>
          <cell r="D1174" t="str">
            <v>Notaris</v>
          </cell>
          <cell r="E1174" t="str">
            <v>Plein</v>
          </cell>
          <cell r="F1174" t="str">
            <v>109</v>
          </cell>
          <cell r="G1174" t="str">
            <v/>
          </cell>
          <cell r="H1174" t="str">
            <v>9970</v>
          </cell>
          <cell r="I1174" t="str">
            <v>Oost-Vlaanderen</v>
          </cell>
          <cell r="K1174" t="str">
            <v>Kaprijke</v>
          </cell>
          <cell r="M1174" t="str">
            <v>M</v>
          </cell>
          <cell r="O1174" t="str">
            <v>09.373.77.04</v>
          </cell>
          <cell r="P1174" t="str">
            <v>09.373.93.44</v>
          </cell>
          <cell r="Q1174" t="str">
            <v>JOZEF.VANEECKHOUDT@NOTARIS.BE</v>
          </cell>
          <cell r="R1174">
            <v>2409</v>
          </cell>
        </row>
        <row r="1175">
          <cell r="A1175">
            <v>1174</v>
          </cell>
          <cell r="B1175" t="str">
            <v>VAN EECKHOUDT Luc</v>
          </cell>
          <cell r="C1175" t="str">
            <v>VanEeckhoudt Luc</v>
          </cell>
          <cell r="D1175" t="str">
            <v>Notaris</v>
          </cell>
          <cell r="E1175" t="str">
            <v>Possozplein</v>
          </cell>
          <cell r="F1175" t="str">
            <v>28</v>
          </cell>
          <cell r="G1175" t="str">
            <v/>
          </cell>
          <cell r="H1175" t="str">
            <v>1500</v>
          </cell>
          <cell r="I1175" t="str">
            <v>Vlaams Brabant</v>
          </cell>
          <cell r="K1175" t="str">
            <v>Halle</v>
          </cell>
          <cell r="M1175" t="str">
            <v>M</v>
          </cell>
          <cell r="O1175" t="str">
            <v>02.356.50.95</v>
          </cell>
          <cell r="P1175" t="str">
            <v>02.356.12.31</v>
          </cell>
          <cell r="Q1175" t="str">
            <v>L.VANEECKHOUDT@NOTARIS.BE</v>
          </cell>
          <cell r="R1175">
            <v>2618</v>
          </cell>
        </row>
        <row r="1176">
          <cell r="A1176">
            <v>1175</v>
          </cell>
          <cell r="B1176" t="str">
            <v>VAN EECKHOUDT Luc</v>
          </cell>
          <cell r="C1176" t="str">
            <v>VanEeckhoudt Luc</v>
          </cell>
          <cell r="D1176" t="str">
            <v>Notaris</v>
          </cell>
          <cell r="E1176" t="str">
            <v>St-Truidensesteenweg</v>
          </cell>
          <cell r="F1176" t="str">
            <v>166</v>
          </cell>
          <cell r="G1176" t="str">
            <v/>
          </cell>
          <cell r="H1176" t="str">
            <v>3350</v>
          </cell>
          <cell r="I1176" t="str">
            <v>Vlaams Brabant</v>
          </cell>
          <cell r="K1176" t="str">
            <v>Orsmaal-Gussenhoven</v>
          </cell>
          <cell r="M1176" t="str">
            <v>M</v>
          </cell>
          <cell r="O1176" t="str">
            <v>011.78.44.75</v>
          </cell>
          <cell r="P1176" t="str">
            <v>011.78.44.76</v>
          </cell>
          <cell r="Q1176" t="str">
            <v>LUC.VANEECKHOUDT@NOTARIS.BE</v>
          </cell>
          <cell r="R1176">
            <v>2802</v>
          </cell>
        </row>
        <row r="1177">
          <cell r="A1177">
            <v>1176</v>
          </cell>
          <cell r="B1177" t="str">
            <v>VAN ELSLANDE Jozef</v>
          </cell>
          <cell r="C1177" t="str">
            <v>VanElsLande Jozef</v>
          </cell>
          <cell r="D1177" t="str">
            <v>Notaris</v>
          </cell>
          <cell r="E1177" t="str">
            <v>Steenweg naar Halle</v>
          </cell>
          <cell r="F1177" t="str">
            <v>282</v>
          </cell>
          <cell r="G1177" t="str">
            <v/>
          </cell>
          <cell r="H1177" t="str">
            <v>1652</v>
          </cell>
          <cell r="I1177" t="str">
            <v>Vlaams Brabant</v>
          </cell>
          <cell r="K1177" t="str">
            <v>Alsemberg</v>
          </cell>
          <cell r="M1177" t="str">
            <v>M</v>
          </cell>
          <cell r="O1177" t="str">
            <v>02.380.32.11</v>
          </cell>
          <cell r="P1177" t="str">
            <v>02.380.81.47</v>
          </cell>
          <cell r="Q1177" t="str">
            <v>JOZEF.VANELSLANDE@NOTARIS.BE</v>
          </cell>
          <cell r="R1177">
            <v>771</v>
          </cell>
        </row>
        <row r="1178">
          <cell r="A1178">
            <v>1177</v>
          </cell>
          <cell r="B1178" t="str">
            <v>VAN ERMENGEM Johan</v>
          </cell>
          <cell r="C1178" t="str">
            <v>VanErmenghem Johan</v>
          </cell>
          <cell r="D1178" t="str">
            <v>Notaris</v>
          </cell>
          <cell r="E1178" t="str">
            <v>Markt</v>
          </cell>
          <cell r="F1178" t="str">
            <v>36</v>
          </cell>
          <cell r="G1178" t="str">
            <v/>
          </cell>
          <cell r="H1178" t="str">
            <v>2450</v>
          </cell>
          <cell r="I1178" t="str">
            <v>Antwerpen</v>
          </cell>
          <cell r="K1178" t="str">
            <v>Meerhout</v>
          </cell>
          <cell r="M1178" t="str">
            <v>M</v>
          </cell>
          <cell r="O1178" t="str">
            <v>014.30.00.13</v>
          </cell>
          <cell r="P1178" t="str">
            <v>014.30.27.94</v>
          </cell>
          <cell r="Q1178" t="str">
            <v>JOHAN.VANERMENGEM@NOTARIS.BE</v>
          </cell>
          <cell r="R1178">
            <v>1266</v>
          </cell>
        </row>
        <row r="1179">
          <cell r="A1179">
            <v>1178</v>
          </cell>
          <cell r="B1179" t="str">
            <v>VAN GANSEWINKEL &amp; VAN GANSEWINKEL</v>
          </cell>
          <cell r="C1179" t="str">
            <v>VanGansewinkel Caroline</v>
          </cell>
          <cell r="D1179" t="str">
            <v>Geassocieerd Notaris</v>
          </cell>
          <cell r="E1179" t="str">
            <v>Van Eycklaan</v>
          </cell>
          <cell r="F1179" t="str">
            <v>33</v>
          </cell>
          <cell r="G1179" t="str">
            <v/>
          </cell>
          <cell r="H1179" t="str">
            <v>2370</v>
          </cell>
          <cell r="I1179" t="str">
            <v>Antwerpen</v>
          </cell>
          <cell r="K1179" t="str">
            <v>Arendonk</v>
          </cell>
          <cell r="M1179" t="str">
            <v>Vr</v>
          </cell>
          <cell r="O1179" t="str">
            <v>014.68.94.60</v>
          </cell>
          <cell r="P1179" t="str">
            <v>014.67.16.65</v>
          </cell>
          <cell r="Q1179" t="str">
            <v>caroline.vangansewinkel@notaris.be</v>
          </cell>
          <cell r="R1179">
            <v>3651</v>
          </cell>
        </row>
        <row r="1180">
          <cell r="A1180">
            <v>1179</v>
          </cell>
          <cell r="B1180" t="str">
            <v>VAN GANSEWINKEL &amp; VAN GANSEWINKEL</v>
          </cell>
          <cell r="C1180" t="str">
            <v>VanGansewinkel Pia</v>
          </cell>
          <cell r="D1180" t="str">
            <v>Geassocieerd Notaris</v>
          </cell>
          <cell r="E1180" t="str">
            <v>Van Eycklaan</v>
          </cell>
          <cell r="F1180" t="str">
            <v>33</v>
          </cell>
          <cell r="G1180" t="str">
            <v/>
          </cell>
          <cell r="H1180" t="str">
            <v>2370</v>
          </cell>
          <cell r="I1180" t="str">
            <v>Antwerpen</v>
          </cell>
          <cell r="K1180" t="str">
            <v>Arendonk</v>
          </cell>
          <cell r="M1180" t="str">
            <v>Vr</v>
          </cell>
          <cell r="O1180" t="str">
            <v>014.68.94.60</v>
          </cell>
          <cell r="P1180" t="str">
            <v>014.67.16.65</v>
          </cell>
          <cell r="Q1180" t="str">
            <v>PIA.VANGANSEWINKEL@NOTARIS.BE</v>
          </cell>
          <cell r="R1180">
            <v>3651</v>
          </cell>
        </row>
        <row r="1181">
          <cell r="A1181">
            <v>1180</v>
          </cell>
          <cell r="B1181" t="str">
            <v>VANGOETSENHOVEN Eugène</v>
          </cell>
          <cell r="C1181" t="str">
            <v>VANGOETSENHOVEN Eugène</v>
          </cell>
          <cell r="D1181" t="str">
            <v>Notaris</v>
          </cell>
          <cell r="E1181" t="str">
            <v>Tervuursesteenweg</v>
          </cell>
          <cell r="F1181" t="str">
            <v>462</v>
          </cell>
          <cell r="G1181" t="str">
            <v/>
          </cell>
          <cell r="H1181" t="str">
            <v>3061</v>
          </cell>
          <cell r="I1181" t="str">
            <v>Vlaams Brabant</v>
          </cell>
          <cell r="K1181" t="str">
            <v>Leefdaal</v>
          </cell>
          <cell r="M1181" t="str">
            <v>M</v>
          </cell>
          <cell r="O1181" t="str">
            <v>02.767.87.67</v>
          </cell>
          <cell r="P1181" t="str">
            <v>02.767.83.21</v>
          </cell>
          <cell r="Q1181" t="str">
            <v>EUGENE.VANGOETSENHOVEN@NOTARIS.BE</v>
          </cell>
          <cell r="R1181">
            <v>2459</v>
          </cell>
        </row>
        <row r="1182">
          <cell r="A1182">
            <v>1181</v>
          </cell>
          <cell r="B1182" t="str">
            <v>BVBA BRANDHOF &amp; VAN GORP</v>
          </cell>
          <cell r="C1182" t="str">
            <v>VanGorp Jan</v>
          </cell>
          <cell r="D1182" t="str">
            <v>Geassocieerd Notaris</v>
          </cell>
          <cell r="E1182" t="str">
            <v>Guido Gezellestraat</v>
          </cell>
          <cell r="F1182" t="str">
            <v>21</v>
          </cell>
          <cell r="G1182" t="str">
            <v/>
          </cell>
          <cell r="H1182" t="str">
            <v>3290</v>
          </cell>
          <cell r="I1182" t="str">
            <v>Vlaams Brabant</v>
          </cell>
          <cell r="K1182" t="str">
            <v>Diest</v>
          </cell>
          <cell r="M1182" t="str">
            <v>M</v>
          </cell>
          <cell r="O1182" t="str">
            <v>013.31.10.63</v>
          </cell>
          <cell r="P1182" t="str">
            <v>013.31.13.68</v>
          </cell>
          <cell r="Q1182" t="str">
            <v>JAN.VANGORP@NOTARIS.BE</v>
          </cell>
          <cell r="R1182">
            <v>3636</v>
          </cell>
        </row>
        <row r="1183">
          <cell r="A1183">
            <v>1182</v>
          </cell>
          <cell r="B1183" t="str">
            <v>Joel Vangronsveld BV/BVBA</v>
          </cell>
          <cell r="C1183" t="str">
            <v>Vangronsveld Joel</v>
          </cell>
          <cell r="D1183" t="str">
            <v>Notaris</v>
          </cell>
          <cell r="E1183" t="str">
            <v>Dorpsstraat</v>
          </cell>
          <cell r="F1183" t="str">
            <v>71</v>
          </cell>
          <cell r="G1183" t="str">
            <v/>
          </cell>
          <cell r="H1183" t="str">
            <v>3740</v>
          </cell>
          <cell r="I1183" t="str">
            <v>Limburg</v>
          </cell>
          <cell r="K1183" t="str">
            <v>Eigenbilzen</v>
          </cell>
          <cell r="M1183" t="str">
            <v>M</v>
          </cell>
          <cell r="O1183" t="str">
            <v>089.41.20.29</v>
          </cell>
          <cell r="P1183" t="str">
            <v>089.41.72.77</v>
          </cell>
          <cell r="Q1183" t="str">
            <v>JOEL.VANGRONSVELD@NOTARIS.BE</v>
          </cell>
          <cell r="R1183">
            <v>3297</v>
          </cell>
          <cell r="S1183" t="str">
            <v>735-3252100-66</v>
          </cell>
        </row>
        <row r="1184">
          <cell r="A1184">
            <v>1183</v>
          </cell>
          <cell r="B1184" t="str">
            <v>VAN HAEREN Christine</v>
          </cell>
          <cell r="C1184" t="str">
            <v>VanHaeren Christine</v>
          </cell>
          <cell r="D1184" t="str">
            <v>Notaris</v>
          </cell>
          <cell r="E1184" t="str">
            <v>Herentalsstraat</v>
          </cell>
          <cell r="F1184" t="str">
            <v>1</v>
          </cell>
          <cell r="G1184" t="str">
            <v>bus 2</v>
          </cell>
          <cell r="H1184" t="str">
            <v>2300</v>
          </cell>
          <cell r="I1184" t="str">
            <v>Antwerpen</v>
          </cell>
          <cell r="K1184" t="str">
            <v>Turnhout</v>
          </cell>
          <cell r="M1184" t="str">
            <v>Vr</v>
          </cell>
          <cell r="O1184" t="str">
            <v>014.47.11.80</v>
          </cell>
          <cell r="P1184" t="str">
            <v>014.43.62.99</v>
          </cell>
          <cell r="Q1184" t="str">
            <v>CHRISTINE.VANHAEREN@NOTARIS.BE</v>
          </cell>
          <cell r="R1184">
            <v>3063</v>
          </cell>
        </row>
        <row r="1185">
          <cell r="A1185">
            <v>1184</v>
          </cell>
          <cell r="B1185" t="str">
            <v>BVBA Notariaat Van Haesebrouck</v>
          </cell>
          <cell r="C1185" t="str">
            <v>VanHaesebrouck Dirk</v>
          </cell>
          <cell r="D1185" t="str">
            <v>Notaris</v>
          </cell>
          <cell r="E1185" t="str">
            <v>Moeskroensesteenweg</v>
          </cell>
          <cell r="F1185" t="str">
            <v>124</v>
          </cell>
          <cell r="G1185" t="str">
            <v/>
          </cell>
          <cell r="H1185" t="str">
            <v>8511</v>
          </cell>
          <cell r="I1185" t="str">
            <v>West-Vlaanderen</v>
          </cell>
          <cell r="K1185" t="str">
            <v>Aalbeke</v>
          </cell>
          <cell r="L1185">
            <v>17562</v>
          </cell>
          <cell r="M1185" t="str">
            <v>M</v>
          </cell>
          <cell r="O1185" t="str">
            <v>056.43.90.80</v>
          </cell>
          <cell r="P1185" t="str">
            <v>056.41.11.44</v>
          </cell>
          <cell r="Q1185" t="str">
            <v>DIRK.VANHAESEBROUCK@NOTARIS.BE</v>
          </cell>
          <cell r="R1185">
            <v>30</v>
          </cell>
        </row>
        <row r="1186">
          <cell r="A1186">
            <v>1185</v>
          </cell>
          <cell r="B1186" t="str">
            <v>VANHALEWYN Philippe</v>
          </cell>
          <cell r="C1186" t="str">
            <v>VANHALEWYN Philippe</v>
          </cell>
          <cell r="D1186" t="str">
            <v>Notaris</v>
          </cell>
          <cell r="E1186" t="str">
            <v>Dezangrélaan</v>
          </cell>
          <cell r="F1186" t="str">
            <v>21</v>
          </cell>
          <cell r="G1186" t="str">
            <v/>
          </cell>
          <cell r="H1186" t="str">
            <v>1950</v>
          </cell>
          <cell r="I1186" t="str">
            <v>Vlaams Brabant</v>
          </cell>
          <cell r="K1186" t="str">
            <v>Kraainem</v>
          </cell>
          <cell r="M1186" t="str">
            <v>M</v>
          </cell>
          <cell r="O1186" t="str">
            <v>02.720.11.99</v>
          </cell>
          <cell r="P1186" t="str">
            <v>02.725.24.07</v>
          </cell>
          <cell r="Q1186" t="str">
            <v>PHILIPPE.VANHALEWYN@NOTARIS.BE</v>
          </cell>
          <cell r="R1186">
            <v>2695</v>
          </cell>
        </row>
        <row r="1187">
          <cell r="A1187">
            <v>1186</v>
          </cell>
          <cell r="B1187" t="str">
            <v>VAN HALTEREN HISETTE Roggeman &amp; DERYNCK SCRL</v>
          </cell>
          <cell r="C1187" t="str">
            <v>VanHalteren Thierry</v>
          </cell>
          <cell r="D1187" t="str">
            <v>Geassocieerd Notaris</v>
          </cell>
          <cell r="E1187" t="str">
            <v>rue de l´Association</v>
          </cell>
          <cell r="F1187" t="str">
            <v>30</v>
          </cell>
          <cell r="G1187" t="str">
            <v/>
          </cell>
          <cell r="H1187" t="str">
            <v>1000</v>
          </cell>
          <cell r="I1187" t="str">
            <v>Bruxelles</v>
          </cell>
          <cell r="K1187" t="str">
            <v>Bruxelles</v>
          </cell>
          <cell r="M1187" t="str">
            <v>M</v>
          </cell>
          <cell r="O1187" t="str">
            <v>02.227.58.10</v>
          </cell>
          <cell r="P1187" t="str">
            <v>02.218.20.27</v>
          </cell>
          <cell r="Q1187" t="str">
            <v>THIERRY.VANHALTEREN@NOTAIRE.BE</v>
          </cell>
          <cell r="R1187">
            <v>3510</v>
          </cell>
        </row>
        <row r="1188">
          <cell r="A1188">
            <v>1187</v>
          </cell>
          <cell r="B1188" t="str">
            <v>VANHAVERBEKE Patrick</v>
          </cell>
          <cell r="C1188" t="str">
            <v>VANHAVERBEKE Patrick</v>
          </cell>
          <cell r="D1188" t="str">
            <v>Notaris</v>
          </cell>
          <cell r="E1188" t="str">
            <v>rue Léon Théodorstraat</v>
          </cell>
          <cell r="F1188" t="str">
            <v>49</v>
          </cell>
          <cell r="G1188" t="str">
            <v/>
          </cell>
          <cell r="H1188" t="str">
            <v>1090</v>
          </cell>
          <cell r="I1188" t="str">
            <v>Bruxelles</v>
          </cell>
          <cell r="K1188" t="str">
            <v>Bruxelles</v>
          </cell>
          <cell r="M1188" t="str">
            <v>M</v>
          </cell>
          <cell r="O1188" t="str">
            <v>02.425.18.41</v>
          </cell>
          <cell r="P1188" t="str">
            <v>02.425.87.83</v>
          </cell>
          <cell r="Q1188" t="str">
            <v>PATRICK.VANHAVERBEKE@NOTARIS.BE</v>
          </cell>
          <cell r="R1188">
            <v>3250</v>
          </cell>
        </row>
        <row r="1189">
          <cell r="A1189">
            <v>1188</v>
          </cell>
          <cell r="B1189" t="str">
            <v>VANHELMONT Rose-Marie</v>
          </cell>
          <cell r="C1189" t="str">
            <v>VANHELMONT Rose-Marie</v>
          </cell>
          <cell r="D1189" t="str">
            <v>Notaris</v>
          </cell>
          <cell r="E1189" t="str">
            <v>Thonissenlaan</v>
          </cell>
          <cell r="F1189" t="str">
            <v>51-53</v>
          </cell>
          <cell r="G1189" t="str">
            <v/>
          </cell>
          <cell r="H1189" t="str">
            <v>3500</v>
          </cell>
          <cell r="I1189" t="str">
            <v>Limburg</v>
          </cell>
          <cell r="K1189" t="str">
            <v>Hasselt</v>
          </cell>
          <cell r="M1189" t="str">
            <v>Vr</v>
          </cell>
          <cell r="O1189" t="str">
            <v>011.22.17.59</v>
          </cell>
          <cell r="P1189" t="str">
            <v>011.24.15.60</v>
          </cell>
          <cell r="Q1189" t="str">
            <v>ROSEMARIE.VANHELMONT@NOTARIS.BE</v>
          </cell>
          <cell r="R1189">
            <v>2527</v>
          </cell>
        </row>
        <row r="1190">
          <cell r="A1190">
            <v>1189</v>
          </cell>
          <cell r="B1190" t="str">
            <v>VAN HEMELDONCK Jan</v>
          </cell>
          <cell r="C1190" t="str">
            <v>VanHemeldonck Jan</v>
          </cell>
          <cell r="D1190" t="str">
            <v>Notaris</v>
          </cell>
          <cell r="E1190" t="str">
            <v>Oosterwijkseweg</v>
          </cell>
          <cell r="F1190" t="str">
            <v>42</v>
          </cell>
          <cell r="G1190" t="str">
            <v/>
          </cell>
          <cell r="H1190" t="str">
            <v>2250</v>
          </cell>
          <cell r="I1190" t="str">
            <v>Antwerpen</v>
          </cell>
          <cell r="K1190" t="str">
            <v>Olen</v>
          </cell>
          <cell r="M1190" t="str">
            <v>M</v>
          </cell>
          <cell r="O1190" t="str">
            <v>014.26.63.69</v>
          </cell>
          <cell r="P1190" t="str">
            <v>014.26.63.70</v>
          </cell>
          <cell r="Q1190" t="str">
            <v>JAN.VANHEMELDONCK@NOTARIS.BE</v>
          </cell>
          <cell r="R1190">
            <v>3161</v>
          </cell>
        </row>
        <row r="1191">
          <cell r="A1191">
            <v>1190</v>
          </cell>
          <cell r="B1191" t="str">
            <v>VAN HENCXTHOVEN Walter B.V.B.A.</v>
          </cell>
          <cell r="C1191" t="str">
            <v>VanHencxthoven Walter</v>
          </cell>
          <cell r="D1191" t="str">
            <v>Notaris</v>
          </cell>
          <cell r="E1191" t="str">
            <v>Collegestraat</v>
          </cell>
          <cell r="F1191" t="str">
            <v>22</v>
          </cell>
          <cell r="G1191" t="str">
            <v/>
          </cell>
          <cell r="H1191" t="str">
            <v>2200</v>
          </cell>
          <cell r="I1191" t="str">
            <v>Antwerpen</v>
          </cell>
          <cell r="K1191" t="str">
            <v>Herentals</v>
          </cell>
          <cell r="M1191" t="str">
            <v>M</v>
          </cell>
          <cell r="O1191" t="str">
            <v>014.21.24.90</v>
          </cell>
          <cell r="P1191" t="str">
            <v>014.22.50.93</v>
          </cell>
          <cell r="Q1191" t="str">
            <v>WALTER.VANHENCXTHOVEN@NOTARIS.BE</v>
          </cell>
          <cell r="R1191">
            <v>2862</v>
          </cell>
        </row>
        <row r="1192">
          <cell r="A1192">
            <v>1191</v>
          </cell>
          <cell r="B1192" t="str">
            <v>VAN HERZEELE Marnix</v>
          </cell>
          <cell r="C1192" t="str">
            <v>VanHerzele Marnix</v>
          </cell>
          <cell r="D1192" t="str">
            <v>Notaris</v>
          </cell>
          <cell r="E1192" t="str">
            <v>Ambtmanstraat</v>
          </cell>
          <cell r="F1192" t="str">
            <v>7</v>
          </cell>
          <cell r="G1192" t="str">
            <v/>
          </cell>
          <cell r="H1192" t="str">
            <v>2000</v>
          </cell>
          <cell r="I1192" t="str">
            <v>Antwerpen</v>
          </cell>
          <cell r="K1192" t="str">
            <v>Antwerpen</v>
          </cell>
          <cell r="M1192" t="str">
            <v>M</v>
          </cell>
          <cell r="O1192" t="str">
            <v>03.233.30.67</v>
          </cell>
          <cell r="P1192" t="str">
            <v>03.234.37.06</v>
          </cell>
          <cell r="Q1192" t="str">
            <v>MARNIX.VANHERZEELE@NOTARIS.BE</v>
          </cell>
          <cell r="R1192">
            <v>2964</v>
          </cell>
        </row>
        <row r="1193">
          <cell r="A1193">
            <v>1192</v>
          </cell>
          <cell r="B1193" t="str">
            <v>VAN HOESTENBERGHE &amp; DEWAGTERE</v>
          </cell>
          <cell r="C1193" t="str">
            <v>VanHoestenberghe Patrick</v>
          </cell>
          <cell r="D1193" t="str">
            <v>Geassocieerd Notaris</v>
          </cell>
          <cell r="E1193" t="str">
            <v>Gistelsteenweg</v>
          </cell>
          <cell r="F1193" t="str">
            <v>295</v>
          </cell>
          <cell r="G1193" t="str">
            <v/>
          </cell>
          <cell r="H1193" t="str">
            <v>8490</v>
          </cell>
          <cell r="I1193" t="str">
            <v>West-Vlaanderen</v>
          </cell>
          <cell r="K1193" t="str">
            <v>Jabbeke</v>
          </cell>
          <cell r="L1193">
            <v>16241</v>
          </cell>
          <cell r="M1193" t="str">
            <v>M</v>
          </cell>
          <cell r="O1193" t="str">
            <v>050.81.12.32</v>
          </cell>
          <cell r="P1193" t="str">
            <v>050.81.37.34</v>
          </cell>
          <cell r="Q1193" t="str">
            <v>PATRICK.VANHOESTENBERGHE@NOTARIS.BE</v>
          </cell>
          <cell r="R1193">
            <v>3490</v>
          </cell>
        </row>
        <row r="1194">
          <cell r="A1194">
            <v>1193</v>
          </cell>
          <cell r="B1194" t="str">
            <v>VAN HOESTENBERGHE &amp; DEWAGTERE</v>
          </cell>
          <cell r="C1194" t="str">
            <v>VanHoestenberghe Pieter</v>
          </cell>
          <cell r="D1194" t="str">
            <v>Geassocieerd Notaris</v>
          </cell>
          <cell r="E1194" t="str">
            <v>Gistelsteenweg</v>
          </cell>
          <cell r="F1194" t="str">
            <v>295</v>
          </cell>
          <cell r="G1194" t="str">
            <v/>
          </cell>
          <cell r="H1194" t="str">
            <v>8490</v>
          </cell>
          <cell r="I1194" t="str">
            <v>West-Vlaanderen</v>
          </cell>
          <cell r="K1194" t="str">
            <v>Jabbeke</v>
          </cell>
          <cell r="M1194" t="str">
            <v>M</v>
          </cell>
          <cell r="O1194" t="str">
            <v>050.81.12.32</v>
          </cell>
          <cell r="P1194" t="str">
            <v>050.81.37.34</v>
          </cell>
          <cell r="Q1194" t="str">
            <v>Pieter.VANHOESTENBERGHE@NOTARIS.BE</v>
          </cell>
          <cell r="R1194">
            <v>3490</v>
          </cell>
          <cell r="T1194">
            <v>38727</v>
          </cell>
        </row>
        <row r="1195">
          <cell r="A1195">
            <v>1194</v>
          </cell>
          <cell r="B1195" t="str">
            <v>Paul Van Holen notaris BVBA</v>
          </cell>
          <cell r="C1195" t="str">
            <v>VanHolen Paul</v>
          </cell>
          <cell r="D1195" t="str">
            <v>Notaris</v>
          </cell>
          <cell r="E1195" t="str">
            <v>Watermolenstraat</v>
          </cell>
          <cell r="F1195" t="str">
            <v>12</v>
          </cell>
          <cell r="G1195" t="str">
            <v/>
          </cell>
          <cell r="H1195" t="str">
            <v>1570</v>
          </cell>
          <cell r="I1195" t="str">
            <v>Vlaams Brabant</v>
          </cell>
          <cell r="K1195" t="str">
            <v>Galmaarden</v>
          </cell>
          <cell r="M1195" t="str">
            <v>M</v>
          </cell>
          <cell r="O1195" t="str">
            <v>054.58.94.00</v>
          </cell>
          <cell r="P1195" t="str">
            <v>054.58.70.78</v>
          </cell>
          <cell r="Q1195" t="str">
            <v>PAUL.VANHOLEN@NOTARIS.BE</v>
          </cell>
          <cell r="R1195">
            <v>2718</v>
          </cell>
        </row>
        <row r="1196">
          <cell r="A1196">
            <v>1195</v>
          </cell>
          <cell r="B1196" t="str">
            <v>VAN HOOF Manuel</v>
          </cell>
          <cell r="C1196" t="str">
            <v>VanHoof Manuel</v>
          </cell>
          <cell r="D1196" t="str">
            <v>Notaris</v>
          </cell>
          <cell r="E1196" t="str">
            <v>Eedstraat</v>
          </cell>
          <cell r="F1196" t="str">
            <v>70</v>
          </cell>
          <cell r="G1196" t="str">
            <v/>
          </cell>
          <cell r="H1196" t="str">
            <v>9052</v>
          </cell>
          <cell r="I1196" t="str">
            <v>Oost-Vlaanderen</v>
          </cell>
          <cell r="K1196" t="str">
            <v>Zwijnaarde</v>
          </cell>
          <cell r="M1196" t="str">
            <v>M</v>
          </cell>
          <cell r="O1196" t="str">
            <v>09.222.29.33</v>
          </cell>
          <cell r="P1196" t="str">
            <v>09.220.80.70</v>
          </cell>
          <cell r="Q1196" t="str">
            <v>MANUEL.VANHOOF@NOTARIS.BE</v>
          </cell>
          <cell r="R1196">
            <v>3454</v>
          </cell>
        </row>
        <row r="1197">
          <cell r="A1197">
            <v>1196</v>
          </cell>
          <cell r="B1197" t="str">
            <v>VAN HOOF Philippe</v>
          </cell>
          <cell r="C1197" t="str">
            <v>VanHoof Philippe</v>
          </cell>
          <cell r="D1197" t="str">
            <v>Notaris</v>
          </cell>
          <cell r="E1197" t="str">
            <v>Stapelstraat</v>
          </cell>
          <cell r="F1197" t="str">
            <v>6</v>
          </cell>
          <cell r="G1197" t="str">
            <v/>
          </cell>
          <cell r="H1197" t="str">
            <v>3800</v>
          </cell>
          <cell r="I1197" t="str">
            <v>Limburg</v>
          </cell>
          <cell r="K1197" t="str">
            <v>Sint-Truiden</v>
          </cell>
          <cell r="M1197" t="str">
            <v>M</v>
          </cell>
          <cell r="O1197" t="str">
            <v>011.68.20.56</v>
          </cell>
          <cell r="P1197" t="str">
            <v>011.67.36.60</v>
          </cell>
          <cell r="Q1197" t="str">
            <v>PHILIPPE.VANHOOF@NOTARIS.BE</v>
          </cell>
          <cell r="R1197">
            <v>3433</v>
          </cell>
        </row>
        <row r="1198">
          <cell r="A1198">
            <v>1197</v>
          </cell>
          <cell r="B1198" t="str">
            <v>VAN HOVE Pierre</v>
          </cell>
          <cell r="C1198" t="str">
            <v>VanHove Pierre</v>
          </cell>
          <cell r="D1198" t="str">
            <v>Notaris</v>
          </cell>
          <cell r="E1198" t="str">
            <v>Guido Gezellelaan</v>
          </cell>
          <cell r="F1198" t="str">
            <v>3</v>
          </cell>
          <cell r="G1198" t="str">
            <v>bus 1</v>
          </cell>
          <cell r="H1198" t="str">
            <v>8000</v>
          </cell>
          <cell r="I1198" t="str">
            <v>West-Vlaanderen</v>
          </cell>
          <cell r="K1198" t="str">
            <v>Brugge</v>
          </cell>
          <cell r="L1198">
            <v>22361</v>
          </cell>
          <cell r="M1198" t="str">
            <v>M</v>
          </cell>
          <cell r="O1198" t="str">
            <v>050.33.29.24</v>
          </cell>
          <cell r="P1198" t="str">
            <v>050.33.58.25</v>
          </cell>
          <cell r="Q1198" t="str">
            <v>PIERRE.VANHOVE@NOTARIS.BE</v>
          </cell>
          <cell r="R1198">
            <v>3074</v>
          </cell>
        </row>
        <row r="1199">
          <cell r="A1199">
            <v>1198</v>
          </cell>
          <cell r="B1199" t="str">
            <v>Notaris Christian Vanhyfte BVBA</v>
          </cell>
          <cell r="C1199" t="str">
            <v>Vanhyfte Christian</v>
          </cell>
          <cell r="D1199" t="str">
            <v>Notaris</v>
          </cell>
          <cell r="E1199" t="str">
            <v>Westeindestraat</v>
          </cell>
          <cell r="F1199" t="str">
            <v>30-32</v>
          </cell>
          <cell r="G1199" t="str">
            <v>bus 32</v>
          </cell>
          <cell r="H1199" t="str">
            <v>9990</v>
          </cell>
          <cell r="I1199" t="str">
            <v>Oost-Vlaanderen</v>
          </cell>
          <cell r="K1199" t="str">
            <v>Maldegem</v>
          </cell>
          <cell r="M1199" t="str">
            <v>M</v>
          </cell>
          <cell r="O1199" t="str">
            <v>050.71.15.08</v>
          </cell>
          <cell r="P1199" t="str">
            <v>050.71.06.19</v>
          </cell>
          <cell r="Q1199" t="str">
            <v>CHRISTIAN.VANHYFTE@NOTARIS.BE</v>
          </cell>
          <cell r="R1199">
            <v>3211</v>
          </cell>
        </row>
        <row r="1200">
          <cell r="A1200">
            <v>1199</v>
          </cell>
          <cell r="B1200" t="str">
            <v>VAN INNIS François</v>
          </cell>
          <cell r="C1200" t="str">
            <v>VanInnis François</v>
          </cell>
          <cell r="D1200" t="str">
            <v>Notaris</v>
          </cell>
          <cell r="E1200" t="str">
            <v>Dorpsstraat</v>
          </cell>
          <cell r="F1200" t="str">
            <v>7</v>
          </cell>
          <cell r="G1200" t="str">
            <v/>
          </cell>
          <cell r="H1200" t="str">
            <v>9750</v>
          </cell>
          <cell r="I1200" t="str">
            <v>Oost-Vlaanderen</v>
          </cell>
          <cell r="K1200" t="str">
            <v>Zingem</v>
          </cell>
          <cell r="M1200" t="str">
            <v>M</v>
          </cell>
          <cell r="O1200" t="str">
            <v>09.384.10.20</v>
          </cell>
          <cell r="P1200" t="str">
            <v>09.384.52.37</v>
          </cell>
          <cell r="Q1200" t="str">
            <v>FRANCOIS.VANINNIS@NOTARIS.BE</v>
          </cell>
          <cell r="R1200">
            <v>2847</v>
          </cell>
        </row>
        <row r="1201">
          <cell r="A1201">
            <v>1200</v>
          </cell>
          <cell r="B1201" t="str">
            <v>VAN ISACKER André</v>
          </cell>
          <cell r="C1201" t="str">
            <v>VanIsacker André</v>
          </cell>
          <cell r="D1201" t="str">
            <v>Notaris</v>
          </cell>
          <cell r="E1201" t="str">
            <v>Avenue Louis Lepoutrelaan</v>
          </cell>
          <cell r="F1201" t="str">
            <v>32</v>
          </cell>
          <cell r="G1201" t="str">
            <v/>
          </cell>
          <cell r="H1201" t="str">
            <v>1050</v>
          </cell>
          <cell r="I1201" t="str">
            <v>Bruxelles</v>
          </cell>
          <cell r="K1201" t="str">
            <v>Bruxelles</v>
          </cell>
          <cell r="M1201" t="str">
            <v>M</v>
          </cell>
          <cell r="O1201" t="str">
            <v>02.347.26.26</v>
          </cell>
          <cell r="P1201" t="str">
            <v>02.344.38.13</v>
          </cell>
          <cell r="Q1201" t="str">
            <v>ANDRE.VANISACKER@NOTAIRE.BE</v>
          </cell>
          <cell r="R1201">
            <v>46</v>
          </cell>
        </row>
        <row r="1202">
          <cell r="A1202">
            <v>1201</v>
          </cell>
          <cell r="B1202" t="str">
            <v>VAN ISTERDAEL Christian</v>
          </cell>
          <cell r="C1202" t="str">
            <v>VanIsterdael Christian</v>
          </cell>
          <cell r="D1202" t="str">
            <v>Notaris</v>
          </cell>
          <cell r="E1202" t="str">
            <v>Oude Brusselseweg</v>
          </cell>
          <cell r="F1202" t="str">
            <v>170</v>
          </cell>
          <cell r="G1202" t="str">
            <v/>
          </cell>
          <cell r="H1202" t="str">
            <v>9050</v>
          </cell>
          <cell r="I1202" t="str">
            <v>Oost-Vlaanderen</v>
          </cell>
          <cell r="K1202" t="str">
            <v>Gentbrugge</v>
          </cell>
          <cell r="M1202" t="str">
            <v>M</v>
          </cell>
          <cell r="O1202" t="str">
            <v>09.230.12.94</v>
          </cell>
          <cell r="P1202" t="str">
            <v>09.231.74.52</v>
          </cell>
          <cell r="Q1202" t="str">
            <v>CHRISTIAN.VANISTERDAEL@NOTARIS.BE</v>
          </cell>
          <cell r="R1202">
            <v>2494</v>
          </cell>
        </row>
        <row r="1203">
          <cell r="A1203">
            <v>1202</v>
          </cell>
          <cell r="B1203" t="str">
            <v>VAN KERKHOVEN René</v>
          </cell>
          <cell r="C1203" t="str">
            <v>VanKerkhoven René</v>
          </cell>
          <cell r="D1203" t="str">
            <v>Notaris</v>
          </cell>
          <cell r="E1203" t="str">
            <v>Van den Nestlaan</v>
          </cell>
          <cell r="F1203" t="str">
            <v>11</v>
          </cell>
          <cell r="G1203" t="str">
            <v/>
          </cell>
          <cell r="H1203" t="str">
            <v>2520</v>
          </cell>
          <cell r="I1203" t="str">
            <v>Antwerpen</v>
          </cell>
          <cell r="K1203" t="str">
            <v>Broechem</v>
          </cell>
          <cell r="M1203" t="str">
            <v>M</v>
          </cell>
          <cell r="O1203" t="str">
            <v>03.485.79.37</v>
          </cell>
          <cell r="P1203" t="str">
            <v>03.485.79.39</v>
          </cell>
          <cell r="Q1203" t="str">
            <v>RENE.VANKERKHOVEN@NOTARIS.BE</v>
          </cell>
          <cell r="R1203">
            <v>3</v>
          </cell>
        </row>
        <row r="1204">
          <cell r="A1204">
            <v>1203</v>
          </cell>
          <cell r="B1204" t="str">
            <v>VANKRUNKELSVEN René &amp; Bart</v>
          </cell>
          <cell r="C1204" t="str">
            <v>Vankrunkelsven Bart</v>
          </cell>
          <cell r="D1204" t="str">
            <v>Geassocieerd Notaris</v>
          </cell>
          <cell r="E1204" t="str">
            <v>Berkenlaan</v>
          </cell>
          <cell r="F1204" t="str">
            <v>37</v>
          </cell>
          <cell r="G1204" t="str">
            <v/>
          </cell>
          <cell r="H1204" t="str">
            <v>3970</v>
          </cell>
          <cell r="I1204" t="str">
            <v>Limburg</v>
          </cell>
          <cell r="K1204" t="str">
            <v>Leopoldsburg</v>
          </cell>
          <cell r="M1204" t="str">
            <v>M</v>
          </cell>
          <cell r="O1204" t="str">
            <v>011.34.11.56</v>
          </cell>
          <cell r="P1204" t="str">
            <v>011.40.23.15</v>
          </cell>
          <cell r="Q1204" t="str">
            <v>RENE.VANKRUNKELSVEN@NOTARIS.BE</v>
          </cell>
          <cell r="R1204">
            <v>500</v>
          </cell>
          <cell r="T1204">
            <v>38420</v>
          </cell>
        </row>
        <row r="1205">
          <cell r="A1205">
            <v>1204</v>
          </cell>
          <cell r="B1205" t="str">
            <v>VANKRUNKELSVEN René &amp; Bart</v>
          </cell>
          <cell r="C1205" t="str">
            <v>Vankrunkelsven René</v>
          </cell>
          <cell r="D1205" t="str">
            <v>Geassocieerd Notaris</v>
          </cell>
          <cell r="E1205" t="str">
            <v>Berkenlaan</v>
          </cell>
          <cell r="F1205" t="str">
            <v>37</v>
          </cell>
          <cell r="G1205" t="str">
            <v/>
          </cell>
          <cell r="H1205" t="str">
            <v>3970</v>
          </cell>
          <cell r="I1205" t="str">
            <v>Limburg</v>
          </cell>
          <cell r="K1205" t="str">
            <v>Leopoldsburg</v>
          </cell>
          <cell r="M1205" t="str">
            <v>M</v>
          </cell>
          <cell r="O1205" t="str">
            <v>011.34.11.56</v>
          </cell>
          <cell r="P1205" t="str">
            <v>011.40.23.15</v>
          </cell>
          <cell r="Q1205" t="str">
            <v>RENE.VANKRUNKELSVEN@NOTARIS.BE</v>
          </cell>
          <cell r="R1205">
            <v>500</v>
          </cell>
        </row>
        <row r="1206">
          <cell r="A1206">
            <v>1205</v>
          </cell>
          <cell r="B1206" t="str">
            <v>VAN LAER An-Katrien</v>
          </cell>
          <cell r="C1206" t="str">
            <v>VanLaer An-Katrien</v>
          </cell>
          <cell r="D1206" t="str">
            <v>Notaris</v>
          </cell>
          <cell r="E1206" t="str">
            <v>Heldenplein</v>
          </cell>
          <cell r="F1206" t="str">
            <v>10</v>
          </cell>
          <cell r="G1206" t="str">
            <v/>
          </cell>
          <cell r="H1206" t="str">
            <v>1540</v>
          </cell>
          <cell r="I1206" t="str">
            <v>Vlaams Brabant</v>
          </cell>
          <cell r="K1206" t="str">
            <v>Herne</v>
          </cell>
          <cell r="M1206" t="str">
            <v>M</v>
          </cell>
          <cell r="O1206" t="str">
            <v>02.396.18.78</v>
          </cell>
          <cell r="P1206" t="str">
            <v>02.396.28.92</v>
          </cell>
          <cell r="Q1206" t="str">
            <v>HENRI.VANEECKHOUDT@NOTARIS.BE</v>
          </cell>
          <cell r="R1206">
            <v>3288</v>
          </cell>
        </row>
        <row r="1207">
          <cell r="A1207">
            <v>1206</v>
          </cell>
          <cell r="B1207" t="str">
            <v>VAN LAERE Dick</v>
          </cell>
          <cell r="C1207" t="str">
            <v>VanLaere Dick</v>
          </cell>
          <cell r="D1207" t="str">
            <v>Notaris</v>
          </cell>
          <cell r="E1207" t="str">
            <v>Sint-Bernardsesteenweg</v>
          </cell>
          <cell r="F1207" t="str">
            <v>264</v>
          </cell>
          <cell r="G1207" t="str">
            <v/>
          </cell>
          <cell r="H1207" t="str">
            <v>2020</v>
          </cell>
          <cell r="I1207" t="str">
            <v>Antwerpen</v>
          </cell>
          <cell r="K1207" t="str">
            <v>Antwerpen</v>
          </cell>
          <cell r="M1207" t="str">
            <v>M</v>
          </cell>
          <cell r="O1207" t="str">
            <v>03.237.41.43</v>
          </cell>
          <cell r="P1207" t="str">
            <v>03.216.39.04</v>
          </cell>
          <cell r="Q1207" t="str">
            <v>dick.vanlaere@notaris.be</v>
          </cell>
          <cell r="R1207">
            <v>3647</v>
          </cell>
          <cell r="T1207">
            <v>38743</v>
          </cell>
        </row>
        <row r="1208">
          <cell r="A1208">
            <v>1207</v>
          </cell>
          <cell r="B1208" t="str">
            <v>VAN LAETHEM &amp; VRONINKS</v>
          </cell>
          <cell r="C1208" t="str">
            <v>VanLaethem Edwin</v>
          </cell>
          <cell r="D1208" t="str">
            <v>Geassocieerd Notaris</v>
          </cell>
          <cell r="E1208" t="str">
            <v>rue Capitaine Crespelstraat</v>
          </cell>
          <cell r="F1208" t="str">
            <v>16</v>
          </cell>
          <cell r="G1208" t="str">
            <v/>
          </cell>
          <cell r="H1208" t="str">
            <v>1050</v>
          </cell>
          <cell r="I1208" t="str">
            <v>Bruxelles</v>
          </cell>
          <cell r="K1208" t="str">
            <v>Bruxelles</v>
          </cell>
          <cell r="M1208" t="str">
            <v>M</v>
          </cell>
          <cell r="O1208" t="str">
            <v>02.513.75.74</v>
          </cell>
          <cell r="P1208" t="str">
            <v>02.512.43.87</v>
          </cell>
          <cell r="Q1208" t="str">
            <v>EDWIN.VANLAETHEM@NOTAIRE.BE</v>
          </cell>
          <cell r="R1208">
            <v>3558</v>
          </cell>
        </row>
        <row r="1209">
          <cell r="A1209">
            <v>1208</v>
          </cell>
          <cell r="B1209" t="str">
            <v>VANLATUM Philippe</v>
          </cell>
          <cell r="C1209" t="str">
            <v>VANLATUM Philippe</v>
          </cell>
          <cell r="D1209" t="str">
            <v>Notaris</v>
          </cell>
          <cell r="E1209" t="str">
            <v>Bruggestraat</v>
          </cell>
          <cell r="F1209" t="str">
            <v>119</v>
          </cell>
          <cell r="G1209" t="str">
            <v/>
          </cell>
          <cell r="H1209" t="str">
            <v>8730</v>
          </cell>
          <cell r="I1209" t="str">
            <v>West-Vlaanderen</v>
          </cell>
          <cell r="K1209" t="str">
            <v>Oedelem</v>
          </cell>
          <cell r="L1209">
            <v>23557</v>
          </cell>
          <cell r="M1209" t="str">
            <v>M</v>
          </cell>
          <cell r="O1209" t="str">
            <v>050.78.81.85</v>
          </cell>
          <cell r="P1209" t="str">
            <v>050.78.99.04</v>
          </cell>
          <cell r="Q1209" t="str">
            <v>PHILIPPE.VANLATUM@NOTARIS.BE</v>
          </cell>
          <cell r="R1209">
            <v>3286</v>
          </cell>
        </row>
        <row r="1210">
          <cell r="A1210">
            <v>1209</v>
          </cell>
          <cell r="B1210" t="str">
            <v>Verhaeghe Christophe &amp; Vanlauwe A.</v>
          </cell>
          <cell r="C1210" t="str">
            <v>Vanlauwe A.</v>
          </cell>
          <cell r="D1210" t="str">
            <v>Geassocieerd Notaris</v>
          </cell>
          <cell r="E1210" t="str">
            <v>Kasteelstraat</v>
          </cell>
          <cell r="F1210" t="str">
            <v>10</v>
          </cell>
          <cell r="G1210" t="str">
            <v/>
          </cell>
          <cell r="H1210" t="str">
            <v>8755</v>
          </cell>
          <cell r="I1210" t="str">
            <v>West-Vlaanderen</v>
          </cell>
          <cell r="K1210" t="str">
            <v>Ruiselede</v>
          </cell>
          <cell r="M1210" t="str">
            <v>Vr</v>
          </cell>
          <cell r="O1210" t="str">
            <v>051.68.85.20</v>
          </cell>
          <cell r="P1210" t="str">
            <v>051.68.64.24</v>
          </cell>
          <cell r="Q1210" t="str">
            <v>CHRISTOPHE.VERHAEGHE@NOTARIS.BE</v>
          </cell>
          <cell r="R1210">
            <v>3308</v>
          </cell>
          <cell r="T1210">
            <v>38723</v>
          </cell>
        </row>
        <row r="1211">
          <cell r="A1211">
            <v>1210</v>
          </cell>
          <cell r="B1211" t="str">
            <v>THEO BOEN &amp; KARL VAN LOOY</v>
          </cell>
          <cell r="C1211" t="str">
            <v>VanLooy Karl</v>
          </cell>
          <cell r="D1211" t="str">
            <v>Geassocieerd Notaris</v>
          </cell>
          <cell r="E1211" t="str">
            <v>Plantin en Moretuslei</v>
          </cell>
          <cell r="F1211" t="str">
            <v>192</v>
          </cell>
          <cell r="G1211" t="str">
            <v>bus 1</v>
          </cell>
          <cell r="H1211" t="str">
            <v>2018</v>
          </cell>
          <cell r="I1211" t="str">
            <v>Antwerpen</v>
          </cell>
          <cell r="K1211" t="str">
            <v>Antwerpen</v>
          </cell>
          <cell r="M1211" t="str">
            <v>M</v>
          </cell>
          <cell r="O1211" t="str">
            <v>03.236.12.24</v>
          </cell>
          <cell r="P1211" t="str">
            <v>03.271.01.49</v>
          </cell>
          <cell r="Q1211" t="str">
            <v>KARL.VANLOOY@NOTARIS.BE</v>
          </cell>
          <cell r="R1211">
            <v>3594</v>
          </cell>
        </row>
        <row r="1212">
          <cell r="A1212">
            <v>1211</v>
          </cell>
          <cell r="B1212" t="str">
            <v>VAN MAELE Olivier</v>
          </cell>
          <cell r="C1212" t="str">
            <v>VanMaele Olivier</v>
          </cell>
          <cell r="D1212" t="str">
            <v>Notaris</v>
          </cell>
          <cell r="E1212" t="str">
            <v>Arbeidsstraat</v>
          </cell>
          <cell r="F1212" t="str">
            <v>38</v>
          </cell>
          <cell r="G1212" t="str">
            <v/>
          </cell>
          <cell r="H1212" t="str">
            <v>9300</v>
          </cell>
          <cell r="I1212" t="str">
            <v>Oost-Vlaanderen</v>
          </cell>
          <cell r="K1212" t="str">
            <v>Aalst</v>
          </cell>
          <cell r="M1212" t="str">
            <v>M</v>
          </cell>
          <cell r="O1212" t="str">
            <v>053.21.65.24</v>
          </cell>
          <cell r="P1212" t="str">
            <v>053.77.30.31</v>
          </cell>
          <cell r="Q1212" t="str">
            <v>OLIVIER.VANMAELE@NOTARIS.BE</v>
          </cell>
          <cell r="R1212">
            <v>3557</v>
          </cell>
        </row>
        <row r="1213">
          <cell r="A1213">
            <v>1212</v>
          </cell>
          <cell r="B1213" t="str">
            <v>BERQUIN NOTARISSEN - BERQUIN NOTAIRES</v>
          </cell>
          <cell r="C1213" t="str">
            <v>VanMelkebeke Peter</v>
          </cell>
          <cell r="D1213" t="str">
            <v>Geassocieerd Notaris</v>
          </cell>
          <cell r="E1213" t="str">
            <v>Avenue Lloyd Georgelaan</v>
          </cell>
          <cell r="F1213" t="str">
            <v>11</v>
          </cell>
          <cell r="G1213" t="str">
            <v/>
          </cell>
          <cell r="H1213" t="str">
            <v>1000</v>
          </cell>
          <cell r="I1213" t="str">
            <v>Brussel</v>
          </cell>
          <cell r="K1213" t="str">
            <v>Brussel</v>
          </cell>
          <cell r="M1213" t="str">
            <v>M</v>
          </cell>
          <cell r="O1213" t="str">
            <v>02.645.19.45</v>
          </cell>
          <cell r="P1213" t="str">
            <v>02.645.19.86</v>
          </cell>
          <cell r="Q1213" t="str">
            <v>peter.vanmelkebeke@notaris.be</v>
          </cell>
          <cell r="R1213">
            <v>3224</v>
          </cell>
          <cell r="T1213">
            <v>38747</v>
          </cell>
        </row>
        <row r="1214">
          <cell r="A1214">
            <v>1213</v>
          </cell>
          <cell r="B1214" t="str">
            <v>VAN NERUM Marc</v>
          </cell>
          <cell r="C1214" t="str">
            <v>VanNerum Marc</v>
          </cell>
          <cell r="D1214" t="str">
            <v>Notaris</v>
          </cell>
          <cell r="E1214" t="str">
            <v>Hoogstraat</v>
          </cell>
          <cell r="F1214" t="str">
            <v>30</v>
          </cell>
          <cell r="G1214" t="str">
            <v/>
          </cell>
          <cell r="H1214" t="str">
            <v>3670</v>
          </cell>
          <cell r="I1214" t="str">
            <v>Limburg</v>
          </cell>
          <cell r="K1214" t="str">
            <v>Meeuwen-Gruitrode</v>
          </cell>
          <cell r="M1214" t="str">
            <v>M</v>
          </cell>
          <cell r="O1214" t="str">
            <v>011.79.40.40</v>
          </cell>
          <cell r="P1214" t="str">
            <v>011.79.40.41</v>
          </cell>
          <cell r="Q1214" t="str">
            <v>MARC.VANNERUM@NOTARIS.BE</v>
          </cell>
          <cell r="R1214">
            <v>3097</v>
          </cell>
        </row>
        <row r="1215">
          <cell r="A1215">
            <v>1214</v>
          </cell>
          <cell r="B1215" t="str">
            <v>VANNESTE Didier</v>
          </cell>
          <cell r="C1215" t="str">
            <v>VANNESTE Didier</v>
          </cell>
          <cell r="D1215" t="str">
            <v>Notaris</v>
          </cell>
          <cell r="E1215" t="str">
            <v>Avenue G. Latinislaan</v>
          </cell>
          <cell r="F1215" t="str">
            <v>99</v>
          </cell>
          <cell r="G1215" t="str">
            <v/>
          </cell>
          <cell r="H1215" t="str">
            <v>1030</v>
          </cell>
          <cell r="I1215" t="str">
            <v>Bruxelles</v>
          </cell>
          <cell r="K1215" t="str">
            <v>Bruxelles</v>
          </cell>
          <cell r="M1215" t="str">
            <v>M</v>
          </cell>
          <cell r="O1215" t="str">
            <v>02.242.82.00</v>
          </cell>
          <cell r="P1215" t="str">
            <v>02.242.79.40</v>
          </cell>
          <cell r="Q1215" t="str">
            <v>didier.vanneste@belnot.be</v>
          </cell>
          <cell r="R1215">
            <v>1101</v>
          </cell>
          <cell r="S1215" t="str">
            <v>310-1646466-74</v>
          </cell>
          <cell r="T1215" t="str">
            <v>*2004</v>
          </cell>
        </row>
        <row r="1216">
          <cell r="A1216">
            <v>1215</v>
          </cell>
          <cell r="B1216" t="str">
            <v>VANNESTE Laurent</v>
          </cell>
          <cell r="C1216" t="str">
            <v>VANNESTE Laurent</v>
          </cell>
          <cell r="D1216" t="str">
            <v>Notaris</v>
          </cell>
          <cell r="E1216" t="str">
            <v>Boulevard Général Jacqueslaan</v>
          </cell>
          <cell r="F1216" t="str">
            <v>22</v>
          </cell>
          <cell r="G1216" t="str">
            <v/>
          </cell>
          <cell r="H1216" t="str">
            <v>1050</v>
          </cell>
          <cell r="I1216" t="str">
            <v>Bruxelles</v>
          </cell>
          <cell r="K1216" t="str">
            <v>Bruxelles</v>
          </cell>
          <cell r="M1216" t="str">
            <v>M</v>
          </cell>
          <cell r="O1216" t="str">
            <v>02/647.19.23</v>
          </cell>
          <cell r="P1216" t="str">
            <v>02/647.45.96</v>
          </cell>
          <cell r="Q1216" t="str">
            <v>laurent.vanneste@belnot.be</v>
          </cell>
          <cell r="R1216">
            <v>1127</v>
          </cell>
        </row>
        <row r="1217">
          <cell r="A1217">
            <v>1216</v>
          </cell>
          <cell r="B1217" t="str">
            <v>VAN NIEUWENHUYSE Ariane</v>
          </cell>
          <cell r="C1217" t="str">
            <v>VanNieuwenhuyse Ariane</v>
          </cell>
          <cell r="D1217" t="str">
            <v>Notaris</v>
          </cell>
          <cell r="E1217" t="str">
            <v>Bellekouterlaan</v>
          </cell>
          <cell r="F1217" t="str">
            <v>82</v>
          </cell>
          <cell r="G1217" t="str">
            <v/>
          </cell>
          <cell r="H1217" t="str">
            <v>9260</v>
          </cell>
          <cell r="I1217" t="str">
            <v>Oost-Vlaanderen</v>
          </cell>
          <cell r="K1217" t="str">
            <v>Schellebelle</v>
          </cell>
          <cell r="M1217" t="str">
            <v>Vr</v>
          </cell>
          <cell r="O1217" t="str">
            <v>09.369.15.84</v>
          </cell>
          <cell r="P1217" t="str">
            <v>09.366.42.98</v>
          </cell>
          <cell r="Q1217" t="str">
            <v>ARIANE.VANNIEUWENHUYSE@NOTARIS.BE</v>
          </cell>
          <cell r="R1217">
            <v>2720</v>
          </cell>
        </row>
        <row r="1218">
          <cell r="A1218">
            <v>1217</v>
          </cell>
          <cell r="B1218" t="str">
            <v>VAN NOTEN Yves</v>
          </cell>
          <cell r="C1218" t="str">
            <v>VanNoten Yves</v>
          </cell>
          <cell r="D1218" t="str">
            <v>Notaris</v>
          </cell>
          <cell r="E1218" t="str">
            <v>Kerkstraat</v>
          </cell>
          <cell r="F1218" t="str">
            <v>1A</v>
          </cell>
          <cell r="G1218" t="str">
            <v/>
          </cell>
          <cell r="H1218" t="str">
            <v>2830</v>
          </cell>
          <cell r="I1218" t="str">
            <v>Antwerpen</v>
          </cell>
          <cell r="K1218" t="str">
            <v>Willebroek</v>
          </cell>
          <cell r="M1218" t="str">
            <v>M</v>
          </cell>
          <cell r="O1218" t="str">
            <v>03.886.61.00</v>
          </cell>
          <cell r="P1218" t="str">
            <v>03.886.90.98</v>
          </cell>
          <cell r="Q1218" t="str">
            <v>YVES.VANNOTEN@NOTARIS.BE</v>
          </cell>
          <cell r="R1218">
            <v>3033</v>
          </cell>
        </row>
        <row r="1219">
          <cell r="A1219">
            <v>1218</v>
          </cell>
          <cell r="B1219" t="str">
            <v>VAN NUFFEL Marc</v>
          </cell>
          <cell r="C1219" t="str">
            <v>VanNuffel Marc</v>
          </cell>
          <cell r="D1219" t="str">
            <v>Notaris</v>
          </cell>
          <cell r="E1219" t="str">
            <v>Jan Van Rijswijcklaan</v>
          </cell>
          <cell r="F1219" t="str">
            <v>26</v>
          </cell>
          <cell r="G1219" t="str">
            <v/>
          </cell>
          <cell r="H1219" t="str">
            <v>2018</v>
          </cell>
          <cell r="I1219" t="str">
            <v>Antwerpen</v>
          </cell>
          <cell r="K1219" t="str">
            <v>Antwerpen</v>
          </cell>
          <cell r="M1219" t="str">
            <v>M</v>
          </cell>
          <cell r="O1219" t="str">
            <v>03.216.27.36</v>
          </cell>
          <cell r="P1219" t="str">
            <v>03.238.65.87</v>
          </cell>
          <cell r="Q1219" t="str">
            <v>MARC.VANNUFFEL@NOTARIS.BE</v>
          </cell>
          <cell r="R1219">
            <v>2747</v>
          </cell>
        </row>
        <row r="1220">
          <cell r="A1220">
            <v>1219</v>
          </cell>
          <cell r="B1220" t="str">
            <v>VAN OEKEL Johan</v>
          </cell>
          <cell r="C1220" t="str">
            <v>VanOekel Johan</v>
          </cell>
          <cell r="D1220" t="str">
            <v>Notaris</v>
          </cell>
          <cell r="E1220" t="str">
            <v>Bredabaan</v>
          </cell>
          <cell r="F1220" t="str">
            <v>252</v>
          </cell>
          <cell r="G1220" t="str">
            <v/>
          </cell>
          <cell r="H1220" t="str">
            <v>2930</v>
          </cell>
          <cell r="I1220" t="str">
            <v>Antwerpen</v>
          </cell>
          <cell r="K1220" t="str">
            <v>Brasschaat</v>
          </cell>
          <cell r="M1220" t="str">
            <v>M</v>
          </cell>
          <cell r="O1220" t="str">
            <v>03.650.14.40</v>
          </cell>
          <cell r="P1220" t="str">
            <v>03.650.14.49</v>
          </cell>
          <cell r="Q1220" t="str">
            <v>JOHAN.VANOEKEL@NOTARIS.BE</v>
          </cell>
          <cell r="R1220">
            <v>2743</v>
          </cell>
        </row>
        <row r="1221">
          <cell r="A1221">
            <v>1220</v>
          </cell>
          <cell r="B1221" t="str">
            <v>VAN ONGEVAL Pieter</v>
          </cell>
          <cell r="C1221" t="str">
            <v>VanOngeval Pieter</v>
          </cell>
          <cell r="D1221" t="str">
            <v>Notaris</v>
          </cell>
          <cell r="E1221" t="str">
            <v>Kortrijkstraat</v>
          </cell>
          <cell r="F1221" t="str">
            <v>158</v>
          </cell>
          <cell r="G1221" t="str">
            <v/>
          </cell>
          <cell r="H1221" t="str">
            <v>9790</v>
          </cell>
          <cell r="I1221" t="str">
            <v>Oost-Vlaanderen</v>
          </cell>
          <cell r="K1221" t="str">
            <v>Wortegem-Petegem</v>
          </cell>
          <cell r="M1221" t="str">
            <v>M</v>
          </cell>
          <cell r="O1221" t="str">
            <v>055.38.93.28</v>
          </cell>
          <cell r="P1221" t="str">
            <v>055.38.74.95</v>
          </cell>
          <cell r="Q1221" t="str">
            <v>PIETER.VANONGEVAL@NOTARIS.BE</v>
          </cell>
          <cell r="R1221">
            <v>506</v>
          </cell>
        </row>
        <row r="1222">
          <cell r="A1222">
            <v>1221</v>
          </cell>
          <cell r="B1222" t="str">
            <v>VAN OOTEGHEM Patrick</v>
          </cell>
          <cell r="C1222" t="str">
            <v>VanOoteghem Patrick</v>
          </cell>
          <cell r="D1222" t="str">
            <v>Notaris</v>
          </cell>
          <cell r="E1222" t="str">
            <v>Cauwerburg</v>
          </cell>
          <cell r="F1222" t="str">
            <v>5</v>
          </cell>
          <cell r="G1222" t="str">
            <v/>
          </cell>
          <cell r="H1222" t="str">
            <v>9140</v>
          </cell>
          <cell r="I1222" t="str">
            <v>Oost-Vlaanderen</v>
          </cell>
          <cell r="K1222" t="str">
            <v>Temse</v>
          </cell>
          <cell r="M1222" t="str">
            <v>M</v>
          </cell>
          <cell r="O1222" t="str">
            <v>03.771.00.95</v>
          </cell>
          <cell r="P1222" t="str">
            <v>03.771.46.92</v>
          </cell>
          <cell r="Q1222" t="str">
            <v>patrick.vanooteghem@belnot.be</v>
          </cell>
          <cell r="R1222">
            <v>3541</v>
          </cell>
        </row>
        <row r="1223">
          <cell r="A1223">
            <v>1222</v>
          </cell>
          <cell r="B1223" t="str">
            <v>Bart van Opstal Notaris BV BVBA</v>
          </cell>
          <cell r="C1223" t="str">
            <v>vanOpstal Bart</v>
          </cell>
          <cell r="D1223" t="str">
            <v>Notaris</v>
          </cell>
          <cell r="E1223" t="str">
            <v>Vijverstraat</v>
          </cell>
          <cell r="F1223">
            <v>49</v>
          </cell>
          <cell r="H1223" t="str">
            <v>8400</v>
          </cell>
          <cell r="I1223" t="str">
            <v>West-Vlaanderen</v>
          </cell>
          <cell r="K1223" t="str">
            <v>Oostende</v>
          </cell>
          <cell r="L1223">
            <v>23972</v>
          </cell>
          <cell r="M1223" t="str">
            <v>M</v>
          </cell>
          <cell r="O1223" t="str">
            <v>059.56.39.60</v>
          </cell>
          <cell r="P1223" t="str">
            <v>059.56.39.61</v>
          </cell>
          <cell r="Q1223" t="str">
            <v>BART.VANOPSTAL@NOTARIS.BE</v>
          </cell>
          <cell r="R1223">
            <v>3172</v>
          </cell>
        </row>
        <row r="1224">
          <cell r="A1224">
            <v>1223</v>
          </cell>
          <cell r="B1224" t="str">
            <v>VAN OPSTAL Inès</v>
          </cell>
          <cell r="C1224" t="str">
            <v>VanOpstal Inès</v>
          </cell>
          <cell r="D1224" t="str">
            <v>Notaris</v>
          </cell>
          <cell r="E1224" t="str">
            <v>Louizalei</v>
          </cell>
          <cell r="F1224" t="str">
            <v>50</v>
          </cell>
          <cell r="G1224" t="str">
            <v/>
          </cell>
          <cell r="H1224" t="str">
            <v>2660</v>
          </cell>
          <cell r="I1224" t="str">
            <v>Antwerpen</v>
          </cell>
          <cell r="K1224" t="str">
            <v>Hoboken Antwerpen)</v>
          </cell>
          <cell r="M1224" t="str">
            <v>Vr</v>
          </cell>
          <cell r="O1224" t="str">
            <v>03.827.40.40</v>
          </cell>
          <cell r="P1224" t="str">
            <v>03.830.57.28</v>
          </cell>
          <cell r="Q1224" t="str">
            <v>INES.VANOPSTAL@NOTARIS.BE</v>
          </cell>
          <cell r="R1224">
            <v>3442</v>
          </cell>
        </row>
        <row r="1225">
          <cell r="A1225">
            <v>1224</v>
          </cell>
          <cell r="B1225" t="str">
            <v>VAN OUDENHOVE Edgard</v>
          </cell>
          <cell r="C1225" t="str">
            <v>VanOudenhove Edgard</v>
          </cell>
          <cell r="D1225" t="str">
            <v>Notaris</v>
          </cell>
          <cell r="E1225" t="str">
            <v>Iddergemsesteenweg</v>
          </cell>
          <cell r="F1225" t="str">
            <v>8</v>
          </cell>
          <cell r="G1225" t="str">
            <v/>
          </cell>
          <cell r="H1225" t="str">
            <v>9450</v>
          </cell>
          <cell r="I1225" t="str">
            <v>Oost-Vlaanderen</v>
          </cell>
          <cell r="K1225" t="str">
            <v>Denderhoutem</v>
          </cell>
          <cell r="M1225" t="str">
            <v>M</v>
          </cell>
          <cell r="O1225" t="str">
            <v>054.33.22.80</v>
          </cell>
          <cell r="P1225" t="str">
            <v>054.32.69.15</v>
          </cell>
          <cell r="Q1225" t="str">
            <v>EDGARD.VANOUDENHOVE@NOTARIS.BE</v>
          </cell>
          <cell r="R1225">
            <v>3098</v>
          </cell>
        </row>
        <row r="1226">
          <cell r="A1226">
            <v>1225</v>
          </cell>
          <cell r="B1226" t="str">
            <v>VAN OUDENHOVE Patrick</v>
          </cell>
          <cell r="C1226" t="str">
            <v>VanOudenhove Patrick</v>
          </cell>
          <cell r="D1226" t="str">
            <v>Notaris</v>
          </cell>
          <cell r="E1226" t="str">
            <v>Consciencestraat</v>
          </cell>
          <cell r="F1226" t="str">
            <v>31</v>
          </cell>
          <cell r="G1226" t="str">
            <v/>
          </cell>
          <cell r="H1226" t="str">
            <v>1600</v>
          </cell>
          <cell r="I1226" t="str">
            <v>Vlaams Brabant</v>
          </cell>
          <cell r="K1226" t="str">
            <v>Sint-Pieters-Leeuw</v>
          </cell>
          <cell r="M1226" t="str">
            <v>M</v>
          </cell>
          <cell r="O1226" t="str">
            <v>02.331.08.20</v>
          </cell>
          <cell r="P1226" t="str">
            <v>02.377.74.23</v>
          </cell>
          <cell r="Q1226" t="str">
            <v>PATRICK.VANOUDENHOVE@NOTARIS.BE</v>
          </cell>
          <cell r="R1226">
            <v>1341</v>
          </cell>
        </row>
        <row r="1227">
          <cell r="A1227">
            <v>1226</v>
          </cell>
          <cell r="B1227" t="str">
            <v>VAN OVERLOOP Hans</v>
          </cell>
          <cell r="C1227" t="str">
            <v>VanOverloop Hans</v>
          </cell>
          <cell r="D1227" t="str">
            <v>Notaris</v>
          </cell>
          <cell r="E1227" t="str">
            <v>De Bruynlaan</v>
          </cell>
          <cell r="F1227" t="str">
            <v>145</v>
          </cell>
          <cell r="G1227" t="str">
            <v/>
          </cell>
          <cell r="H1227" t="str">
            <v>2610</v>
          </cell>
          <cell r="I1227" t="str">
            <v>Antwerpen</v>
          </cell>
          <cell r="K1227" t="str">
            <v>Wilrijk Antwerpen)</v>
          </cell>
          <cell r="M1227" t="str">
            <v>M</v>
          </cell>
          <cell r="O1227" t="str">
            <v/>
          </cell>
          <cell r="P1227" t="str">
            <v/>
          </cell>
          <cell r="Q1227" t="str">
            <v>HANS.VANOVERLOOP@NOTARIS.BE</v>
          </cell>
          <cell r="R1227">
            <v>2853</v>
          </cell>
        </row>
        <row r="1228">
          <cell r="A1228">
            <v>1227</v>
          </cell>
          <cell r="B1228" t="str">
            <v>VANPEE Thierry</v>
          </cell>
          <cell r="C1228" t="str">
            <v>VANPEE Thierry</v>
          </cell>
          <cell r="D1228" t="str">
            <v>Notaris</v>
          </cell>
          <cell r="E1228" t="str">
            <v>Faubourg de Charleroi</v>
          </cell>
          <cell r="F1228" t="str">
            <v>4</v>
          </cell>
          <cell r="G1228" t="str">
            <v/>
          </cell>
          <cell r="H1228" t="str">
            <v>1400</v>
          </cell>
          <cell r="I1228" t="str">
            <v>Brabant Wallon</v>
          </cell>
          <cell r="K1228" t="str">
            <v>Nivelles</v>
          </cell>
          <cell r="M1228" t="str">
            <v>M</v>
          </cell>
          <cell r="O1228" t="str">
            <v>067.21.20.92</v>
          </cell>
          <cell r="P1228" t="str">
            <v>067.89.33.87</v>
          </cell>
          <cell r="Q1228" t="str">
            <v>thierry.vanpee@belnot.be</v>
          </cell>
          <cell r="R1228">
            <v>2468</v>
          </cell>
        </row>
        <row r="1229">
          <cell r="A1229">
            <v>1228</v>
          </cell>
          <cell r="B1229" t="str">
            <v>VAN PELT Luc</v>
          </cell>
          <cell r="C1229" t="str">
            <v>VanPelt Luc</v>
          </cell>
          <cell r="D1229" t="str">
            <v>Notaris</v>
          </cell>
          <cell r="E1229" t="str">
            <v>Britselei</v>
          </cell>
          <cell r="F1229" t="str">
            <v>10</v>
          </cell>
          <cell r="G1229" t="str">
            <v/>
          </cell>
          <cell r="H1229" t="str">
            <v>2000</v>
          </cell>
          <cell r="I1229" t="str">
            <v>Antwerpen</v>
          </cell>
          <cell r="K1229" t="str">
            <v>Antwerpen</v>
          </cell>
          <cell r="M1229" t="str">
            <v>M</v>
          </cell>
          <cell r="O1229" t="str">
            <v>03.232.30.01</v>
          </cell>
          <cell r="P1229" t="str">
            <v>03.232.35.08</v>
          </cell>
          <cell r="Q1229" t="str">
            <v>LUC.VANPELT@NOTARIS.BE</v>
          </cell>
          <cell r="R1229">
            <v>2621</v>
          </cell>
        </row>
        <row r="1230">
          <cell r="A1230">
            <v>1229</v>
          </cell>
          <cell r="B1230" t="str">
            <v>van RAEMDONCK Nicolas</v>
          </cell>
          <cell r="C1230" t="str">
            <v>vanRaemdonck Nicolas</v>
          </cell>
          <cell r="D1230" t="str">
            <v>Notaris</v>
          </cell>
          <cell r="E1230" t="str">
            <v>Kloosterstraat</v>
          </cell>
          <cell r="F1230" t="str">
            <v>15-19</v>
          </cell>
          <cell r="G1230" t="str">
            <v/>
          </cell>
          <cell r="H1230" t="str">
            <v>9120</v>
          </cell>
          <cell r="I1230" t="str">
            <v>Oost-Vlaanderen</v>
          </cell>
          <cell r="K1230" t="str">
            <v>Beveren</v>
          </cell>
          <cell r="M1230" t="str">
            <v>M</v>
          </cell>
          <cell r="O1230" t="str">
            <v>03.775.71.55</v>
          </cell>
          <cell r="P1230" t="str">
            <v>03.755.10.17</v>
          </cell>
          <cell r="Q1230" t="str">
            <v>NICOLAS.VANRAEMDONCK@NOTARIS.BE</v>
          </cell>
          <cell r="R1230">
            <v>3344</v>
          </cell>
        </row>
        <row r="1231">
          <cell r="A1231">
            <v>1230</v>
          </cell>
          <cell r="B1231" t="str">
            <v>VAN ROOSBROECK Jacques</v>
          </cell>
          <cell r="C1231" t="str">
            <v>VanRoosbroeck Jacques</v>
          </cell>
          <cell r="D1231" t="str">
            <v>Notaris</v>
          </cell>
          <cell r="E1231" t="str">
            <v>Bredabaan</v>
          </cell>
          <cell r="F1231" t="str">
            <v>840</v>
          </cell>
          <cell r="G1231" t="str">
            <v/>
          </cell>
          <cell r="H1231" t="str">
            <v>2170</v>
          </cell>
          <cell r="I1231" t="str">
            <v>Antwerpen</v>
          </cell>
          <cell r="K1231" t="str">
            <v>Merksem Antwerpen)</v>
          </cell>
          <cell r="M1231" t="str">
            <v>M</v>
          </cell>
          <cell r="O1231" t="str">
            <v>03.645.87.96</v>
          </cell>
          <cell r="P1231" t="str">
            <v>03.645.72.77</v>
          </cell>
          <cell r="Q1231" t="str">
            <v>JACQUES.VANROOSBROECK@NOTARIS.BE</v>
          </cell>
          <cell r="R1231">
            <v>2645</v>
          </cell>
        </row>
        <row r="1232">
          <cell r="A1232">
            <v>1231</v>
          </cell>
          <cell r="B1232" t="str">
            <v>VAN ROOSBROECK Jan</v>
          </cell>
          <cell r="C1232" t="str">
            <v>VanRoosbroeck Jan</v>
          </cell>
          <cell r="D1232" t="str">
            <v>Notaris</v>
          </cell>
          <cell r="E1232" t="str">
            <v>Bisschopslaan</v>
          </cell>
          <cell r="F1232" t="str">
            <v>12</v>
          </cell>
          <cell r="G1232" t="str">
            <v/>
          </cell>
          <cell r="H1232" t="str">
            <v>2340</v>
          </cell>
          <cell r="I1232" t="str">
            <v>Antwerpen</v>
          </cell>
          <cell r="K1232" t="str">
            <v>Beerse</v>
          </cell>
          <cell r="M1232" t="str">
            <v>M</v>
          </cell>
          <cell r="O1232" t="str">
            <v>014.61.12.44</v>
          </cell>
          <cell r="P1232" t="str">
            <v>014.61.38.98</v>
          </cell>
          <cell r="Q1232" t="str">
            <v>JAN.VANROOSBROECK@NOTARIS.BE</v>
          </cell>
          <cell r="R1232">
            <v>3065</v>
          </cell>
        </row>
        <row r="1233">
          <cell r="A1233">
            <v>1232</v>
          </cell>
          <cell r="B1233" t="str">
            <v>VAN ROOSBROECK Joseph</v>
          </cell>
          <cell r="C1233" t="str">
            <v>VanRoosbroeck Joseph</v>
          </cell>
          <cell r="D1233" t="str">
            <v>Notaris</v>
          </cell>
          <cell r="E1233" t="str">
            <v>Kristus Koningplein</v>
          </cell>
          <cell r="F1233" t="str">
            <v>11</v>
          </cell>
          <cell r="G1233" t="str">
            <v/>
          </cell>
          <cell r="H1233" t="str">
            <v>2180</v>
          </cell>
          <cell r="I1233" t="str">
            <v>Antwerpen</v>
          </cell>
          <cell r="K1233" t="str">
            <v>Ekeren Antwerpen)</v>
          </cell>
          <cell r="M1233" t="str">
            <v>M</v>
          </cell>
          <cell r="O1233" t="str">
            <v>03.541.11.05</v>
          </cell>
          <cell r="P1233" t="str">
            <v>03.541.69.72</v>
          </cell>
          <cell r="Q1233" t="str">
            <v>JOSEPH.VANROOSBROECK@NOTARIS.BE</v>
          </cell>
          <cell r="R1233">
            <v>2706</v>
          </cell>
        </row>
        <row r="1234">
          <cell r="A1234">
            <v>1233</v>
          </cell>
          <cell r="B1234" t="str">
            <v>VAN ROOSBROECK Paul BVBA</v>
          </cell>
          <cell r="C1234" t="str">
            <v>VanRoosbroeck Paul</v>
          </cell>
          <cell r="D1234" t="str">
            <v>Notaris</v>
          </cell>
          <cell r="E1234" t="str">
            <v>Hofstraat</v>
          </cell>
          <cell r="F1234" t="str">
            <v>26</v>
          </cell>
          <cell r="G1234" t="str">
            <v/>
          </cell>
          <cell r="H1234" t="str">
            <v>2400</v>
          </cell>
          <cell r="I1234" t="str">
            <v>Antwerpen</v>
          </cell>
          <cell r="K1234" t="str">
            <v>Mol</v>
          </cell>
          <cell r="M1234" t="str">
            <v>M</v>
          </cell>
          <cell r="O1234" t="str">
            <v>014.34.74.30</v>
          </cell>
          <cell r="P1234" t="str">
            <v>014.31.26.51</v>
          </cell>
          <cell r="Q1234" t="str">
            <v>PAUL.VANROOSBROECK@NOTARIS.BE</v>
          </cell>
          <cell r="R1234">
            <v>2598</v>
          </cell>
        </row>
        <row r="1235">
          <cell r="A1235">
            <v>1234</v>
          </cell>
          <cell r="B1235" t="str">
            <v>VAN ROSSOM Michel</v>
          </cell>
          <cell r="C1235" t="str">
            <v>VanRossem Michel</v>
          </cell>
          <cell r="D1235" t="str">
            <v>Notaris</v>
          </cell>
          <cell r="E1235" t="str">
            <v>Graanmarkt</v>
          </cell>
          <cell r="F1235" t="str">
            <v>33</v>
          </cell>
          <cell r="G1235" t="str">
            <v/>
          </cell>
          <cell r="H1235" t="str">
            <v>9400</v>
          </cell>
          <cell r="I1235" t="str">
            <v>Oost-Vlaanderen</v>
          </cell>
          <cell r="K1235" t="str">
            <v>Ninove</v>
          </cell>
          <cell r="M1235" t="str">
            <v>M</v>
          </cell>
          <cell r="O1235" t="str">
            <v>054.33.20.65</v>
          </cell>
          <cell r="P1235" t="str">
            <v>054.32.97.05</v>
          </cell>
          <cell r="Q1235" t="str">
            <v>MICHEL.VANROSSOM@NOTARIS.BE</v>
          </cell>
          <cell r="R1235">
            <v>2628</v>
          </cell>
        </row>
        <row r="1236">
          <cell r="A1236">
            <v>1235</v>
          </cell>
          <cell r="B1236" t="str">
            <v>HENRY - COLIN - VAN ROY</v>
          </cell>
          <cell r="C1236" t="str">
            <v>VanRoy Yves</v>
          </cell>
          <cell r="D1236" t="str">
            <v>Geassocieerd Notaris</v>
          </cell>
          <cell r="E1236" t="str">
            <v>Rue des Tanneurs</v>
          </cell>
          <cell r="F1236" t="str">
            <v>29</v>
          </cell>
          <cell r="G1236" t="str">
            <v/>
          </cell>
          <cell r="H1236" t="str">
            <v>7730</v>
          </cell>
          <cell r="I1236" t="str">
            <v>Hainaut</v>
          </cell>
          <cell r="K1236" t="str">
            <v>Estaimbourg</v>
          </cell>
          <cell r="M1236" t="str">
            <v>M</v>
          </cell>
          <cell r="O1236" t="str">
            <v>069.55.60.00</v>
          </cell>
          <cell r="P1236" t="str">
            <v>069.55.60.01</v>
          </cell>
          <cell r="Q1236" t="str">
            <v>YVES.VANROY@NOTAIRE.BE</v>
          </cell>
          <cell r="R1236">
            <v>3608</v>
          </cell>
        </row>
        <row r="1237">
          <cell r="A1237">
            <v>1236</v>
          </cell>
          <cell r="B1237" t="str">
            <v>van SCHOUBROECK Francis</v>
          </cell>
          <cell r="C1237" t="str">
            <v>vanSchoubroeck Michel</v>
          </cell>
          <cell r="D1237" t="str">
            <v>Notaris</v>
          </cell>
          <cell r="E1237" t="str">
            <v>Nederrij</v>
          </cell>
          <cell r="F1237" t="str">
            <v>43</v>
          </cell>
          <cell r="G1237" t="str">
            <v/>
          </cell>
          <cell r="H1237" t="str">
            <v>2200</v>
          </cell>
          <cell r="I1237" t="str">
            <v>Antwerpen</v>
          </cell>
          <cell r="K1237" t="str">
            <v>Herentals</v>
          </cell>
          <cell r="M1237" t="str">
            <v>M</v>
          </cell>
          <cell r="O1237" t="str">
            <v>014.21.12.27</v>
          </cell>
          <cell r="P1237" t="str">
            <v>014.22.25.43</v>
          </cell>
          <cell r="Q1237" t="str">
            <v>FRANCIS.VANSCHOUBROECK@NOTARIS.BE</v>
          </cell>
          <cell r="R1237">
            <v>3080</v>
          </cell>
        </row>
        <row r="1238">
          <cell r="A1238">
            <v>1237</v>
          </cell>
          <cell r="B1238" t="str">
            <v>VAN STEENKISTE Luc</v>
          </cell>
          <cell r="C1238" t="str">
            <v>VanSDteenkiste Luc</v>
          </cell>
          <cell r="D1238" t="str">
            <v>Notaris</v>
          </cell>
          <cell r="E1238" t="str">
            <v>Meilaan - avenue de Mai</v>
          </cell>
          <cell r="F1238" t="str">
            <v>40</v>
          </cell>
          <cell r="G1238" t="str">
            <v>bte 7</v>
          </cell>
          <cell r="H1238" t="str">
            <v>1200</v>
          </cell>
          <cell r="I1238" t="str">
            <v>Bruxelles</v>
          </cell>
          <cell r="K1238" t="str">
            <v>Bruxelles</v>
          </cell>
          <cell r="M1238" t="str">
            <v>M</v>
          </cell>
          <cell r="O1238" t="str">
            <v>02.770.72.87</v>
          </cell>
          <cell r="P1238" t="str">
            <v>02.770.48.29</v>
          </cell>
          <cell r="Q1238" t="str">
            <v>LUC.VANSTEENKISTE@NOTARIS.BE</v>
          </cell>
          <cell r="R1238">
            <v>3125</v>
          </cell>
        </row>
        <row r="1239">
          <cell r="A1239">
            <v>1238</v>
          </cell>
          <cell r="B1239" t="str">
            <v>VAN SINAY Thierry</v>
          </cell>
          <cell r="C1239" t="str">
            <v>VanSinay Thierry</v>
          </cell>
          <cell r="D1239" t="str">
            <v>Notaris</v>
          </cell>
          <cell r="E1239" t="str">
            <v>Halsesteenweg</v>
          </cell>
          <cell r="F1239" t="str">
            <v>42</v>
          </cell>
          <cell r="G1239" t="str">
            <v/>
          </cell>
          <cell r="H1239" t="str">
            <v>9402</v>
          </cell>
          <cell r="I1239" t="str">
            <v>Oost-Vlaanderen</v>
          </cell>
          <cell r="K1239" t="str">
            <v>Meerbeke</v>
          </cell>
          <cell r="M1239" t="str">
            <v>M</v>
          </cell>
          <cell r="O1239" t="str">
            <v>054.33.20.82</v>
          </cell>
          <cell r="P1239" t="str">
            <v>054.32.11.51</v>
          </cell>
          <cell r="Q1239" t="str">
            <v>THIERRY.VANSINAY@NOTARIS.BE</v>
          </cell>
          <cell r="R1239">
            <v>2886</v>
          </cell>
        </row>
        <row r="1240">
          <cell r="A1240">
            <v>1239</v>
          </cell>
          <cell r="B1240" t="str">
            <v>van SOEST Ernst</v>
          </cell>
          <cell r="C1240" t="str">
            <v>vanSoest Ernst</v>
          </cell>
          <cell r="D1240" t="str">
            <v>Notaris</v>
          </cell>
          <cell r="E1240" t="str">
            <v>Koningin Astridlaan</v>
          </cell>
          <cell r="F1240" t="str">
            <v>59</v>
          </cell>
          <cell r="G1240" t="str">
            <v/>
          </cell>
          <cell r="H1240" t="str">
            <v>3500</v>
          </cell>
          <cell r="I1240" t="str">
            <v>Limburg</v>
          </cell>
          <cell r="K1240" t="str">
            <v>Hasselt</v>
          </cell>
          <cell r="M1240" t="str">
            <v>M</v>
          </cell>
          <cell r="O1240" t="str">
            <v>011.26.05.62</v>
          </cell>
          <cell r="P1240" t="str">
            <v>011.26.05.60</v>
          </cell>
          <cell r="Q1240" t="str">
            <v>ERNST.VANSOEST@NOTARIS.BE</v>
          </cell>
          <cell r="R1240">
            <v>3060</v>
          </cell>
        </row>
        <row r="1241">
          <cell r="A1241">
            <v>1240</v>
          </cell>
          <cell r="B1241" t="str">
            <v>van TIEGHEM de TEN BERGHE Michel</v>
          </cell>
          <cell r="C1241" t="str">
            <v>vanTieghemdeTenBerghe Michel</v>
          </cell>
          <cell r="D1241" t="str">
            <v>Notaris</v>
          </cell>
          <cell r="E1241" t="str">
            <v>Vijverstraat</v>
          </cell>
          <cell r="F1241">
            <v>49</v>
          </cell>
          <cell r="G1241" t="str">
            <v/>
          </cell>
          <cell r="H1241" t="str">
            <v>8400</v>
          </cell>
          <cell r="I1241" t="str">
            <v>West-Vlaanderen</v>
          </cell>
          <cell r="K1241" t="str">
            <v>Oostende</v>
          </cell>
          <cell r="L1241">
            <v>23257</v>
          </cell>
          <cell r="M1241" t="str">
            <v>M</v>
          </cell>
          <cell r="O1241" t="str">
            <v>059.56.39.60</v>
          </cell>
          <cell r="P1241" t="str">
            <v>059.56.39.61</v>
          </cell>
          <cell r="Q1241" t="str">
            <v>MICHEL.VANTIEGHEMDETENBERGHE@NOTARIS.BE</v>
          </cell>
          <cell r="R1241">
            <v>3152</v>
          </cell>
        </row>
        <row r="1242">
          <cell r="A1242">
            <v>1241</v>
          </cell>
          <cell r="B1242" t="str">
            <v>VAN TRICHT Erik &amp; DE WISPELAERE Katherine</v>
          </cell>
          <cell r="C1242" t="str">
            <v>VanTricht Erik</v>
          </cell>
          <cell r="D1242" t="str">
            <v>Geassocieerd Notaris</v>
          </cell>
          <cell r="E1242" t="str">
            <v>Bredabaan</v>
          </cell>
          <cell r="F1242" t="str">
            <v>310</v>
          </cell>
          <cell r="G1242" t="str">
            <v/>
          </cell>
          <cell r="H1242" t="str">
            <v>2170</v>
          </cell>
          <cell r="I1242" t="str">
            <v>Antwerpen</v>
          </cell>
          <cell r="K1242" t="str">
            <v>Merksem Antwerpen)</v>
          </cell>
          <cell r="M1242" t="str">
            <v>M</v>
          </cell>
          <cell r="O1242" t="str">
            <v>03.645.89.67</v>
          </cell>
          <cell r="P1242" t="str">
            <v>03.646.57.51</v>
          </cell>
          <cell r="Q1242" t="str">
            <v>ERIK.VANTRICHT@NOTARIS.BE</v>
          </cell>
          <cell r="R1242">
            <v>3025</v>
          </cell>
        </row>
        <row r="1243">
          <cell r="A1243">
            <v>1242</v>
          </cell>
          <cell r="B1243" t="str">
            <v>VAN TRICHT Stefan</v>
          </cell>
          <cell r="C1243" t="str">
            <v>VanTricht Stefan</v>
          </cell>
          <cell r="D1243" t="str">
            <v>Notaris</v>
          </cell>
          <cell r="E1243" t="str">
            <v>Paalstraat</v>
          </cell>
          <cell r="F1243" t="str">
            <v>110</v>
          </cell>
          <cell r="G1243" t="str">
            <v/>
          </cell>
          <cell r="H1243" t="str">
            <v>2900</v>
          </cell>
          <cell r="I1243" t="str">
            <v>Antwerpen</v>
          </cell>
          <cell r="K1243" t="str">
            <v>Schoten</v>
          </cell>
          <cell r="M1243" t="str">
            <v>M</v>
          </cell>
          <cell r="O1243" t="str">
            <v>03.658.80.21</v>
          </cell>
          <cell r="P1243" t="str">
            <v>03.658.80.22</v>
          </cell>
          <cell r="Q1243" t="str">
            <v>STEFAN.VANTRICHT@NOTARIS.BE</v>
          </cell>
          <cell r="R1243">
            <v>3373</v>
          </cell>
        </row>
        <row r="1244">
          <cell r="A1244">
            <v>1243</v>
          </cell>
          <cell r="B1244" t="str">
            <v>VAN TUYCKOM Els</v>
          </cell>
          <cell r="C1244" t="str">
            <v>VanTuyckom Els</v>
          </cell>
          <cell r="D1244" t="str">
            <v>Notaris</v>
          </cell>
          <cell r="E1244" t="str">
            <v>Moerkerkse Steenweg</v>
          </cell>
          <cell r="F1244" t="str">
            <v>120</v>
          </cell>
          <cell r="G1244" t="str">
            <v/>
          </cell>
          <cell r="H1244" t="str">
            <v>8310</v>
          </cell>
          <cell r="I1244" t="str">
            <v>West-Vlaanderen</v>
          </cell>
          <cell r="K1244" t="str">
            <v>Sint-Kruis Brugge)</v>
          </cell>
          <cell r="L1244">
            <v>24277</v>
          </cell>
          <cell r="M1244" t="str">
            <v>Vr</v>
          </cell>
          <cell r="O1244" t="str">
            <v>050.35.50.22</v>
          </cell>
          <cell r="P1244" t="str">
            <v>050.37.06.30</v>
          </cell>
          <cell r="Q1244" t="str">
            <v>ELS.VANTUYCKOM@NOTARIS.BE</v>
          </cell>
          <cell r="R1244">
            <v>3325</v>
          </cell>
        </row>
        <row r="1245">
          <cell r="A1245">
            <v>1244</v>
          </cell>
          <cell r="B1245" t="str">
            <v>VAN USSEL &amp; WILLEMSEN</v>
          </cell>
          <cell r="C1245" t="str">
            <v>VanUssel Jean-Paul</v>
          </cell>
          <cell r="D1245" t="str">
            <v>Geassocieerd Notaris</v>
          </cell>
          <cell r="E1245" t="str">
            <v>Molsebaan</v>
          </cell>
          <cell r="F1245" t="str">
            <v>54</v>
          </cell>
          <cell r="G1245" t="str">
            <v/>
          </cell>
          <cell r="H1245" t="str">
            <v>2470</v>
          </cell>
          <cell r="I1245" t="str">
            <v>Antwerpen</v>
          </cell>
          <cell r="K1245" t="str">
            <v>Retie</v>
          </cell>
          <cell r="M1245" t="str">
            <v>M</v>
          </cell>
          <cell r="O1245" t="str">
            <v>014.38.98.21</v>
          </cell>
          <cell r="P1245" t="str">
            <v>014.37.76.78</v>
          </cell>
          <cell r="Q1245" t="str">
            <v>JEANPAUL.VANUSSEL@NOTARIS.BE</v>
          </cell>
          <cell r="R1245">
            <v>3596</v>
          </cell>
        </row>
        <row r="1246">
          <cell r="A1246">
            <v>1245</v>
          </cell>
          <cell r="B1246" t="str">
            <v>VAN VAERENBERGH Luc</v>
          </cell>
          <cell r="C1246" t="str">
            <v>VanVaerenbergh Luc</v>
          </cell>
          <cell r="D1246" t="str">
            <v>Notaris</v>
          </cell>
          <cell r="E1246" t="str">
            <v>Steenweg</v>
          </cell>
          <cell r="F1246" t="str">
            <v>152</v>
          </cell>
          <cell r="G1246" t="str">
            <v/>
          </cell>
          <cell r="H1246" t="str">
            <v>9570</v>
          </cell>
          <cell r="I1246" t="str">
            <v>Oost-Vlaanderen</v>
          </cell>
          <cell r="K1246" t="str">
            <v>Lierde</v>
          </cell>
          <cell r="M1246" t="str">
            <v>M</v>
          </cell>
          <cell r="O1246" t="str">
            <v>055.42.37.24</v>
          </cell>
          <cell r="P1246" t="str">
            <v>055.42.74.30</v>
          </cell>
          <cell r="Q1246" t="str">
            <v>LUC.VANVAERENBERGH@NOTARIS.BE</v>
          </cell>
          <cell r="R1246">
            <v>2872</v>
          </cell>
        </row>
        <row r="1247">
          <cell r="A1247">
            <v>1246</v>
          </cell>
          <cell r="B1247" t="str">
            <v>VAN WALLEGHEM Vincent</v>
          </cell>
          <cell r="C1247" t="str">
            <v>VanWalleghem Vincent</v>
          </cell>
          <cell r="D1247" t="str">
            <v>Notaris</v>
          </cell>
          <cell r="E1247" t="str">
            <v>Strandlaan</v>
          </cell>
          <cell r="F1247" t="str">
            <v>172</v>
          </cell>
          <cell r="G1247" t="str">
            <v/>
          </cell>
          <cell r="H1247" t="str">
            <v>8670</v>
          </cell>
          <cell r="I1247" t="str">
            <v>West-Vlaanderen</v>
          </cell>
          <cell r="K1247" t="str">
            <v>Koksijde</v>
          </cell>
          <cell r="L1247">
            <v>22357</v>
          </cell>
          <cell r="M1247" t="str">
            <v>M</v>
          </cell>
          <cell r="O1247" t="str">
            <v>058.52.28.82</v>
          </cell>
          <cell r="P1247" t="str">
            <v>058.51.36.12</v>
          </cell>
          <cell r="Q1247" t="str">
            <v>VINCENT.VANWALLEGHEM@NOTARIS.BE</v>
          </cell>
          <cell r="R1247">
            <v>3342</v>
          </cell>
        </row>
        <row r="1248">
          <cell r="A1248">
            <v>1247</v>
          </cell>
          <cell r="B1248" t="str">
            <v>VANWIJNSBERGHE Geert</v>
          </cell>
          <cell r="C1248" t="str">
            <v>VANWIJNSBERGHE Geert</v>
          </cell>
          <cell r="D1248" t="str">
            <v>Notaris</v>
          </cell>
          <cell r="E1248" t="str">
            <v>Schoolstraat</v>
          </cell>
          <cell r="F1248" t="str">
            <v>3</v>
          </cell>
          <cell r="G1248" t="str">
            <v/>
          </cell>
          <cell r="H1248" t="str">
            <v>8800</v>
          </cell>
          <cell r="I1248" t="str">
            <v>West-Vlaanderen</v>
          </cell>
          <cell r="K1248" t="str">
            <v>Beveren Roeselare)</v>
          </cell>
          <cell r="L1248">
            <v>22726</v>
          </cell>
          <cell r="M1248" t="str">
            <v>M</v>
          </cell>
          <cell r="O1248" t="str">
            <v>051.24.01.36</v>
          </cell>
          <cell r="P1248" t="str">
            <v>051.24.62.69</v>
          </cell>
          <cell r="Q1248" t="str">
            <v>GEERT.VANWIJNSBERGHE@NOTARIS.BE</v>
          </cell>
          <cell r="R1248">
            <v>3177</v>
          </cell>
        </row>
        <row r="1249">
          <cell r="A1249">
            <v>1248</v>
          </cell>
          <cell r="B1249" t="str">
            <v>VAN WINCKEL Pierre</v>
          </cell>
          <cell r="C1249" t="str">
            <v>VanWinckel Pierre</v>
          </cell>
          <cell r="D1249" t="str">
            <v>Notaris</v>
          </cell>
          <cell r="E1249" t="str">
            <v>Avenue A.J. Slegerslaan</v>
          </cell>
          <cell r="F1249" t="str">
            <v>84</v>
          </cell>
          <cell r="G1249" t="str">
            <v/>
          </cell>
          <cell r="H1249" t="str">
            <v>1200</v>
          </cell>
          <cell r="I1249" t="str">
            <v>Bruxelles</v>
          </cell>
          <cell r="K1249" t="str">
            <v>Bruxelles</v>
          </cell>
          <cell r="M1249" t="str">
            <v>M</v>
          </cell>
          <cell r="O1249" t="str">
            <v>02.761.00.00</v>
          </cell>
          <cell r="P1249" t="str">
            <v>02.761.00.09</v>
          </cell>
          <cell r="Q1249" t="str">
            <v>PIERRE.VANWINCKEL@NOTARIS.BE</v>
          </cell>
          <cell r="R1249">
            <v>2939</v>
          </cell>
        </row>
        <row r="1250">
          <cell r="A1250">
            <v>1249</v>
          </cell>
          <cell r="B1250" t="str">
            <v>VELGHE Thierry</v>
          </cell>
          <cell r="C1250" t="str">
            <v>VELGHE Thierry</v>
          </cell>
          <cell r="D1250" t="str">
            <v>Notaris</v>
          </cell>
          <cell r="E1250" t="str">
            <v>Dr. Haubenlaan</v>
          </cell>
          <cell r="F1250" t="str">
            <v>23</v>
          </cell>
          <cell r="G1250" t="str">
            <v/>
          </cell>
          <cell r="H1250" t="str">
            <v>3630</v>
          </cell>
          <cell r="I1250" t="str">
            <v>Limburg</v>
          </cell>
          <cell r="K1250" t="str">
            <v>Maasmechelen</v>
          </cell>
          <cell r="M1250" t="str">
            <v>M</v>
          </cell>
          <cell r="O1250" t="str">
            <v>089.77.70.00</v>
          </cell>
          <cell r="P1250" t="str">
            <v>089.77.70.01</v>
          </cell>
          <cell r="Q1250" t="str">
            <v>THIERRY.VELGHE@NOTARIS.BE</v>
          </cell>
          <cell r="R1250">
            <v>2952</v>
          </cell>
        </row>
        <row r="1251">
          <cell r="A1251">
            <v>1250</v>
          </cell>
          <cell r="B1251" t="str">
            <v>VERBEEK Rose-Marie</v>
          </cell>
          <cell r="C1251" t="str">
            <v>VERBEEK Rose-Marie</v>
          </cell>
          <cell r="D1251" t="str">
            <v>Notaris</v>
          </cell>
          <cell r="E1251" t="str">
            <v>Onze-Lieve-Vrouwstraat</v>
          </cell>
          <cell r="F1251" t="str">
            <v>109</v>
          </cell>
          <cell r="G1251" t="str">
            <v/>
          </cell>
          <cell r="H1251" t="str">
            <v>2800</v>
          </cell>
          <cell r="I1251" t="str">
            <v>Antwerpen</v>
          </cell>
          <cell r="K1251" t="str">
            <v>Mechelen</v>
          </cell>
          <cell r="M1251" t="str">
            <v>Vr</v>
          </cell>
          <cell r="O1251" t="str">
            <v>015.41.30.05</v>
          </cell>
          <cell r="P1251" t="str">
            <v>015.42.38.82</v>
          </cell>
          <cell r="Q1251" t="str">
            <v>ROSEMARIE.VERBEEK@NOTARIS.BE</v>
          </cell>
          <cell r="R1251">
            <v>3353</v>
          </cell>
        </row>
        <row r="1252">
          <cell r="A1252">
            <v>1251</v>
          </cell>
          <cell r="B1252" t="str">
            <v>VERBERT Dirk</v>
          </cell>
          <cell r="C1252" t="str">
            <v>VERBERT Dirk</v>
          </cell>
          <cell r="D1252" t="str">
            <v>Notaris</v>
          </cell>
          <cell r="E1252" t="str">
            <v>Van Eycklei</v>
          </cell>
          <cell r="F1252" t="str">
            <v>21</v>
          </cell>
          <cell r="G1252" t="str">
            <v/>
          </cell>
          <cell r="H1252" t="str">
            <v>2018</v>
          </cell>
          <cell r="I1252" t="str">
            <v>Antwerpen</v>
          </cell>
          <cell r="K1252" t="str">
            <v>Antwerpen</v>
          </cell>
          <cell r="M1252" t="str">
            <v>M</v>
          </cell>
          <cell r="O1252" t="str">
            <v>03.231.50.86</v>
          </cell>
          <cell r="P1252" t="str">
            <v>03.231.57.73</v>
          </cell>
          <cell r="Q1252" t="str">
            <v>DIRK.VERBERT@NOTARIS.BE</v>
          </cell>
          <cell r="R1252">
            <v>2814</v>
          </cell>
        </row>
        <row r="1253">
          <cell r="A1253">
            <v>1252</v>
          </cell>
          <cell r="B1253" t="str">
            <v>VERBIST Nicolas</v>
          </cell>
          <cell r="C1253" t="str">
            <v>VERBIST Nicolas</v>
          </cell>
          <cell r="D1253" t="str">
            <v>Notaris</v>
          </cell>
          <cell r="E1253" t="str">
            <v>Justitiestraat</v>
          </cell>
          <cell r="F1253" t="str">
            <v>57</v>
          </cell>
          <cell r="G1253" t="str">
            <v/>
          </cell>
          <cell r="H1253" t="str">
            <v>2018</v>
          </cell>
          <cell r="I1253" t="str">
            <v>Antwerpen</v>
          </cell>
          <cell r="K1253" t="str">
            <v>Antwerpen</v>
          </cell>
          <cell r="M1253" t="str">
            <v>M</v>
          </cell>
          <cell r="O1253" t="str">
            <v>03.237.27.68</v>
          </cell>
          <cell r="P1253" t="str">
            <v>03.216.28.62</v>
          </cell>
          <cell r="Q1253" t="str">
            <v>NICOLAS.VERBIST@NOTARIS.BE</v>
          </cell>
          <cell r="R1253">
            <v>3440</v>
          </cell>
        </row>
        <row r="1254">
          <cell r="A1254">
            <v>1253</v>
          </cell>
          <cell r="B1254" t="str">
            <v>TOM VERBIST - KATRIEN EERENS</v>
          </cell>
          <cell r="C1254" t="str">
            <v>Verbist Tom</v>
          </cell>
          <cell r="D1254" t="str">
            <v>Geassocieerd Notaris</v>
          </cell>
          <cell r="E1254" t="str">
            <v>Collegestraat</v>
          </cell>
          <cell r="F1254" t="str">
            <v>38</v>
          </cell>
          <cell r="G1254" t="str">
            <v/>
          </cell>
          <cell r="H1254" t="str">
            <v>2440</v>
          </cell>
          <cell r="I1254" t="str">
            <v>Antwerpen</v>
          </cell>
          <cell r="K1254" t="str">
            <v>Geel</v>
          </cell>
          <cell r="M1254" t="str">
            <v>M</v>
          </cell>
          <cell r="O1254" t="str">
            <v>014.58.81.41</v>
          </cell>
          <cell r="P1254" t="str">
            <v>014.58.44.03</v>
          </cell>
          <cell r="Q1254" t="str">
            <v>TOM.VERBIST@NOTARIS.BE</v>
          </cell>
          <cell r="R1254">
            <v>3607</v>
          </cell>
        </row>
        <row r="1255">
          <cell r="A1255">
            <v>1254</v>
          </cell>
          <cell r="B1255" t="str">
            <v>VERBRUGGEN Liliane</v>
          </cell>
          <cell r="C1255" t="str">
            <v>VERBRUGGEN Liliane</v>
          </cell>
          <cell r="D1255" t="str">
            <v>Notaris</v>
          </cell>
          <cell r="E1255" t="str">
            <v>Place Baraplaats</v>
          </cell>
          <cell r="F1255" t="str">
            <v>22</v>
          </cell>
          <cell r="G1255" t="str">
            <v/>
          </cell>
          <cell r="H1255" t="str">
            <v>1070</v>
          </cell>
          <cell r="I1255" t="str">
            <v>Bruxelles</v>
          </cell>
          <cell r="K1255" t="str">
            <v>Bruxelles</v>
          </cell>
          <cell r="M1255" t="str">
            <v>Vr</v>
          </cell>
          <cell r="O1255" t="str">
            <v>02.521.92.30</v>
          </cell>
          <cell r="P1255" t="str">
            <v>02.523.94.33</v>
          </cell>
          <cell r="Q1255" t="str">
            <v>LILIANE.VERBRUGGEN@NOTAIRE.BE</v>
          </cell>
          <cell r="R1255">
            <v>2714</v>
          </cell>
        </row>
        <row r="1256">
          <cell r="A1256">
            <v>1255</v>
          </cell>
          <cell r="B1256" t="str">
            <v>VERCOUTEREN Joost</v>
          </cell>
          <cell r="C1256" t="str">
            <v>VERCOUTEREN Joost</v>
          </cell>
          <cell r="D1256" t="str">
            <v>Notaris</v>
          </cell>
          <cell r="E1256" t="str">
            <v>Ciamberlanidreef</v>
          </cell>
          <cell r="F1256" t="str">
            <v>34</v>
          </cell>
          <cell r="G1256" t="str">
            <v/>
          </cell>
          <cell r="H1256" t="str">
            <v>9120</v>
          </cell>
          <cell r="I1256" t="str">
            <v>Oost-Vlaanderen</v>
          </cell>
          <cell r="K1256" t="str">
            <v>Beveren</v>
          </cell>
          <cell r="M1256" t="str">
            <v>M</v>
          </cell>
          <cell r="O1256" t="str">
            <v>03.750.98.60</v>
          </cell>
          <cell r="P1256" t="str">
            <v>03.750.98.66</v>
          </cell>
          <cell r="Q1256" t="str">
            <v>JOOST.VERCOUTEREN@NOTARIS.BE</v>
          </cell>
          <cell r="R1256">
            <v>3003</v>
          </cell>
        </row>
        <row r="1257">
          <cell r="A1257">
            <v>1256</v>
          </cell>
          <cell r="B1257" t="str">
            <v>VLAEYMANS Leo &amp; VERDONCK Marc</v>
          </cell>
          <cell r="C1257" t="str">
            <v>Verdonck Marc</v>
          </cell>
          <cell r="D1257" t="str">
            <v>Geassocieerd Notaris</v>
          </cell>
          <cell r="E1257" t="str">
            <v>Markt</v>
          </cell>
          <cell r="F1257" t="str">
            <v>26</v>
          </cell>
          <cell r="G1257" t="str">
            <v/>
          </cell>
          <cell r="H1257" t="str">
            <v>2860</v>
          </cell>
          <cell r="I1257" t="str">
            <v>Antwerpen</v>
          </cell>
          <cell r="K1257" t="str">
            <v>Sint-Katelijne-Waver</v>
          </cell>
          <cell r="M1257" t="str">
            <v>M</v>
          </cell>
          <cell r="O1257" t="str">
            <v>015.31.43.31</v>
          </cell>
          <cell r="P1257" t="str">
            <v>015.31.87.80</v>
          </cell>
          <cell r="Q1257" t="str">
            <v>LEO.VLAEYMANS@NOTARIS.BE</v>
          </cell>
          <cell r="R1257">
            <v>3276</v>
          </cell>
          <cell r="T1257">
            <v>38004</v>
          </cell>
        </row>
        <row r="1258">
          <cell r="A1258">
            <v>1257</v>
          </cell>
          <cell r="B1258" t="str">
            <v>VEREEKEN William</v>
          </cell>
          <cell r="C1258" t="str">
            <v>VEREEKEN William</v>
          </cell>
          <cell r="D1258" t="str">
            <v>Notaris</v>
          </cell>
          <cell r="E1258" t="str">
            <v>Lenniksesteenweg</v>
          </cell>
          <cell r="F1258" t="str">
            <v>9</v>
          </cell>
          <cell r="G1258" t="str">
            <v/>
          </cell>
          <cell r="H1258" t="str">
            <v>1500</v>
          </cell>
          <cell r="I1258" t="str">
            <v>Vlaams Brabant</v>
          </cell>
          <cell r="K1258" t="str">
            <v>Halle</v>
          </cell>
          <cell r="M1258" t="str">
            <v>M</v>
          </cell>
          <cell r="O1258" t="str">
            <v>02.356.50.56</v>
          </cell>
          <cell r="P1258" t="str">
            <v>02.356.62.24</v>
          </cell>
          <cell r="Q1258" t="str">
            <v>WILLIAM.VEREEKEN@NOTARIS.BE</v>
          </cell>
          <cell r="R1258">
            <v>9</v>
          </cell>
        </row>
        <row r="1259">
          <cell r="A1259">
            <v>1258</v>
          </cell>
          <cell r="B1259" t="str">
            <v>VERELST Andrée</v>
          </cell>
          <cell r="C1259" t="str">
            <v>VERELST Andrée</v>
          </cell>
          <cell r="D1259" t="str">
            <v>Notaris</v>
          </cell>
          <cell r="E1259" t="str">
            <v>Beiaardlaan</v>
          </cell>
          <cell r="F1259" t="str">
            <v>40</v>
          </cell>
          <cell r="G1259" t="str">
            <v/>
          </cell>
          <cell r="H1259" t="str">
            <v>1850</v>
          </cell>
          <cell r="I1259" t="str">
            <v>Vlaams Brabant</v>
          </cell>
          <cell r="K1259" t="str">
            <v>Grimbergen</v>
          </cell>
          <cell r="M1259" t="str">
            <v>Vr</v>
          </cell>
          <cell r="O1259" t="str">
            <v>02.269.13.92</v>
          </cell>
          <cell r="P1259" t="str">
            <v>02.269.75.88</v>
          </cell>
          <cell r="Q1259" t="str">
            <v>ANDREE.VERELST@NOTARIS.BE</v>
          </cell>
          <cell r="R1259">
            <v>3101</v>
          </cell>
        </row>
        <row r="1260">
          <cell r="A1260">
            <v>1259</v>
          </cell>
          <cell r="B1260" t="str">
            <v>Burg. BVBA Notaris Baudouin VERELST</v>
          </cell>
          <cell r="C1260" t="str">
            <v>Verelst Baudouin</v>
          </cell>
          <cell r="D1260" t="str">
            <v>Notaris</v>
          </cell>
          <cell r="E1260" t="str">
            <v>Raubrandplein</v>
          </cell>
          <cell r="F1260" t="str">
            <v>3</v>
          </cell>
          <cell r="G1260" t="str">
            <v/>
          </cell>
          <cell r="H1260" t="str">
            <v>3545</v>
          </cell>
          <cell r="I1260" t="str">
            <v>Limburg</v>
          </cell>
          <cell r="K1260" t="str">
            <v>Halen</v>
          </cell>
          <cell r="M1260" t="str">
            <v>M</v>
          </cell>
          <cell r="O1260" t="str">
            <v>013.44.10.94</v>
          </cell>
          <cell r="P1260" t="str">
            <v>013.44.48.40</v>
          </cell>
          <cell r="Q1260" t="str">
            <v>BAUDOUIN.VERELST@NOTARIS.BE</v>
          </cell>
          <cell r="R1260">
            <v>3409</v>
          </cell>
        </row>
        <row r="1261">
          <cell r="A1261">
            <v>1260</v>
          </cell>
          <cell r="B1261" t="str">
            <v>VERELST Clairy</v>
          </cell>
          <cell r="C1261" t="str">
            <v>VERELST Clairy</v>
          </cell>
          <cell r="D1261" t="str">
            <v>Notaris</v>
          </cell>
          <cell r="E1261" t="str">
            <v>Lange Leemstraat</v>
          </cell>
          <cell r="F1261" t="str">
            <v>46</v>
          </cell>
          <cell r="G1261" t="str">
            <v/>
          </cell>
          <cell r="H1261" t="str">
            <v>2018</v>
          </cell>
          <cell r="I1261" t="str">
            <v>Antwerpen</v>
          </cell>
          <cell r="K1261" t="str">
            <v>Antwerpen</v>
          </cell>
          <cell r="M1261" t="str">
            <v>Vr</v>
          </cell>
          <cell r="O1261" t="str">
            <v>03.232.44.37</v>
          </cell>
          <cell r="P1261" t="str">
            <v>03.232.44.37</v>
          </cell>
          <cell r="Q1261" t="str">
            <v>CLAIRY.VERELST@NOTARIS.BE</v>
          </cell>
          <cell r="R1261">
            <v>3619</v>
          </cell>
        </row>
        <row r="1262">
          <cell r="A1262">
            <v>1261</v>
          </cell>
          <cell r="B1262" t="str">
            <v>VERELST Jean-Paul</v>
          </cell>
          <cell r="C1262" t="str">
            <v>VERELST Jean-Paul</v>
          </cell>
          <cell r="D1262" t="str">
            <v>Notaris</v>
          </cell>
          <cell r="E1262" t="str">
            <v>Avenue Gisseleire Verselaan</v>
          </cell>
          <cell r="F1262" t="str">
            <v>20</v>
          </cell>
          <cell r="G1262" t="str">
            <v/>
          </cell>
          <cell r="H1262" t="str">
            <v>1082</v>
          </cell>
          <cell r="I1262" t="str">
            <v>Bruxelles</v>
          </cell>
          <cell r="K1262" t="str">
            <v>Bruxelles</v>
          </cell>
          <cell r="M1262" t="str">
            <v>M</v>
          </cell>
          <cell r="O1262" t="str">
            <v>02.465.67.89</v>
          </cell>
          <cell r="P1262" t="str">
            <v>02.465.43.05</v>
          </cell>
          <cell r="Q1262" t="str">
            <v>JEANPAUL.VERELST@NOTARIS.BE</v>
          </cell>
          <cell r="R1262">
            <v>65</v>
          </cell>
        </row>
        <row r="1263">
          <cell r="A1263">
            <v>1262</v>
          </cell>
          <cell r="B1263" t="str">
            <v>VERHAEGEN Peter</v>
          </cell>
          <cell r="C1263" t="str">
            <v>VERHAEGEN Peter</v>
          </cell>
          <cell r="D1263" t="str">
            <v>Notaris</v>
          </cell>
          <cell r="E1263" t="str">
            <v>Scheeveld</v>
          </cell>
          <cell r="F1263" t="str">
            <v>3</v>
          </cell>
          <cell r="G1263" t="str">
            <v/>
          </cell>
          <cell r="H1263" t="str">
            <v>2870</v>
          </cell>
          <cell r="I1263" t="str">
            <v>Antwerpen</v>
          </cell>
          <cell r="K1263" t="str">
            <v>Puurs</v>
          </cell>
          <cell r="M1263" t="str">
            <v>M</v>
          </cell>
          <cell r="O1263" t="str">
            <v>03.889.01.10</v>
          </cell>
          <cell r="P1263" t="str">
            <v>03.899.00.96</v>
          </cell>
          <cell r="Q1263" t="str">
            <v>peter.verhaegen@belnot.be</v>
          </cell>
          <cell r="R1263">
            <v>2891</v>
          </cell>
        </row>
        <row r="1264">
          <cell r="A1264">
            <v>1263</v>
          </cell>
          <cell r="B1264" t="str">
            <v>VERHAEGEN Tom</v>
          </cell>
          <cell r="C1264" t="str">
            <v>VERHAEGEN Tom</v>
          </cell>
          <cell r="D1264" t="str">
            <v>Notaris</v>
          </cell>
          <cell r="E1264" t="str">
            <v>J.B. Dekeyserstraat</v>
          </cell>
          <cell r="F1264" t="str">
            <v>40</v>
          </cell>
          <cell r="G1264" t="str">
            <v/>
          </cell>
          <cell r="H1264" t="str">
            <v>3090</v>
          </cell>
          <cell r="I1264" t="str">
            <v>Vlaams Brabant</v>
          </cell>
          <cell r="K1264" t="str">
            <v>Overijse</v>
          </cell>
          <cell r="M1264" t="str">
            <v>M</v>
          </cell>
          <cell r="O1264" t="str">
            <v>02.687.60.06</v>
          </cell>
          <cell r="P1264" t="str">
            <v>02.687.39.16</v>
          </cell>
          <cell r="Q1264" t="str">
            <v>TOM.VERHAEGEN@NOTARIS.BE</v>
          </cell>
          <cell r="R1264">
            <v>3331</v>
          </cell>
        </row>
        <row r="1265">
          <cell r="A1265">
            <v>1264</v>
          </cell>
          <cell r="B1265" t="str">
            <v>VERHAEGHE Christophe &amp; Vanlauwe A.</v>
          </cell>
          <cell r="C1265" t="str">
            <v>Verhaeghe Christophe</v>
          </cell>
          <cell r="D1265" t="str">
            <v>Geassocieerd Notaris</v>
          </cell>
          <cell r="E1265" t="str">
            <v>Kasteelstraat</v>
          </cell>
          <cell r="F1265" t="str">
            <v>10</v>
          </cell>
          <cell r="G1265" t="str">
            <v/>
          </cell>
          <cell r="H1265" t="str">
            <v>8755</v>
          </cell>
          <cell r="I1265" t="str">
            <v>West-Vlaanderen</v>
          </cell>
          <cell r="K1265" t="str">
            <v>Ruiselede</v>
          </cell>
          <cell r="L1265">
            <v>24026</v>
          </cell>
          <cell r="M1265" t="str">
            <v>M</v>
          </cell>
          <cell r="O1265" t="str">
            <v>051.68.85.20</v>
          </cell>
          <cell r="P1265" t="str">
            <v>051.68.64.24</v>
          </cell>
          <cell r="Q1265" t="str">
            <v>CHRISTOPHE.VERHAEGHE@NOTARIS.BE</v>
          </cell>
          <cell r="R1265">
            <v>3308</v>
          </cell>
        </row>
        <row r="1266">
          <cell r="A1266">
            <v>1265</v>
          </cell>
          <cell r="B1266" t="str">
            <v>VERHAEGHE Jessica</v>
          </cell>
          <cell r="C1266" t="str">
            <v>VERHAEGHE Jessica</v>
          </cell>
          <cell r="D1266" t="str">
            <v>Notaris</v>
          </cell>
          <cell r="E1266" t="str">
            <v>Callaertswalledreef</v>
          </cell>
          <cell r="F1266" t="str">
            <v>39</v>
          </cell>
          <cell r="G1266" t="str">
            <v/>
          </cell>
          <cell r="H1266" t="str">
            <v>8470</v>
          </cell>
          <cell r="I1266" t="str">
            <v>West-Vlaanderen</v>
          </cell>
          <cell r="K1266" t="str">
            <v>Gistel</v>
          </cell>
          <cell r="M1266" t="str">
            <v>Vr</v>
          </cell>
          <cell r="O1266" t="str">
            <v/>
          </cell>
          <cell r="P1266" t="str">
            <v/>
          </cell>
          <cell r="Q1266" t="str">
            <v>jessica.verhaeghe@notaris.be</v>
          </cell>
          <cell r="R1266">
            <v>3290</v>
          </cell>
        </row>
        <row r="1267">
          <cell r="A1267">
            <v>1266</v>
          </cell>
          <cell r="B1267" t="str">
            <v>VERHAEGHE Paul</v>
          </cell>
          <cell r="C1267" t="str">
            <v>VERHAEGHE Paul</v>
          </cell>
          <cell r="D1267" t="str">
            <v>Notaris</v>
          </cell>
          <cell r="E1267" t="str">
            <v>Pannestraat</v>
          </cell>
          <cell r="F1267" t="str">
            <v>5</v>
          </cell>
          <cell r="G1267" t="str">
            <v/>
          </cell>
          <cell r="H1267" t="str">
            <v>8630</v>
          </cell>
          <cell r="I1267" t="str">
            <v>West-Vlaanderen</v>
          </cell>
          <cell r="K1267" t="str">
            <v>Veurne</v>
          </cell>
          <cell r="L1267">
            <v>19019</v>
          </cell>
          <cell r="M1267" t="str">
            <v>M</v>
          </cell>
          <cell r="O1267" t="str">
            <v>058.31.15.60</v>
          </cell>
          <cell r="P1267" t="str">
            <v>058.31.49.11</v>
          </cell>
          <cell r="Q1267" t="str">
            <v>PAUL.VERHAEGHE@NOTARIS.BE</v>
          </cell>
          <cell r="R1267">
            <v>2723</v>
          </cell>
        </row>
        <row r="1268">
          <cell r="A1268">
            <v>1267</v>
          </cell>
          <cell r="B1268" t="str">
            <v>VAN BAEL HOLVOET VAN BAEL &amp; VERHAERT</v>
          </cell>
          <cell r="C1268" t="str">
            <v>Verhaert Ellen</v>
          </cell>
          <cell r="D1268" t="str">
            <v>Geassocieerd Notaris</v>
          </cell>
          <cell r="E1268" t="str">
            <v>Mechelsesteenweg</v>
          </cell>
          <cell r="F1268" t="str">
            <v>65</v>
          </cell>
          <cell r="G1268" t="str">
            <v/>
          </cell>
          <cell r="H1268" t="str">
            <v>2018</v>
          </cell>
          <cell r="I1268" t="str">
            <v>Antwerpen</v>
          </cell>
          <cell r="K1268" t="str">
            <v>Antwerpen</v>
          </cell>
          <cell r="M1268" t="str">
            <v>Vr</v>
          </cell>
          <cell r="O1268" t="str">
            <v>03.205.62.80</v>
          </cell>
          <cell r="P1268" t="str">
            <v>03.205.62.90</v>
          </cell>
          <cell r="Q1268" t="str">
            <v>ellen.verhaert@notaris.be</v>
          </cell>
          <cell r="R1268">
            <v>3502</v>
          </cell>
        </row>
        <row r="1269">
          <cell r="A1269">
            <v>1268</v>
          </cell>
          <cell r="B1269" t="str">
            <v>VERHASSELT LEONARD &amp; VAN BELLINGHEN</v>
          </cell>
          <cell r="C1269" t="str">
            <v>Verhasselt Luc</v>
          </cell>
          <cell r="D1269" t="str">
            <v>Geassocieerd Notaris</v>
          </cell>
          <cell r="E1269" t="str">
            <v>de Limburg Stirumlaan</v>
          </cell>
          <cell r="F1269" t="str">
            <v>73</v>
          </cell>
          <cell r="G1269" t="str">
            <v/>
          </cell>
          <cell r="H1269" t="str">
            <v>1780</v>
          </cell>
          <cell r="I1269" t="str">
            <v>Vlaams Brabant</v>
          </cell>
          <cell r="K1269" t="str">
            <v>Wemmel</v>
          </cell>
          <cell r="M1269" t="str">
            <v>M</v>
          </cell>
          <cell r="O1269" t="str">
            <v>02.460.46.10</v>
          </cell>
          <cell r="P1269" t="str">
            <v>02.460.08.38</v>
          </cell>
          <cell r="Q1269" t="str">
            <v>LUC.VERHASSELT@NOTARIS.BE</v>
          </cell>
          <cell r="R1269">
            <v>3561</v>
          </cell>
        </row>
        <row r="1270">
          <cell r="A1270">
            <v>1269</v>
          </cell>
          <cell r="B1270" t="str">
            <v>VERHELST Frank</v>
          </cell>
          <cell r="C1270" t="str">
            <v>VERHELST Frank</v>
          </cell>
          <cell r="D1270" t="str">
            <v>Notaris</v>
          </cell>
          <cell r="E1270" t="str">
            <v>Statiestraat</v>
          </cell>
          <cell r="F1270" t="str">
            <v>16</v>
          </cell>
          <cell r="G1270" t="str">
            <v/>
          </cell>
          <cell r="H1270" t="str">
            <v>8720</v>
          </cell>
          <cell r="I1270" t="str">
            <v>West-Vlaanderen</v>
          </cell>
          <cell r="K1270" t="str">
            <v>Dentergem</v>
          </cell>
          <cell r="L1270">
            <v>23834</v>
          </cell>
          <cell r="M1270" t="str">
            <v>M</v>
          </cell>
          <cell r="O1270" t="str">
            <v>051.63.61.16</v>
          </cell>
          <cell r="P1270" t="str">
            <v>051.63.58.71</v>
          </cell>
          <cell r="Q1270" t="str">
            <v>FRANK.VERHELST@NOTARIS.BE</v>
          </cell>
          <cell r="R1270">
            <v>3430</v>
          </cell>
        </row>
        <row r="1271">
          <cell r="A1271">
            <v>1270</v>
          </cell>
          <cell r="B1271" t="str">
            <v>VERHOEVEN Marc</v>
          </cell>
          <cell r="C1271" t="str">
            <v>VERHOEVEN Marc</v>
          </cell>
          <cell r="D1271" t="str">
            <v>Notaris</v>
          </cell>
          <cell r="E1271" t="str">
            <v>Dascottelei</v>
          </cell>
          <cell r="F1271" t="str">
            <v>102-104</v>
          </cell>
          <cell r="G1271" t="str">
            <v/>
          </cell>
          <cell r="H1271" t="str">
            <v>2100</v>
          </cell>
          <cell r="I1271" t="str">
            <v>Antwerpen</v>
          </cell>
          <cell r="K1271" t="str">
            <v>Deurne Antwerpen)</v>
          </cell>
          <cell r="M1271" t="str">
            <v>M</v>
          </cell>
          <cell r="O1271" t="str">
            <v>03.321.33.21</v>
          </cell>
          <cell r="P1271" t="str">
            <v>03.322.56.93</v>
          </cell>
          <cell r="Q1271" t="str">
            <v>MARC.VERHOEVEN@NOTARIS.BE</v>
          </cell>
          <cell r="R1271">
            <v>3166</v>
          </cell>
        </row>
        <row r="1272">
          <cell r="A1272">
            <v>1271</v>
          </cell>
          <cell r="B1272" t="str">
            <v>VERLINDE Philippe</v>
          </cell>
          <cell r="C1272" t="str">
            <v>VERLINDE Philippe</v>
          </cell>
          <cell r="D1272" t="str">
            <v>Notaris</v>
          </cell>
          <cell r="E1272" t="str">
            <v>Place du Petit Sablon</v>
          </cell>
          <cell r="F1272" t="str">
            <v>14</v>
          </cell>
          <cell r="G1272" t="str">
            <v/>
          </cell>
          <cell r="H1272" t="str">
            <v>1000</v>
          </cell>
          <cell r="I1272" t="str">
            <v>Bruxelles</v>
          </cell>
          <cell r="K1272" t="str">
            <v>Bruxelles</v>
          </cell>
          <cell r="M1272" t="str">
            <v>M</v>
          </cell>
          <cell r="O1272" t="str">
            <v>02.512.45.19</v>
          </cell>
          <cell r="P1272" t="str">
            <v>02.514.40.36</v>
          </cell>
          <cell r="Q1272" t="str">
            <v/>
          </cell>
          <cell r="R1272">
            <v>2492</v>
          </cell>
        </row>
        <row r="1273">
          <cell r="A1273">
            <v>1272</v>
          </cell>
          <cell r="B1273" t="str">
            <v>BVBA notaris Guy Verlinden</v>
          </cell>
          <cell r="C1273" t="str">
            <v>Verlinden Guy</v>
          </cell>
          <cell r="D1273" t="str">
            <v>Notaris</v>
          </cell>
          <cell r="E1273" t="str">
            <v>Guido Gezellelaan</v>
          </cell>
          <cell r="F1273" t="str">
            <v>187</v>
          </cell>
          <cell r="G1273" t="str">
            <v/>
          </cell>
          <cell r="H1273" t="str">
            <v>3550</v>
          </cell>
          <cell r="I1273" t="str">
            <v>Limburg</v>
          </cell>
          <cell r="K1273" t="str">
            <v>Heusden-Zolder</v>
          </cell>
          <cell r="M1273" t="str">
            <v>M</v>
          </cell>
          <cell r="O1273" t="str">
            <v>011.28.63.86.</v>
          </cell>
          <cell r="P1273" t="str">
            <v>011.28.63.87.</v>
          </cell>
          <cell r="Q1273" t="str">
            <v>guy.verlinden@belnot.be</v>
          </cell>
          <cell r="R1273">
            <v>3245</v>
          </cell>
        </row>
        <row r="1274">
          <cell r="A1274">
            <v>1273</v>
          </cell>
          <cell r="B1274" t="str">
            <v>VERLINDEN Marc</v>
          </cell>
          <cell r="C1274" t="str">
            <v>VERLINDEN Marc</v>
          </cell>
          <cell r="D1274" t="str">
            <v>Notaris</v>
          </cell>
          <cell r="E1274" t="str">
            <v>de Trannoyplein</v>
          </cell>
          <cell r="F1274" t="str">
            <v>4</v>
          </cell>
          <cell r="G1274" t="str">
            <v>bus A</v>
          </cell>
          <cell r="H1274" t="str">
            <v>2260</v>
          </cell>
          <cell r="I1274" t="str">
            <v>Antwerpen</v>
          </cell>
          <cell r="K1274" t="str">
            <v>Westerlo</v>
          </cell>
          <cell r="M1274" t="str">
            <v>M</v>
          </cell>
          <cell r="O1274" t="str">
            <v>014.54.42.35</v>
          </cell>
          <cell r="P1274" t="str">
            <v>014.54.62.12</v>
          </cell>
          <cell r="Q1274" t="str">
            <v>MARC.VERLINDEN@NOTARIS.BE</v>
          </cell>
          <cell r="R1274">
            <v>3314</v>
          </cell>
        </row>
        <row r="1275">
          <cell r="A1275">
            <v>1274</v>
          </cell>
          <cell r="B1275" t="str">
            <v>BVBA Notaris Philippe Verlinden</v>
          </cell>
          <cell r="C1275" t="str">
            <v>Verlinden Philippe</v>
          </cell>
          <cell r="D1275" t="str">
            <v>Notaris</v>
          </cell>
          <cell r="E1275" t="str">
            <v>Casinostraat</v>
          </cell>
          <cell r="F1275" t="str">
            <v>2</v>
          </cell>
          <cell r="G1275" t="str">
            <v/>
          </cell>
          <cell r="H1275" t="str">
            <v>9100</v>
          </cell>
          <cell r="I1275" t="str">
            <v>Oost-Vlaanderen</v>
          </cell>
          <cell r="K1275" t="str">
            <v>Sint-Niklaas</v>
          </cell>
          <cell r="M1275" t="str">
            <v>M</v>
          </cell>
          <cell r="O1275" t="str">
            <v>03.776.08.64</v>
          </cell>
          <cell r="P1275" t="str">
            <v>03.765.94.90</v>
          </cell>
          <cell r="Q1275" t="str">
            <v>PHILIPPE.VERLINDEN@NOTARIS.BE</v>
          </cell>
          <cell r="R1275">
            <v>3111</v>
          </cell>
        </row>
        <row r="1276">
          <cell r="A1276">
            <v>1275</v>
          </cell>
          <cell r="B1276" t="str">
            <v>Herman VERSCHRAEGEN &amp; Isis VERMANDER</v>
          </cell>
          <cell r="C1276" t="str">
            <v>Vermander Isis</v>
          </cell>
          <cell r="D1276" t="str">
            <v>Geassocieerd Notaris</v>
          </cell>
          <cell r="E1276" t="str">
            <v>Gemeentepark</v>
          </cell>
          <cell r="F1276" t="str">
            <v>17</v>
          </cell>
          <cell r="G1276" t="str">
            <v/>
          </cell>
          <cell r="H1276" t="str">
            <v>2990</v>
          </cell>
          <cell r="I1276" t="str">
            <v>Antwerpen</v>
          </cell>
          <cell r="K1276" t="str">
            <v>Wuustwezel</v>
          </cell>
          <cell r="M1276" t="str">
            <v>Vr</v>
          </cell>
          <cell r="O1276" t="str">
            <v>03/670.19.90</v>
          </cell>
          <cell r="P1276" t="str">
            <v>03/669.89.74</v>
          </cell>
          <cell r="Q1276" t="str">
            <v>isis.vermander@notaris.be</v>
          </cell>
          <cell r="R1276">
            <v>3659</v>
          </cell>
        </row>
        <row r="1277">
          <cell r="A1277">
            <v>1276</v>
          </cell>
          <cell r="B1277" t="str">
            <v>VERMEERSCH Arnold</v>
          </cell>
          <cell r="C1277" t="str">
            <v>VERMEERSCH Arnold</v>
          </cell>
          <cell r="D1277" t="str">
            <v>Notaris</v>
          </cell>
          <cell r="E1277" t="str">
            <v>Abdijlaan</v>
          </cell>
          <cell r="F1277" t="str">
            <v>9</v>
          </cell>
          <cell r="G1277" t="str">
            <v/>
          </cell>
          <cell r="H1277" t="str">
            <v>8460</v>
          </cell>
          <cell r="I1277" t="str">
            <v>West-Vlaanderen</v>
          </cell>
          <cell r="K1277" t="str">
            <v>Oudenburg</v>
          </cell>
          <cell r="L1277">
            <v>19587</v>
          </cell>
          <cell r="M1277" t="str">
            <v>M</v>
          </cell>
          <cell r="O1277" t="str">
            <v>059.26.60.26</v>
          </cell>
          <cell r="P1277" t="str">
            <v>059.26.53.16</v>
          </cell>
          <cell r="Q1277" t="str">
            <v>ARNOLD.VERMEERSCH@NOTARIS.BE</v>
          </cell>
          <cell r="R1277">
            <v>2856</v>
          </cell>
        </row>
        <row r="1278">
          <cell r="A1278">
            <v>1277</v>
          </cell>
          <cell r="B1278" t="str">
            <v>Vermeersch Brigitte</v>
          </cell>
          <cell r="C1278" t="str">
            <v>Vermeersch Brigitte</v>
          </cell>
          <cell r="D1278" t="str">
            <v>Notaris</v>
          </cell>
          <cell r="E1278" t="str">
            <v>Auwerikstraat</v>
          </cell>
          <cell r="F1278" t="str">
            <v>1</v>
          </cell>
          <cell r="G1278" t="str">
            <v/>
          </cell>
          <cell r="H1278" t="str">
            <v>9667</v>
          </cell>
          <cell r="I1278" t="str">
            <v>Oost-Vlaanderen</v>
          </cell>
          <cell r="K1278" t="str">
            <v>Horebeke</v>
          </cell>
          <cell r="M1278" t="str">
            <v>Vr</v>
          </cell>
          <cell r="O1278" t="str">
            <v>055.49.82.41</v>
          </cell>
          <cell r="P1278" t="str">
            <v>055.49.79.41</v>
          </cell>
          <cell r="Q1278" t="str">
            <v>brigitte.vermeersch@notaris.be</v>
          </cell>
          <cell r="R1278">
            <v>1204</v>
          </cell>
          <cell r="S1278" t="str">
            <v>737-0172569-49</v>
          </cell>
          <cell r="T1278">
            <v>38743</v>
          </cell>
        </row>
        <row r="1279">
          <cell r="A1279">
            <v>1278</v>
          </cell>
          <cell r="B1279" t="str">
            <v>VERMEIRE Theo</v>
          </cell>
          <cell r="C1279" t="str">
            <v>VERMEIRE Theo</v>
          </cell>
          <cell r="D1279" t="str">
            <v>Notaris</v>
          </cell>
          <cell r="E1279" t="str">
            <v>Kasteelstraat</v>
          </cell>
          <cell r="F1279" t="str">
            <v>1</v>
          </cell>
          <cell r="G1279" t="str">
            <v/>
          </cell>
          <cell r="H1279" t="str">
            <v>1560</v>
          </cell>
          <cell r="I1279" t="str">
            <v>Vlaams Brabant</v>
          </cell>
          <cell r="K1279" t="str">
            <v>Hoeilaart</v>
          </cell>
          <cell r="M1279" t="str">
            <v>M</v>
          </cell>
          <cell r="O1279" t="str">
            <v>02.657.00.19</v>
          </cell>
          <cell r="P1279" t="str">
            <v>02.657.97.88</v>
          </cell>
          <cell r="Q1279" t="str">
            <v>THEO.VERMEIRE@NOTARIS.BE</v>
          </cell>
          <cell r="R1279">
            <v>2565</v>
          </cell>
        </row>
        <row r="1280">
          <cell r="A1280">
            <v>1279</v>
          </cell>
          <cell r="B1280" t="str">
            <v>VERMER Philippe</v>
          </cell>
          <cell r="C1280" t="str">
            <v>VERMER Philippe</v>
          </cell>
          <cell r="D1280" t="str">
            <v>Notaris</v>
          </cell>
          <cell r="E1280" t="str">
            <v>Rue de l´Hospice</v>
          </cell>
          <cell r="F1280" t="str">
            <v>5</v>
          </cell>
          <cell r="G1280" t="str">
            <v/>
          </cell>
          <cell r="H1280" t="str">
            <v>6830</v>
          </cell>
          <cell r="I1280" t="str">
            <v>Luxembourg</v>
          </cell>
          <cell r="K1280" t="str">
            <v>Bouillon</v>
          </cell>
          <cell r="M1280" t="str">
            <v>M</v>
          </cell>
          <cell r="O1280" t="str">
            <v>061.46.60.10</v>
          </cell>
          <cell r="P1280" t="str">
            <v>061.46.77.76</v>
          </cell>
          <cell r="Q1280" t="str">
            <v>PHILIPPE.VERMER@NOTAIRE.BE</v>
          </cell>
          <cell r="R1280">
            <v>1139</v>
          </cell>
        </row>
        <row r="1281">
          <cell r="A1281">
            <v>1280</v>
          </cell>
          <cell r="B1281" t="str">
            <v>VERMEULEN Koen</v>
          </cell>
          <cell r="C1281" t="str">
            <v>VERMEULEN Koen</v>
          </cell>
          <cell r="D1281" t="str">
            <v>Notaris</v>
          </cell>
          <cell r="E1281" t="str">
            <v>Diestersesteenweg</v>
          </cell>
          <cell r="F1281" t="str">
            <v>67</v>
          </cell>
          <cell r="G1281" t="str">
            <v/>
          </cell>
          <cell r="H1281" t="str">
            <v>3583</v>
          </cell>
          <cell r="I1281" t="str">
            <v>Limburg</v>
          </cell>
          <cell r="K1281" t="str">
            <v>Paal</v>
          </cell>
          <cell r="M1281" t="str">
            <v>M</v>
          </cell>
          <cell r="O1281" t="str">
            <v>011.45.50.25</v>
          </cell>
          <cell r="P1281" t="str">
            <v>011.45.50.35</v>
          </cell>
          <cell r="Q1281" t="str">
            <v>KOEN.VERMEULEN@NOTARIS.BE</v>
          </cell>
          <cell r="R1281">
            <v>3312</v>
          </cell>
        </row>
        <row r="1282">
          <cell r="A1282">
            <v>1281</v>
          </cell>
          <cell r="B1282" t="str">
            <v>VERMEULEN Lodewijk</v>
          </cell>
          <cell r="C1282" t="str">
            <v>VERMEULEN Lodewijk</v>
          </cell>
          <cell r="D1282" t="str">
            <v>Notaris</v>
          </cell>
          <cell r="E1282" t="str">
            <v>Bruggestraat</v>
          </cell>
          <cell r="F1282" t="str">
            <v>53</v>
          </cell>
          <cell r="G1282" t="str">
            <v/>
          </cell>
          <cell r="H1282" t="str">
            <v>8930</v>
          </cell>
          <cell r="I1282" t="str">
            <v>West-Vlaanderen</v>
          </cell>
          <cell r="K1282" t="str">
            <v>Menen</v>
          </cell>
          <cell r="L1282">
            <v>18851</v>
          </cell>
          <cell r="M1282" t="str">
            <v>M</v>
          </cell>
          <cell r="O1282" t="str">
            <v>056.51.11.17</v>
          </cell>
          <cell r="P1282" t="str">
            <v>056.51.84.86</v>
          </cell>
          <cell r="Q1282" t="str">
            <v>LODEWIJK.VERMEULEN@NOTARIS.BE</v>
          </cell>
          <cell r="R1282">
            <v>2712</v>
          </cell>
        </row>
        <row r="1283">
          <cell r="A1283">
            <v>1282</v>
          </cell>
          <cell r="B1283" t="str">
            <v>Vermeulen Ludwig</v>
          </cell>
          <cell r="C1283" t="str">
            <v>Vermeulen Ludwig</v>
          </cell>
          <cell r="D1283" t="str">
            <v>Notaris</v>
          </cell>
          <cell r="E1283" t="str">
            <v>Lembergsesteenweg</v>
          </cell>
          <cell r="F1283" t="str">
            <v>12</v>
          </cell>
          <cell r="G1283" t="str">
            <v/>
          </cell>
          <cell r="H1283" t="str">
            <v>9820</v>
          </cell>
          <cell r="I1283" t="str">
            <v>Oost-Vlaanderen</v>
          </cell>
          <cell r="K1283" t="str">
            <v>Merelbeke</v>
          </cell>
          <cell r="M1283" t="str">
            <v>M</v>
          </cell>
          <cell r="O1283" t="str">
            <v>09.230.83.52</v>
          </cell>
          <cell r="P1283" t="str">
            <v>09.231.08.04</v>
          </cell>
          <cell r="Q1283" t="str">
            <v>ludwig.vermeulen@notaris.be</v>
          </cell>
          <cell r="T1283">
            <v>38537</v>
          </cell>
        </row>
        <row r="1284">
          <cell r="A1284">
            <v>1283</v>
          </cell>
          <cell r="B1284" t="str">
            <v>VERMEULEN Pierre</v>
          </cell>
          <cell r="C1284" t="str">
            <v>VERMEULEN Pierre</v>
          </cell>
          <cell r="D1284" t="str">
            <v>Notaris</v>
          </cell>
          <cell r="E1284" t="str">
            <v>Bd. Edmond Machtenslaan</v>
          </cell>
          <cell r="F1284" t="str">
            <v>57</v>
          </cell>
          <cell r="G1284" t="str">
            <v>bte 17</v>
          </cell>
          <cell r="H1284" t="str">
            <v>1080</v>
          </cell>
          <cell r="I1284" t="str">
            <v>Bruxelles</v>
          </cell>
          <cell r="K1284" t="str">
            <v>Bruxelles</v>
          </cell>
          <cell r="M1284" t="str">
            <v>M</v>
          </cell>
          <cell r="O1284" t="str">
            <v>02.410.20.05</v>
          </cell>
          <cell r="P1284" t="str">
            <v>02.410.03.64</v>
          </cell>
          <cell r="Q1284" t="str">
            <v>PIERRE.VERMEULEN@NOTAIRE.BE</v>
          </cell>
          <cell r="R1284">
            <v>2721</v>
          </cell>
        </row>
        <row r="1285">
          <cell r="A1285">
            <v>1284</v>
          </cell>
          <cell r="B1285" t="str">
            <v>VERMEULEN Vonnicq</v>
          </cell>
          <cell r="C1285" t="str">
            <v>VERMEULEN Vonnicq</v>
          </cell>
          <cell r="D1285" t="str">
            <v>Notaris</v>
          </cell>
          <cell r="E1285" t="str">
            <v>Grote Baan</v>
          </cell>
          <cell r="F1285" t="str">
            <v>63</v>
          </cell>
          <cell r="G1285" t="str">
            <v>bus 1</v>
          </cell>
          <cell r="H1285" t="str">
            <v>2235</v>
          </cell>
          <cell r="I1285" t="str">
            <v>Antwerpen</v>
          </cell>
          <cell r="K1285" t="str">
            <v>Hulshout</v>
          </cell>
          <cell r="M1285" t="str">
            <v>M</v>
          </cell>
          <cell r="O1285" t="str">
            <v>015.22.20.26</v>
          </cell>
          <cell r="P1285" t="str">
            <v>015.22.45.82</v>
          </cell>
          <cell r="Q1285" t="str">
            <v>VONNICQ.VERMEULEN@NOTARIS.BE</v>
          </cell>
          <cell r="R1285">
            <v>3273</v>
          </cell>
        </row>
        <row r="1286">
          <cell r="A1286">
            <v>1285</v>
          </cell>
          <cell r="B1286" t="str">
            <v>VERNIMMEN Georges</v>
          </cell>
          <cell r="C1286" t="str">
            <v>VERNIMMEN Georges</v>
          </cell>
          <cell r="D1286" t="str">
            <v>Notaris</v>
          </cell>
          <cell r="E1286" t="str">
            <v>Bloemenstraat</v>
          </cell>
          <cell r="F1286" t="str">
            <v>31 A</v>
          </cell>
          <cell r="G1286" t="str">
            <v/>
          </cell>
          <cell r="H1286" t="str">
            <v>9220</v>
          </cell>
          <cell r="I1286" t="str">
            <v>Oost-Vlaanderen</v>
          </cell>
          <cell r="K1286" t="str">
            <v>Moerzeke</v>
          </cell>
          <cell r="M1286" t="str">
            <v>M</v>
          </cell>
          <cell r="O1286" t="str">
            <v>052.47.72.28</v>
          </cell>
          <cell r="P1286" t="str">
            <v>052.47.77.84</v>
          </cell>
          <cell r="Q1286" t="str">
            <v>GEORGES.JANSSENS@NOTARIS.BE</v>
          </cell>
          <cell r="R1286">
            <v>1140</v>
          </cell>
          <cell r="T1286">
            <v>38772</v>
          </cell>
        </row>
        <row r="1287">
          <cell r="A1287">
            <v>1286</v>
          </cell>
          <cell r="B1287" t="str">
            <v>VERNIMMEN Jacques</v>
          </cell>
          <cell r="C1287" t="str">
            <v>VERNIMMEN Jacques</v>
          </cell>
          <cell r="D1287" t="str">
            <v>Notaris</v>
          </cell>
          <cell r="E1287" t="str">
            <v>Albertkanaalstraat</v>
          </cell>
          <cell r="F1287" t="str">
            <v>37</v>
          </cell>
          <cell r="G1287" t="str">
            <v/>
          </cell>
          <cell r="H1287" t="str">
            <v>2560</v>
          </cell>
          <cell r="I1287" t="str">
            <v>Antwerpen</v>
          </cell>
          <cell r="K1287" t="str">
            <v>Nijlen</v>
          </cell>
          <cell r="M1287" t="str">
            <v>M</v>
          </cell>
          <cell r="O1287" t="str">
            <v>03.481.81.17</v>
          </cell>
          <cell r="P1287" t="str">
            <v>03.481.91.85</v>
          </cell>
          <cell r="Q1287" t="str">
            <v>JACQUES.VERNIMMEN@NOTARIS.BE</v>
          </cell>
          <cell r="R1287">
            <v>543</v>
          </cell>
        </row>
        <row r="1288">
          <cell r="A1288">
            <v>1287</v>
          </cell>
          <cell r="B1288" t="str">
            <v>Notaris Jean-Paul VERNIMMEN BVBA</v>
          </cell>
          <cell r="C1288" t="str">
            <v>Vernimmen Jean-Paul</v>
          </cell>
          <cell r="D1288" t="str">
            <v>Notaris</v>
          </cell>
          <cell r="E1288" t="str">
            <v>Zoniënwoudlaan</v>
          </cell>
          <cell r="F1288" t="str">
            <v>252</v>
          </cell>
          <cell r="G1288" t="str">
            <v/>
          </cell>
          <cell r="H1288" t="str">
            <v>1640</v>
          </cell>
          <cell r="I1288" t="str">
            <v>Vlaams Brabant</v>
          </cell>
          <cell r="K1288" t="str">
            <v>Sint-Genesius-Rode</v>
          </cell>
          <cell r="M1288" t="str">
            <v>M</v>
          </cell>
          <cell r="O1288" t="str">
            <v>02.358.11.01</v>
          </cell>
          <cell r="P1288" t="str">
            <v>02.358.49.72</v>
          </cell>
          <cell r="Q1288" t="str">
            <v>JEANPAUL.VERNIMMEN@NOTARIS.BE</v>
          </cell>
          <cell r="R1288">
            <v>2531</v>
          </cell>
        </row>
        <row r="1289">
          <cell r="A1289">
            <v>1288</v>
          </cell>
          <cell r="B1289" t="str">
            <v>NOTARISKANTOOR de STRYCKER &amp; VERRETH</v>
          </cell>
          <cell r="C1289" t="str">
            <v>Verreth Jan</v>
          </cell>
          <cell r="D1289" t="str">
            <v>Geassocieerd Notaris</v>
          </cell>
          <cell r="E1289" t="str">
            <v>Mechelsesteenweg</v>
          </cell>
          <cell r="F1289" t="str">
            <v>92</v>
          </cell>
          <cell r="G1289" t="str">
            <v/>
          </cell>
          <cell r="H1289" t="str">
            <v>2500</v>
          </cell>
          <cell r="I1289" t="str">
            <v>Antwerpen</v>
          </cell>
          <cell r="K1289" t="str">
            <v>Lier</v>
          </cell>
          <cell r="M1289" t="str">
            <v>M</v>
          </cell>
          <cell r="O1289" t="str">
            <v>03.480.00.46</v>
          </cell>
          <cell r="P1289" t="str">
            <v>03.489.17.42</v>
          </cell>
          <cell r="Q1289" t="str">
            <v>JAN.VERRETH@NOTARIS.BE</v>
          </cell>
          <cell r="R1289">
            <v>3515</v>
          </cell>
        </row>
        <row r="1290">
          <cell r="A1290">
            <v>1289</v>
          </cell>
          <cell r="B1290" t="str">
            <v>VERSCHAFFEL Pierre</v>
          </cell>
          <cell r="C1290" t="str">
            <v>VERSCHAFFEL Pierre</v>
          </cell>
          <cell r="D1290" t="str">
            <v>Notaris</v>
          </cell>
          <cell r="E1290" t="str">
            <v>Prinses Clementinalaan</v>
          </cell>
          <cell r="F1290" t="str">
            <v>108</v>
          </cell>
          <cell r="G1290" t="str">
            <v/>
          </cell>
          <cell r="H1290" t="str">
            <v>9000</v>
          </cell>
          <cell r="I1290" t="str">
            <v>Oost-Vlaanderen</v>
          </cell>
          <cell r="K1290" t="str">
            <v>Gent</v>
          </cell>
          <cell r="M1290" t="str">
            <v>M</v>
          </cell>
          <cell r="O1290" t="str">
            <v>09.221.90.95</v>
          </cell>
          <cell r="P1290" t="str">
            <v>09.221.70.33</v>
          </cell>
          <cell r="Q1290" t="str">
            <v>pierre.verschaffel@belnot.be</v>
          </cell>
          <cell r="R1290">
            <v>3419</v>
          </cell>
        </row>
        <row r="1291">
          <cell r="A1291">
            <v>1290</v>
          </cell>
          <cell r="B1291" t="str">
            <v>VERSCHOORE Xavier</v>
          </cell>
          <cell r="C1291" t="str">
            <v>VERSCHOORE Xavier</v>
          </cell>
          <cell r="D1291" t="str">
            <v>Notaris</v>
          </cell>
          <cell r="E1291" t="str">
            <v>Kemmelstraat</v>
          </cell>
          <cell r="F1291" t="str">
            <v>106</v>
          </cell>
          <cell r="G1291" t="str">
            <v/>
          </cell>
          <cell r="H1291" t="str">
            <v>8950</v>
          </cell>
          <cell r="I1291" t="str">
            <v>West-Vlaanderen</v>
          </cell>
          <cell r="K1291" t="str">
            <v>Nieuwkerke</v>
          </cell>
          <cell r="L1291">
            <v>21041</v>
          </cell>
          <cell r="M1291" t="str">
            <v>M</v>
          </cell>
          <cell r="O1291" t="str">
            <v>057.44.40.41</v>
          </cell>
          <cell r="P1291" t="str">
            <v>057.44.72.96</v>
          </cell>
          <cell r="Q1291" t="str">
            <v>XAVIER.VERSCHOORE@NOTARIS.BE</v>
          </cell>
          <cell r="R1291">
            <v>3112</v>
          </cell>
        </row>
        <row r="1292">
          <cell r="A1292">
            <v>1291</v>
          </cell>
          <cell r="B1292" t="str">
            <v>Herman VERSCHRAEGEN &amp; Isis VERMANDER</v>
          </cell>
          <cell r="C1292" t="str">
            <v>Verschraeghen Herman</v>
          </cell>
          <cell r="D1292" t="str">
            <v>Geassocieerd Notaris</v>
          </cell>
          <cell r="E1292" t="str">
            <v>Gemeentepark</v>
          </cell>
          <cell r="F1292" t="str">
            <v>17</v>
          </cell>
          <cell r="G1292" t="str">
            <v/>
          </cell>
          <cell r="H1292" t="str">
            <v>2990</v>
          </cell>
          <cell r="I1292" t="str">
            <v>Antwerpen</v>
          </cell>
          <cell r="K1292" t="str">
            <v>Wuustwezel</v>
          </cell>
          <cell r="M1292" t="str">
            <v>M</v>
          </cell>
          <cell r="O1292" t="str">
            <v>03/670.19.90</v>
          </cell>
          <cell r="P1292" t="str">
            <v>03/669.89.74</v>
          </cell>
          <cell r="Q1292" t="str">
            <v>HERMAN.VERSCHRAEGEN@NOTARIS.BE</v>
          </cell>
          <cell r="R1292">
            <v>3659</v>
          </cell>
        </row>
        <row r="1293">
          <cell r="A1293">
            <v>1292</v>
          </cell>
          <cell r="B1293" t="str">
            <v>VERSCHUEREN Jozef</v>
          </cell>
          <cell r="C1293" t="str">
            <v>VERSCHUEREN Jozef</v>
          </cell>
          <cell r="D1293" t="str">
            <v>Notaris</v>
          </cell>
          <cell r="E1293" t="str">
            <v>´s Gravenstraat</v>
          </cell>
          <cell r="F1293" t="str">
            <v>193</v>
          </cell>
          <cell r="G1293" t="str">
            <v/>
          </cell>
          <cell r="H1293" t="str">
            <v>9810</v>
          </cell>
          <cell r="I1293" t="str">
            <v>Oost-Vlaanderen</v>
          </cell>
          <cell r="K1293" t="str">
            <v>Nazareth</v>
          </cell>
          <cell r="M1293" t="str">
            <v>M</v>
          </cell>
          <cell r="O1293" t="str">
            <v>09.385.40.27</v>
          </cell>
          <cell r="P1293" t="str">
            <v>09.385.57.52</v>
          </cell>
          <cell r="Q1293" t="str">
            <v>JOZEF.VERSCHUEREN@NOTARIS.BE</v>
          </cell>
          <cell r="R1293">
            <v>3049</v>
          </cell>
        </row>
        <row r="1294">
          <cell r="A1294">
            <v>1293</v>
          </cell>
          <cell r="B1294" t="str">
            <v>BVBA VERSTRAETE JOHAN &amp; ANNELIES</v>
          </cell>
          <cell r="C1294" t="str">
            <v>Verstraete Annelies</v>
          </cell>
          <cell r="D1294" t="str">
            <v>Geassocieerd Notaris</v>
          </cell>
          <cell r="E1294" t="str">
            <v>Zwaanaardestraat</v>
          </cell>
          <cell r="F1294" t="str">
            <v>10</v>
          </cell>
          <cell r="G1294" t="str">
            <v/>
          </cell>
          <cell r="H1294" t="str">
            <v>9112</v>
          </cell>
          <cell r="I1294" t="str">
            <v>Oost-Vlaanderen</v>
          </cell>
          <cell r="K1294" t="str">
            <v>Sinaai-Waas</v>
          </cell>
          <cell r="M1294" t="str">
            <v>Vr</v>
          </cell>
          <cell r="O1294" t="str">
            <v>03.722.91.90</v>
          </cell>
          <cell r="P1294" t="str">
            <v>03.772.43.96</v>
          </cell>
          <cell r="Q1294" t="str">
            <v>annelies.verstraete@notaris.be</v>
          </cell>
          <cell r="R1294">
            <v>3646</v>
          </cell>
        </row>
        <row r="1295">
          <cell r="A1295">
            <v>1294</v>
          </cell>
          <cell r="B1295" t="str">
            <v>VERSTRAETE Bernard</v>
          </cell>
          <cell r="C1295" t="str">
            <v>VERSTRAETE Bernard</v>
          </cell>
          <cell r="D1295" t="str">
            <v>Notaris</v>
          </cell>
          <cell r="E1295" t="str">
            <v>Kortrijksestraat</v>
          </cell>
          <cell r="F1295" t="str">
            <v>124</v>
          </cell>
          <cell r="G1295" t="str">
            <v/>
          </cell>
          <cell r="H1295" t="str">
            <v>8520</v>
          </cell>
          <cell r="I1295" t="str">
            <v>West-Vlaanderen</v>
          </cell>
          <cell r="K1295" t="str">
            <v>Kuurne</v>
          </cell>
          <cell r="L1295">
            <v>16108</v>
          </cell>
          <cell r="M1295" t="str">
            <v>M</v>
          </cell>
          <cell r="O1295" t="str">
            <v>056.35.39.00</v>
          </cell>
          <cell r="P1295" t="str">
            <v>056.35.39.29</v>
          </cell>
          <cell r="Q1295" t="str">
            <v>BERNARD.VERSTRAETE@NOTARIS.BE</v>
          </cell>
          <cell r="R1295">
            <v>546</v>
          </cell>
        </row>
        <row r="1296">
          <cell r="A1296">
            <v>1295</v>
          </cell>
          <cell r="B1296" t="str">
            <v>BVBA VERSTRAETE JOHAN &amp; ANNELIES</v>
          </cell>
          <cell r="C1296" t="str">
            <v xml:space="preserve">Verstraete Johan </v>
          </cell>
          <cell r="D1296" t="str">
            <v>Geassocieerd Notaris</v>
          </cell>
          <cell r="E1296" t="str">
            <v>Zwaanaardestraat</v>
          </cell>
          <cell r="F1296" t="str">
            <v>10</v>
          </cell>
          <cell r="G1296" t="str">
            <v/>
          </cell>
          <cell r="H1296" t="str">
            <v>9112</v>
          </cell>
          <cell r="I1296" t="str">
            <v>Oost-Vlaanderen</v>
          </cell>
          <cell r="K1296" t="str">
            <v>Sinaai-Waas</v>
          </cell>
          <cell r="M1296" t="str">
            <v>M</v>
          </cell>
          <cell r="O1296" t="str">
            <v>03.722.91.90</v>
          </cell>
          <cell r="P1296" t="str">
            <v>03.772.43.96</v>
          </cell>
          <cell r="Q1296" t="str">
            <v>JOHAN.VERSTRAETE@NOTARIS.BE</v>
          </cell>
          <cell r="R1296">
            <v>3646</v>
          </cell>
        </row>
        <row r="1297">
          <cell r="A1297">
            <v>1296</v>
          </cell>
          <cell r="B1297" t="str">
            <v>VERSTRAETE Olivier</v>
          </cell>
          <cell r="C1297" t="str">
            <v>VERSTRAETE Olivier</v>
          </cell>
          <cell r="D1297" t="str">
            <v>Notaris</v>
          </cell>
          <cell r="E1297" t="str">
            <v>Boulevard du Souverain</v>
          </cell>
          <cell r="F1297" t="str">
            <v>288</v>
          </cell>
          <cell r="G1297" t="str">
            <v/>
          </cell>
          <cell r="H1297" t="str">
            <v>1160</v>
          </cell>
          <cell r="I1297" t="str">
            <v>Bruxelles</v>
          </cell>
          <cell r="K1297" t="str">
            <v>Bruxelles</v>
          </cell>
          <cell r="M1297" t="str">
            <v>M</v>
          </cell>
          <cell r="O1297" t="str">
            <v>02.672.22.02</v>
          </cell>
          <cell r="P1297" t="str">
            <v>02.672.22.58</v>
          </cell>
          <cell r="Q1297" t="str">
            <v>olivier.verstraete@belnot.be</v>
          </cell>
          <cell r="R1297">
            <v>2655</v>
          </cell>
        </row>
        <row r="1298">
          <cell r="A1298">
            <v>1297</v>
          </cell>
          <cell r="B1298" t="str">
            <v>VERSTRAETE Peter</v>
          </cell>
          <cell r="C1298" t="str">
            <v>VERSTRAETE Peter</v>
          </cell>
          <cell r="D1298" t="str">
            <v>Notaris</v>
          </cell>
          <cell r="E1298" t="str">
            <v>Sint-Amandsstraat</v>
          </cell>
          <cell r="F1298" t="str">
            <v>129</v>
          </cell>
          <cell r="G1298" t="str">
            <v>bus 4</v>
          </cell>
          <cell r="H1298" t="str">
            <v>8800</v>
          </cell>
          <cell r="I1298" t="str">
            <v>West-Vlaanderen</v>
          </cell>
          <cell r="K1298" t="str">
            <v>Roeselare</v>
          </cell>
          <cell r="L1298">
            <v>24129</v>
          </cell>
          <cell r="M1298" t="str">
            <v>M</v>
          </cell>
          <cell r="O1298" t="str">
            <v>051.20.01.52</v>
          </cell>
          <cell r="P1298" t="str">
            <v>051.22.66.33</v>
          </cell>
          <cell r="Q1298" t="str">
            <v>PETER.VERSTRAETE@NOTARIS.BE</v>
          </cell>
          <cell r="R1298">
            <v>3257</v>
          </cell>
        </row>
        <row r="1299">
          <cell r="A1299">
            <v>1298</v>
          </cell>
          <cell r="B1299" t="str">
            <v>VERSTRAETEN Jan</v>
          </cell>
          <cell r="C1299" t="str">
            <v>VERSTRAETEN Jan</v>
          </cell>
          <cell r="D1299" t="str">
            <v>Notaris</v>
          </cell>
          <cell r="E1299" t="str">
            <v>Leegstraat</v>
          </cell>
          <cell r="F1299" t="str">
            <v>25</v>
          </cell>
          <cell r="G1299" t="str">
            <v/>
          </cell>
          <cell r="H1299" t="str">
            <v>9960</v>
          </cell>
          <cell r="I1299" t="str">
            <v>Oost-Vlaanderen</v>
          </cell>
          <cell r="K1299" t="str">
            <v>Assenede</v>
          </cell>
          <cell r="M1299" t="str">
            <v>M</v>
          </cell>
          <cell r="O1299" t="str">
            <v>09.344.52.88</v>
          </cell>
          <cell r="P1299" t="str">
            <v>09.344.99.69</v>
          </cell>
          <cell r="Q1299" t="str">
            <v>JAN.VERSTRAETEN@NOTARIS.BE</v>
          </cell>
          <cell r="R1299">
            <v>3043</v>
          </cell>
        </row>
        <row r="1300">
          <cell r="A1300">
            <v>1299</v>
          </cell>
          <cell r="B1300" t="str">
            <v>Notaris Wim Verstraeten BVBA</v>
          </cell>
          <cell r="C1300" t="str">
            <v>Verstraeten Wim</v>
          </cell>
          <cell r="D1300" t="str">
            <v>Notaris</v>
          </cell>
          <cell r="E1300" t="str">
            <v>Kerkstraat</v>
          </cell>
          <cell r="F1300" t="str">
            <v>78</v>
          </cell>
          <cell r="G1300" t="str">
            <v/>
          </cell>
          <cell r="H1300" t="str">
            <v>9120</v>
          </cell>
          <cell r="I1300" t="str">
            <v>Oost-Vlaanderen</v>
          </cell>
          <cell r="K1300" t="str">
            <v>Vrasene</v>
          </cell>
          <cell r="M1300" t="str">
            <v>M</v>
          </cell>
          <cell r="O1300" t="str">
            <v>03.750.97.50</v>
          </cell>
          <cell r="P1300" t="str">
            <v>03.755.15.53</v>
          </cell>
          <cell r="Q1300" t="str">
            <v>WIM.VERSTRAETEN@NOTARIS.BE</v>
          </cell>
          <cell r="R1300">
            <v>2976</v>
          </cell>
        </row>
        <row r="1301">
          <cell r="A1301">
            <v>1300</v>
          </cell>
          <cell r="B1301" t="str">
            <v>Vertessen Philip</v>
          </cell>
          <cell r="C1301" t="str">
            <v>Vertessen Philip</v>
          </cell>
          <cell r="D1301" t="str">
            <v>Notaris</v>
          </cell>
          <cell r="E1301" t="str">
            <v>Markt</v>
          </cell>
          <cell r="F1301">
            <v>12</v>
          </cell>
          <cell r="H1301">
            <v>3980</v>
          </cell>
          <cell r="I1301" t="str">
            <v>Limburg</v>
          </cell>
          <cell r="K1301" t="str">
            <v>Tessenderlo</v>
          </cell>
          <cell r="M1301" t="str">
            <v>M</v>
          </cell>
          <cell r="O1301" t="str">
            <v>013,67.84.44</v>
          </cell>
          <cell r="P1301" t="str">
            <v>013,67.80.11</v>
          </cell>
          <cell r="Q1301" t="str">
            <v>philip.vertessen@notaris.be</v>
          </cell>
          <cell r="S1301" t="str">
            <v>735-0136961-82</v>
          </cell>
          <cell r="T1301">
            <v>38702</v>
          </cell>
        </row>
        <row r="1302">
          <cell r="A1302">
            <v>1301</v>
          </cell>
          <cell r="B1302" t="str">
            <v>VIAENE Ides</v>
          </cell>
          <cell r="C1302" t="str">
            <v>VIAENE Ides</v>
          </cell>
          <cell r="D1302" t="str">
            <v>Notaris</v>
          </cell>
          <cell r="E1302" t="str">
            <v>H. Horriestraat</v>
          </cell>
          <cell r="F1302" t="str">
            <v>51</v>
          </cell>
          <cell r="G1302" t="str">
            <v/>
          </cell>
          <cell r="H1302" t="str">
            <v>8800</v>
          </cell>
          <cell r="I1302" t="str">
            <v>West-Vlaanderen</v>
          </cell>
          <cell r="K1302" t="str">
            <v>Roeselare</v>
          </cell>
          <cell r="L1302">
            <v>22666</v>
          </cell>
          <cell r="M1302" t="str">
            <v>M</v>
          </cell>
          <cell r="O1302" t="str">
            <v>051.20.04.16</v>
          </cell>
          <cell r="P1302" t="str">
            <v>051.22.91.89</v>
          </cell>
          <cell r="Q1302" t="str">
            <v>IDES.VIAENE@NOTARIS.BE</v>
          </cell>
          <cell r="R1302">
            <v>3369</v>
          </cell>
        </row>
        <row r="1303">
          <cell r="A1303">
            <v>1302</v>
          </cell>
          <cell r="B1303" t="str">
            <v>VIAENE Jean-Marie</v>
          </cell>
          <cell r="C1303" t="str">
            <v>VIAENE Jean-Marie</v>
          </cell>
          <cell r="D1303" t="str">
            <v>Notaris</v>
          </cell>
          <cell r="E1303" t="str">
            <v>Vrouwenstraat</v>
          </cell>
          <cell r="F1303" t="str">
            <v>10</v>
          </cell>
          <cell r="G1303" t="str">
            <v/>
          </cell>
          <cell r="H1303" t="str">
            <v>8700</v>
          </cell>
          <cell r="I1303" t="str">
            <v>West-Vlaanderen</v>
          </cell>
          <cell r="K1303" t="str">
            <v>Aarsele</v>
          </cell>
          <cell r="L1303">
            <v>20125</v>
          </cell>
          <cell r="M1303" t="str">
            <v>M</v>
          </cell>
          <cell r="O1303" t="str">
            <v>051.63.61.07</v>
          </cell>
          <cell r="P1303" t="str">
            <v>051.63.60.75</v>
          </cell>
          <cell r="Q1303" t="str">
            <v>JEANMARIE.VIAENE@NOTARIS.BE</v>
          </cell>
          <cell r="R1303">
            <v>2778</v>
          </cell>
        </row>
        <row r="1304">
          <cell r="A1304">
            <v>1303</v>
          </cell>
          <cell r="B1304" t="str">
            <v>VILAIN Franz</v>
          </cell>
          <cell r="C1304" t="str">
            <v>VILAIN Franz</v>
          </cell>
          <cell r="D1304" t="str">
            <v>Notaris</v>
          </cell>
          <cell r="E1304" t="str">
            <v>Rue de France</v>
          </cell>
          <cell r="F1304" t="str">
            <v>113</v>
          </cell>
          <cell r="G1304" t="str">
            <v/>
          </cell>
          <cell r="H1304" t="str">
            <v>7080</v>
          </cell>
          <cell r="I1304" t="str">
            <v>Hainaut</v>
          </cell>
          <cell r="K1304" t="str">
            <v>Frameries</v>
          </cell>
          <cell r="M1304" t="str">
            <v>M</v>
          </cell>
          <cell r="O1304" t="str">
            <v>065.67.21.78</v>
          </cell>
          <cell r="P1304" t="str">
            <v>065.67.22.65</v>
          </cell>
          <cell r="Q1304" t="str">
            <v>FRANZ.VILAIN@NOTAIRE.BE</v>
          </cell>
          <cell r="R1304">
            <v>1239</v>
          </cell>
        </row>
        <row r="1305">
          <cell r="A1305">
            <v>1304</v>
          </cell>
          <cell r="B1305" t="str">
            <v>VILEYN Jo</v>
          </cell>
          <cell r="C1305" t="str">
            <v>VILEYN Jo</v>
          </cell>
          <cell r="D1305" t="str">
            <v>Notaris</v>
          </cell>
          <cell r="E1305" t="str">
            <v>Kokstraat</v>
          </cell>
          <cell r="F1305" t="str">
            <v>9A</v>
          </cell>
          <cell r="G1305" t="str">
            <v/>
          </cell>
          <cell r="H1305" t="str">
            <v>8620</v>
          </cell>
          <cell r="I1305" t="str">
            <v>West-Vlaanderen</v>
          </cell>
          <cell r="K1305" t="str">
            <v>Nieuwpoort</v>
          </cell>
          <cell r="L1305">
            <v>20979</v>
          </cell>
          <cell r="M1305" t="str">
            <v>M</v>
          </cell>
          <cell r="O1305" t="str">
            <v>058.23.30.60</v>
          </cell>
          <cell r="P1305" t="str">
            <v>058.23.89.61</v>
          </cell>
          <cell r="Q1305" t="str">
            <v>JO.VILEYN@NOTARIS.BE</v>
          </cell>
          <cell r="R1305">
            <v>3182</v>
          </cell>
        </row>
        <row r="1306">
          <cell r="A1306">
            <v>1305</v>
          </cell>
          <cell r="B1306" t="str">
            <v>NOTAIRES DUPONT NERINCX &amp; VINCKE</v>
          </cell>
          <cell r="C1306" t="str">
            <v>Vincke Jean</v>
          </cell>
          <cell r="D1306" t="str">
            <v>Geassocieerd Notaris</v>
          </cell>
          <cell r="E1306" t="str">
            <v>Rue de l´industrie</v>
          </cell>
          <cell r="F1306" t="str">
            <v>24</v>
          </cell>
          <cell r="G1306" t="str">
            <v/>
          </cell>
          <cell r="H1306" t="str">
            <v>1040</v>
          </cell>
          <cell r="I1306" t="str">
            <v>Bruxelles</v>
          </cell>
          <cell r="K1306" t="str">
            <v>Bruxelles</v>
          </cell>
          <cell r="M1306" t="str">
            <v>M</v>
          </cell>
          <cell r="O1306" t="str">
            <v>02.513.89.55</v>
          </cell>
          <cell r="P1306" t="str">
            <v>02.513.97.18</v>
          </cell>
          <cell r="Q1306" t="str">
            <v>JEAN.VINCKE@NOTARIS.BE</v>
          </cell>
          <cell r="R1306">
            <v>3641</v>
          </cell>
        </row>
        <row r="1307">
          <cell r="A1307">
            <v>1306</v>
          </cell>
          <cell r="B1307" t="str">
            <v>VINEL Dominique</v>
          </cell>
          <cell r="C1307" t="str">
            <v>VINEL Dominique</v>
          </cell>
          <cell r="D1307" t="str">
            <v>Notaris</v>
          </cell>
          <cell r="E1307" t="str">
            <v>Avenue des Combattants</v>
          </cell>
          <cell r="F1307" t="str">
            <v>230</v>
          </cell>
          <cell r="G1307" t="str">
            <v/>
          </cell>
          <cell r="H1307" t="str">
            <v>1332</v>
          </cell>
          <cell r="I1307" t="str">
            <v>Brabant Wallon</v>
          </cell>
          <cell r="K1307" t="str">
            <v>Genval</v>
          </cell>
          <cell r="M1307" t="str">
            <v>M</v>
          </cell>
          <cell r="O1307" t="str">
            <v>02.653.65.04</v>
          </cell>
          <cell r="P1307" t="str">
            <v>02.654.14.24</v>
          </cell>
          <cell r="Q1307" t="str">
            <v>DOMINIQUE.VINEL@NOTAIRE.BE</v>
          </cell>
          <cell r="R1307">
            <v>2632</v>
          </cell>
        </row>
        <row r="1308">
          <cell r="A1308">
            <v>1307</v>
          </cell>
          <cell r="B1308" t="str">
            <v>VLAEYMANS Leo &amp; VERDONCK Marc</v>
          </cell>
          <cell r="C1308" t="str">
            <v>Vlaeymans Leo</v>
          </cell>
          <cell r="D1308" t="str">
            <v>Geassocieerd Notaris</v>
          </cell>
          <cell r="E1308" t="str">
            <v>Markt</v>
          </cell>
          <cell r="F1308" t="str">
            <v>26</v>
          </cell>
          <cell r="G1308" t="str">
            <v/>
          </cell>
          <cell r="H1308" t="str">
            <v>2860</v>
          </cell>
          <cell r="I1308" t="str">
            <v>Antwerpen</v>
          </cell>
          <cell r="K1308" t="str">
            <v>Sint-Katelijne-Waver</v>
          </cell>
          <cell r="M1308" t="str">
            <v>M</v>
          </cell>
          <cell r="O1308" t="str">
            <v>015.31.43.31</v>
          </cell>
          <cell r="P1308" t="str">
            <v>015.31.87.80</v>
          </cell>
          <cell r="Q1308" t="str">
            <v>LEO.VLAEYMANS@NOTARIS.BE</v>
          </cell>
          <cell r="R1308">
            <v>3276</v>
          </cell>
        </row>
        <row r="1309">
          <cell r="A1309">
            <v>1308</v>
          </cell>
          <cell r="B1309" t="str">
            <v>bvba Notaris Francis Vlegels</v>
          </cell>
          <cell r="C1309" t="str">
            <v>Vlegels Francis</v>
          </cell>
          <cell r="D1309" t="str">
            <v>Notaris</v>
          </cell>
          <cell r="E1309" t="str">
            <v>Meulebekestraat</v>
          </cell>
          <cell r="F1309" t="str">
            <v>3</v>
          </cell>
          <cell r="G1309" t="str">
            <v/>
          </cell>
          <cell r="H1309" t="str">
            <v>8770</v>
          </cell>
          <cell r="I1309" t="str">
            <v>West-Vlaanderen</v>
          </cell>
          <cell r="K1309" t="str">
            <v>Ingelmunster</v>
          </cell>
          <cell r="L1309">
            <v>19316</v>
          </cell>
          <cell r="M1309" t="str">
            <v>M</v>
          </cell>
          <cell r="O1309" t="str">
            <v>051.31.89.01</v>
          </cell>
          <cell r="P1309" t="str">
            <v>051.31.42.85</v>
          </cell>
          <cell r="Q1309" t="str">
            <v>FRANCIS.VLEGELS@NOTARIS.BE</v>
          </cell>
          <cell r="R1309">
            <v>2885</v>
          </cell>
        </row>
        <row r="1310">
          <cell r="A1310">
            <v>1309</v>
          </cell>
          <cell r="B1310" t="str">
            <v>VOETEN Ingrid</v>
          </cell>
          <cell r="C1310" t="str">
            <v>VOETEN Ingrid</v>
          </cell>
          <cell r="D1310" t="str">
            <v>Notaris</v>
          </cell>
          <cell r="E1310" t="str">
            <v>Schoolstraat</v>
          </cell>
          <cell r="F1310" t="str">
            <v>13</v>
          </cell>
          <cell r="G1310" t="str">
            <v/>
          </cell>
          <cell r="H1310" t="str">
            <v>2460</v>
          </cell>
          <cell r="I1310" t="str">
            <v>Antwerpen</v>
          </cell>
          <cell r="K1310" t="str">
            <v>Lichtaart</v>
          </cell>
          <cell r="M1310" t="str">
            <v>Vr</v>
          </cell>
          <cell r="O1310" t="str">
            <v>014.55.64.11</v>
          </cell>
          <cell r="P1310" t="str">
            <v>014.55.46.25</v>
          </cell>
          <cell r="Q1310" t="str">
            <v>INGRID.VOETEN@NOTARIS.BE</v>
          </cell>
          <cell r="R1310">
            <v>3552</v>
          </cell>
        </row>
        <row r="1311">
          <cell r="A1311">
            <v>1310</v>
          </cell>
          <cell r="B1311" t="str">
            <v>VOETS Xavier</v>
          </cell>
          <cell r="C1311" t="str">
            <v>VOETS Xavier</v>
          </cell>
          <cell r="D1311" t="str">
            <v>Notaris</v>
          </cell>
          <cell r="E1311" t="str">
            <v>Stationlaan</v>
          </cell>
          <cell r="F1311" t="str">
            <v>36</v>
          </cell>
          <cell r="G1311" t="str">
            <v/>
          </cell>
          <cell r="H1311" t="str">
            <v>3740</v>
          </cell>
          <cell r="I1311" t="str">
            <v>Limburg</v>
          </cell>
          <cell r="K1311" t="str">
            <v>Bilzen</v>
          </cell>
          <cell r="M1311" t="str">
            <v>M</v>
          </cell>
          <cell r="O1311" t="str">
            <v>089.51.08.60</v>
          </cell>
          <cell r="P1311" t="str">
            <v>089.51.08.69</v>
          </cell>
          <cell r="Q1311" t="str">
            <v>xavier.voets@belnot.be</v>
          </cell>
          <cell r="R1311">
            <v>3337</v>
          </cell>
          <cell r="S1311" t="str">
            <v>001-0650102-84</v>
          </cell>
        </row>
        <row r="1312">
          <cell r="A1312">
            <v>1311</v>
          </cell>
          <cell r="B1312" t="str">
            <v>Dominique Voisin Notaire SC SPRL</v>
          </cell>
          <cell r="C1312" t="str">
            <v>Voisin Dominique</v>
          </cell>
          <cell r="D1312" t="str">
            <v>Notaris</v>
          </cell>
          <cell r="E1312" t="str">
            <v>Avenue de la Résistance</v>
          </cell>
          <cell r="F1312" t="str">
            <v>93</v>
          </cell>
          <cell r="G1312" t="str">
            <v/>
          </cell>
          <cell r="H1312" t="str">
            <v>4630</v>
          </cell>
          <cell r="I1312" t="str">
            <v>Liège</v>
          </cell>
          <cell r="K1312" t="str">
            <v>Soumagne</v>
          </cell>
          <cell r="M1312" t="str">
            <v>M</v>
          </cell>
          <cell r="O1312" t="str">
            <v>04.377.11.31</v>
          </cell>
          <cell r="P1312" t="str">
            <v>04.377.15.16</v>
          </cell>
          <cell r="Q1312" t="str">
            <v>DOMINIQUE.VOISIN@NOTAIRE.BE</v>
          </cell>
          <cell r="R1312">
            <v>1144</v>
          </cell>
        </row>
        <row r="1313">
          <cell r="A1313">
            <v>1312</v>
          </cell>
          <cell r="B1313" t="str">
            <v>S.P.R.L. Emmanuel Voisin Notaire</v>
          </cell>
          <cell r="C1313" t="str">
            <v>Voisin Emmanuel</v>
          </cell>
          <cell r="D1313" t="str">
            <v>Notaris</v>
          </cell>
          <cell r="E1313" t="str">
            <v>Rue Pisseroule</v>
          </cell>
          <cell r="F1313" t="str">
            <v>275-277</v>
          </cell>
          <cell r="G1313" t="str">
            <v/>
          </cell>
          <cell r="H1313" t="str">
            <v>4820</v>
          </cell>
          <cell r="I1313" t="str">
            <v>Liège</v>
          </cell>
          <cell r="K1313" t="str">
            <v>Dison</v>
          </cell>
          <cell r="M1313" t="str">
            <v>M</v>
          </cell>
          <cell r="O1313" t="str">
            <v>087.33.12.56</v>
          </cell>
          <cell r="P1313" t="str">
            <v>087.31.24.50</v>
          </cell>
          <cell r="Q1313" t="str">
            <v>EMMANUEL.VOISIN@NOTAIRE.BE</v>
          </cell>
          <cell r="R1313">
            <v>2523</v>
          </cell>
        </row>
        <row r="1314">
          <cell r="A1314">
            <v>1313</v>
          </cell>
          <cell r="B1314" t="str">
            <v>Notaris Ivo Vrancken bvba</v>
          </cell>
          <cell r="C1314" t="str">
            <v>Vrancken Ivo</v>
          </cell>
          <cell r="D1314" t="str">
            <v>Notaris</v>
          </cell>
          <cell r="E1314" t="str">
            <v>Grotestraat</v>
          </cell>
          <cell r="F1314" t="str">
            <v>124</v>
          </cell>
          <cell r="G1314" t="str">
            <v/>
          </cell>
          <cell r="H1314" t="str">
            <v>3600</v>
          </cell>
          <cell r="I1314" t="str">
            <v>Limburg</v>
          </cell>
          <cell r="K1314" t="str">
            <v>Genk</v>
          </cell>
          <cell r="M1314" t="str">
            <v>M</v>
          </cell>
          <cell r="O1314" t="str">
            <v>089.51.83.51</v>
          </cell>
          <cell r="P1314" t="str">
            <v>089.51.83.52</v>
          </cell>
          <cell r="Q1314" t="str">
            <v>IVO.VRANCKEN@NOTARIS.BE</v>
          </cell>
          <cell r="R1314">
            <v>3157</v>
          </cell>
          <cell r="S1314" t="str">
            <v>453-0258521-09</v>
          </cell>
        </row>
        <row r="1315">
          <cell r="A1315">
            <v>1314</v>
          </cell>
          <cell r="B1315" t="str">
            <v>VREVEN Raoul</v>
          </cell>
          <cell r="C1315" t="str">
            <v>VREVEN Raoul</v>
          </cell>
          <cell r="D1315" t="str">
            <v>Notaris</v>
          </cell>
          <cell r="E1315" t="str">
            <v>Schepen Dejonghstraat</v>
          </cell>
          <cell r="F1315" t="str">
            <v>14</v>
          </cell>
          <cell r="G1315" t="str">
            <v/>
          </cell>
          <cell r="H1315" t="str">
            <v>3800</v>
          </cell>
          <cell r="I1315" t="str">
            <v>Limburg</v>
          </cell>
          <cell r="K1315" t="str">
            <v>Sint-Truiden</v>
          </cell>
          <cell r="M1315" t="str">
            <v>M</v>
          </cell>
          <cell r="O1315" t="str">
            <v>011.68.22.54</v>
          </cell>
          <cell r="P1315" t="str">
            <v>011.69.16.20</v>
          </cell>
          <cell r="Q1315" t="str">
            <v>RAOUL.VREVEN@NOTARIS.BE</v>
          </cell>
          <cell r="R1315">
            <v>3449</v>
          </cell>
        </row>
        <row r="1316">
          <cell r="A1316">
            <v>1315</v>
          </cell>
          <cell r="B1316" t="str">
            <v>Vreven Simon</v>
          </cell>
          <cell r="C1316" t="str">
            <v>Vreven Simon</v>
          </cell>
          <cell r="D1316" t="str">
            <v>Notaris</v>
          </cell>
          <cell r="E1316" t="str">
            <v>Dorpsstraat</v>
          </cell>
          <cell r="F1316" t="str">
            <v>54/3</v>
          </cell>
          <cell r="G1316" t="str">
            <v/>
          </cell>
          <cell r="H1316" t="str">
            <v>3730</v>
          </cell>
          <cell r="I1316" t="str">
            <v>Limburg</v>
          </cell>
          <cell r="K1316" t="str">
            <v>Hoeselt</v>
          </cell>
          <cell r="M1316" t="str">
            <v>M</v>
          </cell>
          <cell r="O1316" t="str">
            <v>089.41.12.11</v>
          </cell>
          <cell r="P1316" t="str">
            <v>089.41.72.29</v>
          </cell>
          <cell r="Q1316" t="str">
            <v>simon.vreven@notaris.be</v>
          </cell>
          <cell r="S1316" t="str">
            <v>735-0100382-72</v>
          </cell>
          <cell r="T1316">
            <v>38089</v>
          </cell>
        </row>
        <row r="1317">
          <cell r="A1317">
            <v>1316</v>
          </cell>
          <cell r="B1317" t="str">
            <v>VRONINKS Michel</v>
          </cell>
          <cell r="C1317" t="str">
            <v>VRONINKS Michel</v>
          </cell>
          <cell r="D1317" t="str">
            <v>Notaris</v>
          </cell>
          <cell r="E1317" t="str">
            <v>Meulenven</v>
          </cell>
          <cell r="F1317" t="str">
            <v>15</v>
          </cell>
          <cell r="G1317" t="str">
            <v/>
          </cell>
          <cell r="H1317" t="str">
            <v>3945</v>
          </cell>
          <cell r="I1317" t="str">
            <v>Limburg</v>
          </cell>
          <cell r="K1317" t="str">
            <v>Ham</v>
          </cell>
          <cell r="M1317" t="str">
            <v>M</v>
          </cell>
          <cell r="O1317" t="str">
            <v>013.61.07.20</v>
          </cell>
          <cell r="P1317" t="str">
            <v>013.61.07.21</v>
          </cell>
          <cell r="Q1317" t="str">
            <v>MICHEL.VRONINKS@NOTARIS.BE</v>
          </cell>
          <cell r="R1317">
            <v>1340</v>
          </cell>
        </row>
        <row r="1318">
          <cell r="A1318">
            <v>1317</v>
          </cell>
          <cell r="B1318" t="str">
            <v>VAN LAETHEM &amp; VRONINKS</v>
          </cell>
          <cell r="C1318" t="str">
            <v>Vroninks Vincent</v>
          </cell>
          <cell r="D1318" t="str">
            <v>Geassocieerd Notaris</v>
          </cell>
          <cell r="E1318" t="str">
            <v>rue Capitaine Crespelstraat</v>
          </cell>
          <cell r="F1318" t="str">
            <v>16</v>
          </cell>
          <cell r="G1318" t="str">
            <v/>
          </cell>
          <cell r="H1318" t="str">
            <v>1050</v>
          </cell>
          <cell r="I1318" t="str">
            <v>Bruxelles</v>
          </cell>
          <cell r="K1318" t="str">
            <v>Bruxelles</v>
          </cell>
          <cell r="M1318" t="str">
            <v>M</v>
          </cell>
          <cell r="O1318" t="str">
            <v>02.513.75.74</v>
          </cell>
          <cell r="P1318" t="str">
            <v>02.512.43.87</v>
          </cell>
          <cell r="Q1318" t="str">
            <v>VINCENT.VRONINKS@NOTARIS.BE</v>
          </cell>
          <cell r="R1318">
            <v>3558</v>
          </cell>
        </row>
        <row r="1319">
          <cell r="A1319">
            <v>1318</v>
          </cell>
          <cell r="B1319" t="str">
            <v>VUYLSTEKE Bram</v>
          </cell>
          <cell r="C1319" t="str">
            <v>VUYLSTEKE Bram</v>
          </cell>
          <cell r="D1319" t="str">
            <v>Notaris</v>
          </cell>
          <cell r="E1319" t="str">
            <v>Op de Dries</v>
          </cell>
          <cell r="F1319" t="str">
            <v>4</v>
          </cell>
          <cell r="G1319" t="str">
            <v/>
          </cell>
          <cell r="H1319" t="str">
            <v>3770</v>
          </cell>
          <cell r="I1319" t="str">
            <v>Limburg</v>
          </cell>
          <cell r="K1319" t="str">
            <v>Zichen-Zussen-Bolder</v>
          </cell>
          <cell r="M1319" t="str">
            <v>M</v>
          </cell>
          <cell r="O1319" t="str">
            <v>012.44.01.44</v>
          </cell>
          <cell r="P1319" t="str">
            <v>012.45.61.74</v>
          </cell>
          <cell r="Q1319" t="str">
            <v>bram.vuylsteke@notaris.be</v>
          </cell>
          <cell r="R1319">
            <v>1213</v>
          </cell>
          <cell r="T1319">
            <v>38243</v>
          </cell>
        </row>
        <row r="1320">
          <cell r="A1320">
            <v>1319</v>
          </cell>
          <cell r="B1320" t="str">
            <v>WACQUEZ Caroline</v>
          </cell>
          <cell r="C1320" t="str">
            <v>WACQUEZ Caroline</v>
          </cell>
          <cell r="D1320" t="str">
            <v>Notaris</v>
          </cell>
          <cell r="E1320" t="str">
            <v>Avenue Henri Paris</v>
          </cell>
          <cell r="F1320" t="str">
            <v>12</v>
          </cell>
          <cell r="G1320" t="str">
            <v/>
          </cell>
          <cell r="H1320" t="str">
            <v>7500</v>
          </cell>
          <cell r="I1320" t="str">
            <v>Hainaut</v>
          </cell>
          <cell r="K1320" t="str">
            <v>Tournai</v>
          </cell>
          <cell r="M1320" t="str">
            <v>Vr</v>
          </cell>
          <cell r="O1320" t="str">
            <v>069.22.35.35</v>
          </cell>
          <cell r="P1320" t="str">
            <v>069.84.56.35</v>
          </cell>
          <cell r="Q1320" t="str">
            <v>CAROLINE.WACQUEZ@NOTAIRE.BE</v>
          </cell>
          <cell r="R1320">
            <v>3387</v>
          </cell>
        </row>
        <row r="1321">
          <cell r="A1321">
            <v>1320</v>
          </cell>
          <cell r="B1321" t="str">
            <v>WAGEMANS Eric</v>
          </cell>
          <cell r="C1321" t="str">
            <v>WAGEMANS Eric</v>
          </cell>
          <cell r="D1321" t="str">
            <v>Notaris</v>
          </cell>
          <cell r="E1321" t="str">
            <v>rue de Suisse / Zwitserlandstraat</v>
          </cell>
          <cell r="F1321" t="str">
            <v>35</v>
          </cell>
          <cell r="G1321" t="str">
            <v/>
          </cell>
          <cell r="H1321" t="str">
            <v>1060</v>
          </cell>
          <cell r="I1321" t="str">
            <v>Bruxelles</v>
          </cell>
          <cell r="K1321" t="str">
            <v>Bruxelles</v>
          </cell>
          <cell r="M1321" t="str">
            <v>M</v>
          </cell>
          <cell r="O1321" t="str">
            <v>02.538.14.42</v>
          </cell>
          <cell r="P1321" t="str">
            <v>02.539.42.57</v>
          </cell>
          <cell r="Q1321" t="str">
            <v>ERIC.WAGEMANS@NOTAIRE.BE</v>
          </cell>
          <cell r="R1321">
            <v>2646</v>
          </cell>
        </row>
        <row r="1322">
          <cell r="A1322">
            <v>1321</v>
          </cell>
          <cell r="B1322" t="str">
            <v>JANSEN &amp; WALLAYS BVBA</v>
          </cell>
          <cell r="C1322" t="str">
            <v>Wallays Ann</v>
          </cell>
          <cell r="D1322" t="str">
            <v>Geassocieerd Notaris</v>
          </cell>
          <cell r="E1322" t="str">
            <v>Vaartstraat</v>
          </cell>
          <cell r="F1322" t="str">
            <v>59</v>
          </cell>
          <cell r="G1322" t="str">
            <v>bus 1</v>
          </cell>
          <cell r="H1322" t="str">
            <v>3000</v>
          </cell>
          <cell r="I1322" t="str">
            <v>Vlaams Brabant</v>
          </cell>
          <cell r="K1322" t="str">
            <v>Leuven</v>
          </cell>
          <cell r="M1322" t="str">
            <v>Vr</v>
          </cell>
          <cell r="O1322" t="str">
            <v>016.22.18.47</v>
          </cell>
          <cell r="P1322" t="str">
            <v>016.22.39.06</v>
          </cell>
          <cell r="Q1322" t="str">
            <v>ann.wallays@notaris.be</v>
          </cell>
          <cell r="R1322">
            <v>3503</v>
          </cell>
        </row>
        <row r="1323">
          <cell r="A1323">
            <v>1322</v>
          </cell>
          <cell r="B1323" t="str">
            <v>WALRAEVENS Guy</v>
          </cell>
          <cell r="C1323" t="str">
            <v>WALRAEVENS Guy</v>
          </cell>
          <cell r="D1323" t="str">
            <v>Notaris</v>
          </cell>
          <cell r="E1323" t="str">
            <v>Groenlaan</v>
          </cell>
          <cell r="F1323" t="str">
            <v>67</v>
          </cell>
          <cell r="G1323" t="str">
            <v/>
          </cell>
          <cell r="H1323" t="str">
            <v>9550</v>
          </cell>
          <cell r="I1323" t="str">
            <v>Oost-Vlaanderen</v>
          </cell>
          <cell r="K1323" t="str">
            <v>Herzele</v>
          </cell>
          <cell r="M1323" t="str">
            <v>M</v>
          </cell>
          <cell r="O1323" t="str">
            <v>053.62.32.55</v>
          </cell>
          <cell r="P1323" t="str">
            <v>053.62.40.54</v>
          </cell>
          <cell r="Q1323" t="str">
            <v>GUY.WALRAEVENS@NOTARIS.BE</v>
          </cell>
          <cell r="R1323">
            <v>3281</v>
          </cell>
        </row>
        <row r="1324">
          <cell r="A1324">
            <v>1323</v>
          </cell>
          <cell r="B1324" t="str">
            <v>WILLY WALRAVENS &amp; CARINE WALRAVENS</v>
          </cell>
          <cell r="C1324" t="str">
            <v>Walravens Carine</v>
          </cell>
          <cell r="D1324" t="str">
            <v>Geassocieerd Notaris</v>
          </cell>
          <cell r="E1324" t="str">
            <v>Ninoofsesteenweg</v>
          </cell>
          <cell r="F1324" t="str">
            <v>927</v>
          </cell>
          <cell r="G1324" t="str">
            <v/>
          </cell>
          <cell r="H1324" t="str">
            <v>1703</v>
          </cell>
          <cell r="I1324" t="str">
            <v>Vlaams Brabant</v>
          </cell>
          <cell r="K1324" t="str">
            <v>Schepdaal</v>
          </cell>
          <cell r="M1324" t="str">
            <v>Vr</v>
          </cell>
          <cell r="O1324" t="str">
            <v>02.569.22.16</v>
          </cell>
          <cell r="P1324" t="str">
            <v>02.569.07.06</v>
          </cell>
          <cell r="Q1324" t="str">
            <v>carine.walravens@notaris.be</v>
          </cell>
          <cell r="R1324">
            <v>3597</v>
          </cell>
        </row>
        <row r="1325">
          <cell r="A1325">
            <v>1324</v>
          </cell>
          <cell r="B1325" t="str">
            <v>WILLY WALRAVENS &amp; CARINE WALRAVENS</v>
          </cell>
          <cell r="C1325" t="str">
            <v>Walravens Willy</v>
          </cell>
          <cell r="D1325" t="str">
            <v>Geassocieerd Notaris</v>
          </cell>
          <cell r="E1325" t="str">
            <v>Ninoofsesteenweg</v>
          </cell>
          <cell r="F1325" t="str">
            <v>927</v>
          </cell>
          <cell r="G1325" t="str">
            <v/>
          </cell>
          <cell r="H1325" t="str">
            <v>1703</v>
          </cell>
          <cell r="I1325" t="str">
            <v>Vlaams Brabant</v>
          </cell>
          <cell r="K1325" t="str">
            <v>Schepdaal</v>
          </cell>
          <cell r="M1325" t="str">
            <v>M</v>
          </cell>
          <cell r="O1325" t="str">
            <v>02.569.22.16</v>
          </cell>
          <cell r="P1325" t="str">
            <v>02.569.07.06</v>
          </cell>
          <cell r="Q1325" t="str">
            <v>WILLY.WALRAVENS@NOTARIS.BE</v>
          </cell>
          <cell r="R1325">
            <v>3597</v>
          </cell>
        </row>
        <row r="1326">
          <cell r="A1326">
            <v>1325</v>
          </cell>
          <cell r="B1326" t="str">
            <v>NASSEAUX GUY &amp; WATERKEYN OLIVIER</v>
          </cell>
          <cell r="C1326" t="str">
            <v>Waterkeyn Olivier</v>
          </cell>
          <cell r="D1326" t="str">
            <v>Geassocieerd Notaris</v>
          </cell>
          <cell r="E1326" t="str">
            <v>Chaussée de Bruxelles</v>
          </cell>
          <cell r="F1326" t="str">
            <v>109</v>
          </cell>
          <cell r="G1326" t="str">
            <v/>
          </cell>
          <cell r="H1326" t="str">
            <v>1410</v>
          </cell>
          <cell r="I1326" t="str">
            <v>Brabant Wallon</v>
          </cell>
          <cell r="K1326" t="str">
            <v>Waterloo</v>
          </cell>
          <cell r="M1326" t="str">
            <v>M</v>
          </cell>
          <cell r="O1326" t="str">
            <v>02.354.03.00</v>
          </cell>
          <cell r="P1326" t="str">
            <v>02.354.47.52</v>
          </cell>
          <cell r="Q1326" t="str">
            <v>olivier.waterkeyn@belnot.be</v>
          </cell>
          <cell r="R1326">
            <v>3643</v>
          </cell>
        </row>
        <row r="1327">
          <cell r="A1327">
            <v>1326</v>
          </cell>
          <cell r="B1327" t="str">
            <v>WATHELET Jacques</v>
          </cell>
          <cell r="C1327" t="str">
            <v>WATHELET Jacques</v>
          </cell>
          <cell r="D1327" t="str">
            <v>Notaris</v>
          </cell>
          <cell r="E1327" t="str">
            <v>rue Saint Roch</v>
          </cell>
          <cell r="F1327" t="str">
            <v>28</v>
          </cell>
          <cell r="G1327" t="str">
            <v/>
          </cell>
          <cell r="H1327" t="str">
            <v>1300</v>
          </cell>
          <cell r="I1327" t="str">
            <v>Brabant Wallon</v>
          </cell>
          <cell r="K1327" t="str">
            <v>Wavre</v>
          </cell>
          <cell r="M1327" t="str">
            <v>M</v>
          </cell>
          <cell r="O1327" t="str">
            <v>010.22.21.55</v>
          </cell>
          <cell r="P1327" t="str">
            <v>010.24.12.83</v>
          </cell>
          <cell r="Q1327" t="str">
            <v>JACQUES.WATHELET@NOTAIRE.BE</v>
          </cell>
          <cell r="R1327">
            <v>3299</v>
          </cell>
        </row>
        <row r="1328">
          <cell r="A1328">
            <v>1327</v>
          </cell>
          <cell r="B1328" t="str">
            <v>STEPHANE WATILLON &amp; PIERRE HAMES</v>
          </cell>
          <cell r="C1328" t="str">
            <v>Watillon Stephane</v>
          </cell>
          <cell r="D1328" t="str">
            <v>Geassocieerd Notaris</v>
          </cell>
          <cell r="E1328" t="str">
            <v>Joseph Saintraint</v>
          </cell>
          <cell r="F1328" t="str">
            <v>8</v>
          </cell>
          <cell r="G1328" t="str">
            <v/>
          </cell>
          <cell r="H1328" t="str">
            <v>5000</v>
          </cell>
          <cell r="I1328" t="str">
            <v>Namur</v>
          </cell>
          <cell r="K1328" t="str">
            <v>Namur</v>
          </cell>
          <cell r="M1328" t="str">
            <v>M</v>
          </cell>
          <cell r="O1328" t="str">
            <v>081/22.91.23</v>
          </cell>
          <cell r="P1328" t="str">
            <v>081/23.06.72</v>
          </cell>
          <cell r="Q1328" t="str">
            <v>STEPHANE.WATILLON@NOTAIRE.BE</v>
          </cell>
          <cell r="R1328">
            <v>3653</v>
          </cell>
        </row>
        <row r="1329">
          <cell r="A1329">
            <v>1328</v>
          </cell>
          <cell r="B1329" t="str">
            <v>WAUTERS Bernard</v>
          </cell>
          <cell r="C1329" t="str">
            <v>WAUTERS Bernard</v>
          </cell>
          <cell r="D1329" t="str">
            <v>Notaris</v>
          </cell>
          <cell r="E1329" t="str">
            <v>Bossuytlaan</v>
          </cell>
          <cell r="F1329">
            <v>22</v>
          </cell>
          <cell r="G1329" t="str">
            <v/>
          </cell>
          <cell r="H1329" t="str">
            <v>8310</v>
          </cell>
          <cell r="I1329" t="str">
            <v>West-Vlaanderen</v>
          </cell>
          <cell r="K1329" t="str">
            <v>Brugge Assebroek)</v>
          </cell>
          <cell r="L1329">
            <v>25757</v>
          </cell>
          <cell r="M1329" t="str">
            <v>M</v>
          </cell>
          <cell r="O1329" t="str">
            <v>050.35.15.41</v>
          </cell>
          <cell r="P1329" t="str">
            <v>050.37.20.84</v>
          </cell>
          <cell r="Q1329" t="str">
            <v>BERNARD.WAUTERS@NOTARIS.BE</v>
          </cell>
          <cell r="R1329">
            <v>3562</v>
          </cell>
          <cell r="S1329" t="str">
            <v>738-0077777-05</v>
          </cell>
        </row>
        <row r="1330">
          <cell r="A1330">
            <v>1329</v>
          </cell>
          <cell r="B1330" t="str">
            <v>WAUTERS Charles</v>
          </cell>
          <cell r="C1330" t="str">
            <v>WAUTERS Charles</v>
          </cell>
          <cell r="D1330" t="str">
            <v>Notaris</v>
          </cell>
          <cell r="E1330" t="str">
            <v>Chemin des Dames</v>
          </cell>
          <cell r="F1330" t="str">
            <v>15</v>
          </cell>
          <cell r="G1330" t="str">
            <v/>
          </cell>
          <cell r="H1330" t="str">
            <v>4280</v>
          </cell>
          <cell r="I1330" t="str">
            <v>Liège</v>
          </cell>
          <cell r="K1330" t="str">
            <v>Hannut</v>
          </cell>
          <cell r="M1330" t="str">
            <v>M</v>
          </cell>
          <cell r="O1330" t="str">
            <v>019.51.13.06</v>
          </cell>
          <cell r="P1330" t="str">
            <v>019.51.35.13</v>
          </cell>
          <cell r="Q1330" t="str">
            <v>CHARLES.WAUTERS@NOTAIRE.BE</v>
          </cell>
          <cell r="R1330">
            <v>2789</v>
          </cell>
        </row>
        <row r="1331">
          <cell r="A1331">
            <v>1330</v>
          </cell>
          <cell r="B1331" t="str">
            <v>WAUTHIER Marc</v>
          </cell>
          <cell r="C1331" t="str">
            <v>WAUTHIER Marc</v>
          </cell>
          <cell r="D1331" t="str">
            <v>Notaris</v>
          </cell>
          <cell r="E1331" t="str">
            <v>Rue Lambert Le bègue</v>
          </cell>
          <cell r="F1331" t="str">
            <v>32</v>
          </cell>
          <cell r="G1331" t="str">
            <v xml:space="preserve"> </v>
          </cell>
          <cell r="H1331" t="str">
            <v>4000</v>
          </cell>
          <cell r="I1331" t="str">
            <v>Liège</v>
          </cell>
          <cell r="K1331" t="str">
            <v>Liège</v>
          </cell>
          <cell r="M1331" t="str">
            <v>M</v>
          </cell>
          <cell r="O1331" t="str">
            <v>04.223.09.32</v>
          </cell>
          <cell r="P1331" t="str">
            <v>04.223.20.04</v>
          </cell>
          <cell r="Q1331" t="str">
            <v>MARC.WAUTHIER@NOTAIRE.BE</v>
          </cell>
          <cell r="R1331">
            <v>3202</v>
          </cell>
        </row>
        <row r="1332">
          <cell r="A1332">
            <v>1331</v>
          </cell>
          <cell r="B1332" t="str">
            <v>WEGGE Michel</v>
          </cell>
          <cell r="C1332" t="str">
            <v>WEGGE Michel</v>
          </cell>
          <cell r="D1332" t="str">
            <v>Notaris</v>
          </cell>
          <cell r="E1332" t="str">
            <v>Jozef Reusenslei</v>
          </cell>
          <cell r="F1332" t="str">
            <v>104</v>
          </cell>
          <cell r="G1332" t="str">
            <v/>
          </cell>
          <cell r="H1332" t="str">
            <v>2150</v>
          </cell>
          <cell r="I1332" t="str">
            <v>Antwerpen</v>
          </cell>
          <cell r="K1332" t="str">
            <v>Borsbeek Antwerpen)</v>
          </cell>
          <cell r="M1332" t="str">
            <v>M</v>
          </cell>
          <cell r="O1332" t="str">
            <v>03.321.89.08</v>
          </cell>
          <cell r="P1332" t="str">
            <v>03.321.64.64</v>
          </cell>
          <cell r="Q1332" t="str">
            <v>MICHEL.WEGGE@NOTARIS.BE</v>
          </cell>
          <cell r="R1332">
            <v>2769</v>
          </cell>
        </row>
        <row r="1333">
          <cell r="A1333">
            <v>1332</v>
          </cell>
          <cell r="B1333" t="str">
            <v>WELLEKENS Olivia</v>
          </cell>
          <cell r="C1333" t="str">
            <v>WELLEKENS Olivia</v>
          </cell>
          <cell r="D1333" t="str">
            <v>Notaris</v>
          </cell>
          <cell r="E1333" t="str">
            <v>Bollandusstraat</v>
          </cell>
          <cell r="F1333" t="str">
            <v>1</v>
          </cell>
          <cell r="G1333" t="str">
            <v/>
          </cell>
          <cell r="H1333" t="str">
            <v>2000</v>
          </cell>
          <cell r="I1333" t="str">
            <v>Antwerpen</v>
          </cell>
          <cell r="K1333" t="str">
            <v>Antwerpen</v>
          </cell>
          <cell r="M1333" t="str">
            <v>Vr</v>
          </cell>
          <cell r="O1333" t="str">
            <v>03.232.30.58</v>
          </cell>
          <cell r="P1333" t="str">
            <v>03.233.40.61</v>
          </cell>
          <cell r="Q1333" t="str">
            <v>OLIVIA.WELLEKENS@NOTARIS.BE</v>
          </cell>
          <cell r="R1333">
            <v>2750</v>
          </cell>
        </row>
        <row r="1334">
          <cell r="A1334">
            <v>1333</v>
          </cell>
          <cell r="B1334" t="str">
            <v>TOBBACK WELLEKENS en ROOMS</v>
          </cell>
          <cell r="C1334" t="str">
            <v xml:space="preserve">Wellekens Steve </v>
          </cell>
          <cell r="D1334" t="str">
            <v>Geassocieerd Notaris</v>
          </cell>
          <cell r="E1334" t="str">
            <v>H. Spillemaeckersstraat</v>
          </cell>
          <cell r="F1334" t="str">
            <v>50</v>
          </cell>
          <cell r="G1334" t="str">
            <v/>
          </cell>
          <cell r="H1334" t="str">
            <v>2850</v>
          </cell>
          <cell r="I1334" t="str">
            <v>Antwerpen</v>
          </cell>
          <cell r="K1334" t="str">
            <v>Boom</v>
          </cell>
          <cell r="M1334" t="str">
            <v>M</v>
          </cell>
          <cell r="O1334" t="str">
            <v>03.888.02.05</v>
          </cell>
          <cell r="P1334" t="str">
            <v>03.844.46.79</v>
          </cell>
          <cell r="Q1334" t="str">
            <v>steve.wellekens@belnot.be</v>
          </cell>
          <cell r="R1334">
            <v>3483</v>
          </cell>
        </row>
        <row r="1335">
          <cell r="A1335">
            <v>1334</v>
          </cell>
          <cell r="B1335" t="str">
            <v>MARCEL WELLENS &amp; PAUL WELLENS</v>
          </cell>
          <cell r="C1335" t="str">
            <v>Wellens Marcel</v>
          </cell>
          <cell r="D1335" t="str">
            <v>Geassocieerd Notaris</v>
          </cell>
          <cell r="E1335" t="str">
            <v>Eggestraat</v>
          </cell>
          <cell r="F1335" t="str">
            <v>28</v>
          </cell>
          <cell r="G1335" t="str">
            <v/>
          </cell>
          <cell r="H1335" t="str">
            <v>2640</v>
          </cell>
          <cell r="I1335" t="str">
            <v>Antwerpen</v>
          </cell>
          <cell r="K1335" t="str">
            <v>Mortsel</v>
          </cell>
          <cell r="M1335" t="str">
            <v>M</v>
          </cell>
          <cell r="O1335" t="str">
            <v>03.449.99.17</v>
          </cell>
          <cell r="P1335" t="str">
            <v>03.440.80.22</v>
          </cell>
          <cell r="Q1335" t="str">
            <v>MARCEL.WELLENS@NOTARIS.BE</v>
          </cell>
          <cell r="R1335">
            <v>3556</v>
          </cell>
        </row>
        <row r="1336">
          <cell r="A1336">
            <v>1335</v>
          </cell>
          <cell r="B1336" t="str">
            <v>MARCEL WELLENS &amp; PAUL WELLENS</v>
          </cell>
          <cell r="C1336" t="str">
            <v>Wellens Paul</v>
          </cell>
          <cell r="D1336" t="str">
            <v>Geassocieerd Notaris</v>
          </cell>
          <cell r="E1336" t="str">
            <v>Eggestraat</v>
          </cell>
          <cell r="F1336" t="str">
            <v>28</v>
          </cell>
          <cell r="G1336" t="str">
            <v/>
          </cell>
          <cell r="H1336" t="str">
            <v>2640</v>
          </cell>
          <cell r="I1336" t="str">
            <v>Antwerpen</v>
          </cell>
          <cell r="K1336" t="str">
            <v>Mortsel</v>
          </cell>
          <cell r="M1336" t="str">
            <v>M</v>
          </cell>
          <cell r="O1336" t="str">
            <v>03.449.99.17</v>
          </cell>
          <cell r="P1336" t="str">
            <v>03.440.80.22</v>
          </cell>
          <cell r="Q1336" t="str">
            <v>paul.wellens@notaris.be</v>
          </cell>
          <cell r="R1336">
            <v>3556</v>
          </cell>
        </row>
        <row r="1337">
          <cell r="A1337">
            <v>1336</v>
          </cell>
          <cell r="B1337" t="str">
            <v>Coëme P.A. &amp; Wéra Ch.</v>
          </cell>
          <cell r="C1337" t="str">
            <v>Wéra Christine</v>
          </cell>
          <cell r="D1337" t="str">
            <v>Geassocieerd Notaris</v>
          </cell>
          <cell r="E1337" t="str">
            <v>Rue Haute Wez</v>
          </cell>
          <cell r="F1337" t="str">
            <v>170</v>
          </cell>
          <cell r="G1337" t="str">
            <v/>
          </cell>
          <cell r="H1337" t="str">
            <v>4030</v>
          </cell>
          <cell r="I1337" t="str">
            <v>Liège</v>
          </cell>
          <cell r="K1337" t="str">
            <v>Grivegnée</v>
          </cell>
          <cell r="M1337" t="str">
            <v>Vr</v>
          </cell>
          <cell r="O1337" t="str">
            <v>04.343.16.74</v>
          </cell>
          <cell r="P1337" t="str">
            <v>04.343.11.07</v>
          </cell>
          <cell r="Q1337" t="str">
            <v>christine.wera@notarire</v>
          </cell>
          <cell r="R1337">
            <v>2759</v>
          </cell>
          <cell r="T1337">
            <v>38646</v>
          </cell>
        </row>
        <row r="1338">
          <cell r="A1338">
            <v>1337</v>
          </cell>
          <cell r="B1338" t="str">
            <v>WERA Paul</v>
          </cell>
          <cell r="C1338" t="str">
            <v>WERA Paul</v>
          </cell>
          <cell r="D1338" t="str">
            <v>Notaris</v>
          </cell>
          <cell r="E1338" t="str">
            <v>Chaussée Roosevelt</v>
          </cell>
          <cell r="F1338" t="str">
            <v>274</v>
          </cell>
          <cell r="G1338" t="str">
            <v/>
          </cell>
          <cell r="H1338" t="str">
            <v>4420</v>
          </cell>
          <cell r="I1338" t="str">
            <v>Liège</v>
          </cell>
          <cell r="K1338" t="str">
            <v>Montegnée</v>
          </cell>
          <cell r="M1338" t="str">
            <v>M</v>
          </cell>
          <cell r="O1338" t="str">
            <v>04.247.53.39</v>
          </cell>
          <cell r="P1338" t="str">
            <v>04.263.56.60</v>
          </cell>
          <cell r="Q1338" t="str">
            <v>PAUL.WERA@NOTAIRE.BE</v>
          </cell>
          <cell r="R1338">
            <v>25</v>
          </cell>
        </row>
        <row r="1339">
          <cell r="A1339">
            <v>1338</v>
          </cell>
          <cell r="B1339" t="str">
            <v>Christophe Werbrouck-sprl civile</v>
          </cell>
          <cell r="C1339" t="str">
            <v>Werbrouck Christophe</v>
          </cell>
          <cell r="D1339" t="str">
            <v>Notaris</v>
          </cell>
          <cell r="E1339" t="str">
            <v>boulevard des Alliés</v>
          </cell>
          <cell r="F1339" t="str">
            <v>16</v>
          </cell>
          <cell r="G1339" t="str">
            <v>bte 6</v>
          </cell>
          <cell r="H1339" t="str">
            <v>7711</v>
          </cell>
          <cell r="I1339" t="str">
            <v>Hainaut</v>
          </cell>
          <cell r="K1339" t="str">
            <v>Dottignies</v>
          </cell>
          <cell r="M1339" t="str">
            <v>M</v>
          </cell>
          <cell r="O1339" t="str">
            <v>056.48.83.19</v>
          </cell>
          <cell r="P1339" t="str">
            <v>056.48.95.62</v>
          </cell>
          <cell r="Q1339" t="str">
            <v>CHRISTOPHE.WERBROUCK@NOTAIRE.BE</v>
          </cell>
          <cell r="R1339">
            <v>2962</v>
          </cell>
        </row>
        <row r="1340">
          <cell r="A1340">
            <v>1339</v>
          </cell>
          <cell r="B1340" t="str">
            <v>WERBROUCK Philippe-André</v>
          </cell>
          <cell r="C1340" t="str">
            <v>WERBROUCK Philippe-André</v>
          </cell>
          <cell r="D1340" t="str">
            <v>Notaris</v>
          </cell>
          <cell r="E1340" t="str">
            <v>Guido Gezellestraat</v>
          </cell>
          <cell r="F1340" t="str">
            <v>2</v>
          </cell>
          <cell r="G1340" t="str">
            <v>bus A</v>
          </cell>
          <cell r="H1340" t="str">
            <v>8500</v>
          </cell>
          <cell r="I1340" t="str">
            <v>West-Vlaanderen</v>
          </cell>
          <cell r="K1340" t="str">
            <v>Kortrijk</v>
          </cell>
          <cell r="L1340">
            <v>18391</v>
          </cell>
          <cell r="M1340" t="str">
            <v>M</v>
          </cell>
          <cell r="O1340" t="str">
            <v>056.22.11.57</v>
          </cell>
          <cell r="P1340" t="str">
            <v>056.22.71.42</v>
          </cell>
          <cell r="Q1340" t="str">
            <v>PHILIPPE.WERBROUCK@NOTARIS.BE</v>
          </cell>
          <cell r="R1340">
            <v>2827</v>
          </cell>
        </row>
        <row r="1341">
          <cell r="A1341">
            <v>1340</v>
          </cell>
          <cell r="B1341" t="str">
            <v>WERCKX Jozef</v>
          </cell>
          <cell r="C1341" t="str">
            <v>WERCKX Jozef</v>
          </cell>
          <cell r="D1341" t="str">
            <v>Notaris</v>
          </cell>
          <cell r="E1341" t="str">
            <v>Baron A. de Becker-Remyplein</v>
          </cell>
          <cell r="F1341" t="str">
            <v>61</v>
          </cell>
          <cell r="G1341" t="str">
            <v/>
          </cell>
          <cell r="H1341" t="str">
            <v>3010</v>
          </cell>
          <cell r="I1341" t="str">
            <v>Vlaams Brabant</v>
          </cell>
          <cell r="K1341" t="str">
            <v>Kessel-Lo Leuven)</v>
          </cell>
          <cell r="M1341" t="str">
            <v>M</v>
          </cell>
          <cell r="O1341" t="str">
            <v>016.25.16.32</v>
          </cell>
          <cell r="P1341" t="str">
            <v>016.25.62.23</v>
          </cell>
          <cell r="Q1341" t="str">
            <v>JOZEF.WERCKX@NOTARIS.BE</v>
          </cell>
          <cell r="R1341">
            <v>3365</v>
          </cell>
        </row>
        <row r="1342">
          <cell r="A1342">
            <v>1341</v>
          </cell>
          <cell r="B1342" t="str">
            <v>WETS Philippe</v>
          </cell>
          <cell r="C1342" t="str">
            <v>WETS Philippe</v>
          </cell>
          <cell r="D1342" t="str">
            <v>Notaris</v>
          </cell>
          <cell r="E1342" t="str">
            <v>Avenue Brugmannlaan</v>
          </cell>
          <cell r="F1342" t="str">
            <v>587</v>
          </cell>
          <cell r="G1342" t="str">
            <v>bte 7</v>
          </cell>
          <cell r="H1342" t="str">
            <v>1180</v>
          </cell>
          <cell r="I1342" t="str">
            <v>Bruxelles</v>
          </cell>
          <cell r="K1342" t="str">
            <v>Bruxelles</v>
          </cell>
          <cell r="M1342" t="str">
            <v>M</v>
          </cell>
          <cell r="O1342" t="str">
            <v>02.344.01.46</v>
          </cell>
          <cell r="P1342" t="str">
            <v>02.344.18.11</v>
          </cell>
          <cell r="Q1342" t="str">
            <v>PHILIPPE.WETS@NOTAIRE.BE</v>
          </cell>
          <cell r="R1342">
            <v>671</v>
          </cell>
        </row>
        <row r="1343">
          <cell r="A1343">
            <v>1342</v>
          </cell>
          <cell r="B1343" t="str">
            <v>NOTAIRES SIMON &amp; XAVIER WETS SPRL</v>
          </cell>
          <cell r="C1343" t="str">
            <v>Wets Simon</v>
          </cell>
          <cell r="D1343" t="str">
            <v>Geassocieerd Notaris</v>
          </cell>
          <cell r="E1343" t="str">
            <v>Boulevard Auguste Reyerslaan</v>
          </cell>
          <cell r="F1343" t="str">
            <v>41</v>
          </cell>
          <cell r="G1343" t="str">
            <v>bte 7</v>
          </cell>
          <cell r="H1343" t="str">
            <v>1030</v>
          </cell>
          <cell r="I1343" t="str">
            <v>Bruxelles</v>
          </cell>
          <cell r="K1343" t="str">
            <v>Bruxelles</v>
          </cell>
          <cell r="M1343" t="str">
            <v>M</v>
          </cell>
          <cell r="O1343" t="str">
            <v>02.735.70.51</v>
          </cell>
          <cell r="P1343" t="str">
            <v>02.735.64.75</v>
          </cell>
          <cell r="Q1343" t="str">
            <v>simon.wets@belnot.be</v>
          </cell>
          <cell r="R1343">
            <v>3570</v>
          </cell>
        </row>
        <row r="1344">
          <cell r="A1344">
            <v>1343</v>
          </cell>
          <cell r="B1344" t="str">
            <v>NOTAIRES SIMON &amp; XAVIER WETS SPRL</v>
          </cell>
          <cell r="C1344" t="str">
            <v>Wets Xavier</v>
          </cell>
          <cell r="D1344" t="str">
            <v>Geassocieerd Notaris</v>
          </cell>
          <cell r="E1344" t="str">
            <v>Boulevard Auguste Reyerslaan</v>
          </cell>
          <cell r="F1344" t="str">
            <v>41</v>
          </cell>
          <cell r="G1344" t="str">
            <v>bte 7</v>
          </cell>
          <cell r="H1344" t="str">
            <v>1030</v>
          </cell>
          <cell r="I1344" t="str">
            <v>Bruxelles</v>
          </cell>
          <cell r="K1344" t="str">
            <v>Bruxelles</v>
          </cell>
          <cell r="M1344" t="str">
            <v>M</v>
          </cell>
          <cell r="O1344" t="str">
            <v>02.735.70.51</v>
          </cell>
          <cell r="P1344" t="str">
            <v>02.735.64.75</v>
          </cell>
          <cell r="Q1344" t="str">
            <v>XAVIER.WETS@NOTAIRE.BE</v>
          </cell>
          <cell r="R1344">
            <v>3570</v>
          </cell>
        </row>
        <row r="1345">
          <cell r="A1345">
            <v>1344</v>
          </cell>
          <cell r="B1345" t="str">
            <v>WEYTS Luc</v>
          </cell>
          <cell r="C1345" t="str">
            <v>WEYTS Luc</v>
          </cell>
          <cell r="D1345" t="str">
            <v>Notaris</v>
          </cell>
          <cell r="E1345" t="str">
            <v>Goswin De Stassartstraat</v>
          </cell>
          <cell r="F1345" t="str">
            <v>9</v>
          </cell>
          <cell r="G1345" t="str">
            <v/>
          </cell>
          <cell r="H1345" t="str">
            <v>2800</v>
          </cell>
          <cell r="I1345" t="str">
            <v>Antwerpen</v>
          </cell>
          <cell r="K1345" t="str">
            <v>Mechelen</v>
          </cell>
          <cell r="M1345" t="str">
            <v>M</v>
          </cell>
          <cell r="O1345" t="str">
            <v>015.28.90.20</v>
          </cell>
          <cell r="P1345" t="str">
            <v>015.21.90.16</v>
          </cell>
          <cell r="Q1345" t="str">
            <v>LUC.WEYTS@NOTARIS.BE</v>
          </cell>
          <cell r="R1345">
            <v>1245</v>
          </cell>
        </row>
        <row r="1346">
          <cell r="A1346">
            <v>1345</v>
          </cell>
          <cell r="B1346" t="str">
            <v>WILLEKENS Yves</v>
          </cell>
          <cell r="C1346" t="str">
            <v>WILLEKENS Yves</v>
          </cell>
          <cell r="D1346" t="str">
            <v>Notaris</v>
          </cell>
          <cell r="E1346" t="str">
            <v>Beerselsestraat</v>
          </cell>
          <cell r="F1346" t="str">
            <v>63-67</v>
          </cell>
          <cell r="G1346" t="str">
            <v>bus 1</v>
          </cell>
          <cell r="H1346" t="str">
            <v>1651</v>
          </cell>
          <cell r="I1346" t="str">
            <v>Vlaams Brabant</v>
          </cell>
          <cell r="K1346" t="str">
            <v>Lot</v>
          </cell>
          <cell r="M1346" t="str">
            <v>M</v>
          </cell>
          <cell r="O1346" t="str">
            <v>02.331.02.22</v>
          </cell>
          <cell r="P1346" t="str">
            <v>02.378.30.85</v>
          </cell>
          <cell r="Q1346" t="str">
            <v>YVES.WILLEKENS@NOTARIS.BE</v>
          </cell>
          <cell r="R1346">
            <v>2972</v>
          </cell>
        </row>
        <row r="1347">
          <cell r="A1347">
            <v>1346</v>
          </cell>
          <cell r="B1347" t="str">
            <v>Willems F. &amp; Fr.-X.</v>
          </cell>
          <cell r="C1347" t="str">
            <v>Willems Francis</v>
          </cell>
          <cell r="D1347" t="str">
            <v>Geassocieerd Notaris</v>
          </cell>
          <cell r="E1347" t="str">
            <v>Karel de Stoutelaan</v>
          </cell>
          <cell r="F1347" t="str">
            <v>55</v>
          </cell>
          <cell r="G1347" t="str">
            <v/>
          </cell>
          <cell r="H1347" t="str">
            <v>8000</v>
          </cell>
          <cell r="I1347" t="str">
            <v>West-Vlaanderen</v>
          </cell>
          <cell r="K1347" t="str">
            <v>Brugge</v>
          </cell>
          <cell r="L1347">
            <v>16134</v>
          </cell>
          <cell r="M1347" t="str">
            <v>M</v>
          </cell>
          <cell r="O1347" t="str">
            <v>050.31.27.03</v>
          </cell>
          <cell r="P1347" t="str">
            <v>050.31.32.48</v>
          </cell>
          <cell r="Q1347" t="str">
            <v>FRANCIS.WILLEMS@NOTARIS.BE</v>
          </cell>
          <cell r="R1347">
            <v>1336</v>
          </cell>
        </row>
        <row r="1348">
          <cell r="A1348">
            <v>1347</v>
          </cell>
          <cell r="B1348" t="str">
            <v>Willems F. &amp; Fr.-X.</v>
          </cell>
          <cell r="C1348" t="str">
            <v>Willems François-Xavier</v>
          </cell>
          <cell r="D1348" t="str">
            <v>Geassocieerd Notaris</v>
          </cell>
          <cell r="E1348" t="str">
            <v>Karel de Stoutelaan</v>
          </cell>
          <cell r="F1348">
            <v>55</v>
          </cell>
          <cell r="H1348" t="str">
            <v>8000</v>
          </cell>
          <cell r="I1348" t="str">
            <v>West-Vlaanderen</v>
          </cell>
          <cell r="K1348" t="str">
            <v>Brugge</v>
          </cell>
          <cell r="M1348" t="str">
            <v>M</v>
          </cell>
          <cell r="O1348" t="str">
            <v>050.31.27.03</v>
          </cell>
          <cell r="P1348" t="str">
            <v>050.31.32.48</v>
          </cell>
          <cell r="Q1348" t="str">
            <v>FRANCIS.WILLEMS@NOTARIS.BE</v>
          </cell>
          <cell r="R1348">
            <v>1336</v>
          </cell>
          <cell r="T1348">
            <v>38420</v>
          </cell>
        </row>
        <row r="1349">
          <cell r="A1349">
            <v>1348</v>
          </cell>
          <cell r="B1349" t="str">
            <v>WILLEMS Michel</v>
          </cell>
          <cell r="C1349" t="str">
            <v>WILLEMS Michel</v>
          </cell>
          <cell r="D1349" t="str">
            <v>Notaris</v>
          </cell>
          <cell r="E1349" t="str">
            <v>Brabantdam</v>
          </cell>
          <cell r="F1349" t="str">
            <v>143</v>
          </cell>
          <cell r="G1349" t="str">
            <v/>
          </cell>
          <cell r="H1349" t="str">
            <v>9000</v>
          </cell>
          <cell r="I1349" t="str">
            <v>Oost-Vlaanderen</v>
          </cell>
          <cell r="K1349" t="str">
            <v>Gent</v>
          </cell>
          <cell r="M1349" t="str">
            <v>M</v>
          </cell>
          <cell r="O1349" t="str">
            <v>09.225.02.87</v>
          </cell>
          <cell r="P1349" t="str">
            <v>09.224.27.22</v>
          </cell>
          <cell r="Q1349" t="str">
            <v>michel.willems@notaris.be</v>
          </cell>
          <cell r="R1349">
            <v>861</v>
          </cell>
          <cell r="T1349">
            <v>38243</v>
          </cell>
        </row>
        <row r="1350">
          <cell r="A1350">
            <v>1349</v>
          </cell>
          <cell r="B1350" t="str">
            <v>VAN USSEL &amp; WILLEMSEN</v>
          </cell>
          <cell r="C1350" t="str">
            <v>Willemsen Maria</v>
          </cell>
          <cell r="D1350" t="str">
            <v>Geassocieerd Notaris</v>
          </cell>
          <cell r="E1350" t="str">
            <v>Molsebaan</v>
          </cell>
          <cell r="F1350" t="str">
            <v>54</v>
          </cell>
          <cell r="G1350" t="str">
            <v/>
          </cell>
          <cell r="H1350" t="str">
            <v>2470</v>
          </cell>
          <cell r="I1350" t="str">
            <v>Antwerpen</v>
          </cell>
          <cell r="K1350" t="str">
            <v>Retie</v>
          </cell>
          <cell r="M1350" t="str">
            <v>Vr</v>
          </cell>
          <cell r="O1350" t="str">
            <v>014.38.98.21</v>
          </cell>
          <cell r="P1350" t="str">
            <v>014.37.76.78</v>
          </cell>
          <cell r="Q1350" t="str">
            <v>maria.willemsen@notaris.be</v>
          </cell>
          <cell r="R1350">
            <v>3596</v>
          </cell>
        </row>
        <row r="1351">
          <cell r="A1351">
            <v>1350</v>
          </cell>
          <cell r="B1351" t="str">
            <v>WILLOCX Bernard</v>
          </cell>
          <cell r="C1351" t="str">
            <v>WILLOCX Bernard</v>
          </cell>
          <cell r="D1351" t="str">
            <v>Notaris</v>
          </cell>
          <cell r="E1351" t="str">
            <v>rue de Toulousestraat</v>
          </cell>
          <cell r="F1351" t="str">
            <v>13</v>
          </cell>
          <cell r="G1351" t="str">
            <v/>
          </cell>
          <cell r="H1351" t="str">
            <v>1040</v>
          </cell>
          <cell r="I1351" t="str">
            <v>Bruxelles</v>
          </cell>
          <cell r="K1351" t="str">
            <v>Bruxelles</v>
          </cell>
          <cell r="M1351" t="str">
            <v>M</v>
          </cell>
          <cell r="O1351" t="str">
            <v>02.234.66.66</v>
          </cell>
          <cell r="P1351" t="str">
            <v>02.234.66.67</v>
          </cell>
          <cell r="Q1351" t="str">
            <v>BERNARD.WILLOCX@NOTAIRE.BE</v>
          </cell>
          <cell r="R1351">
            <v>3093</v>
          </cell>
        </row>
        <row r="1352">
          <cell r="A1352">
            <v>1351</v>
          </cell>
          <cell r="B1352" t="str">
            <v>MEERSMAN-WILMUS</v>
          </cell>
          <cell r="C1352" t="str">
            <v>Wilmus Marc</v>
          </cell>
          <cell r="D1352" t="str">
            <v>Notaris</v>
          </cell>
          <cell r="E1352" t="str">
            <v>Avenue d´Auderghem</v>
          </cell>
          <cell r="F1352" t="str">
            <v>328</v>
          </cell>
          <cell r="G1352" t="str">
            <v/>
          </cell>
          <cell r="H1352" t="str">
            <v>1040</v>
          </cell>
          <cell r="I1352" t="str">
            <v>Bruxelles</v>
          </cell>
          <cell r="K1352" t="str">
            <v>Bruxelles</v>
          </cell>
          <cell r="M1352" t="str">
            <v>M</v>
          </cell>
          <cell r="O1352" t="str">
            <v>02.647.40.93</v>
          </cell>
          <cell r="P1352" t="str">
            <v>02.646.25.86</v>
          </cell>
          <cell r="Q1352" t="str">
            <v>marc.wilmus@notaire.be</v>
          </cell>
          <cell r="R1352">
            <v>3495</v>
          </cell>
        </row>
        <row r="1353">
          <cell r="A1353">
            <v>1352</v>
          </cell>
          <cell r="B1353" t="str">
            <v>WILSENS Frank</v>
          </cell>
          <cell r="C1353" t="str">
            <v>WILSENS Frank</v>
          </cell>
          <cell r="D1353" t="str">
            <v>Notaris</v>
          </cell>
          <cell r="E1353" t="str">
            <v>Molenstraat</v>
          </cell>
          <cell r="F1353" t="str">
            <v>29</v>
          </cell>
          <cell r="G1353" t="str">
            <v/>
          </cell>
          <cell r="H1353" t="str">
            <v>3830</v>
          </cell>
          <cell r="I1353" t="str">
            <v>Limburg</v>
          </cell>
          <cell r="K1353" t="str">
            <v>Wellen</v>
          </cell>
          <cell r="M1353" t="str">
            <v>M</v>
          </cell>
          <cell r="O1353" t="str">
            <v>012.74.10.83</v>
          </cell>
          <cell r="P1353" t="str">
            <v>012.74.54.65</v>
          </cell>
          <cell r="Q1353" t="str">
            <v>frank.wilsens@notaris.be</v>
          </cell>
          <cell r="R1353">
            <v>3638</v>
          </cell>
        </row>
        <row r="1354">
          <cell r="A1354">
            <v>1353</v>
          </cell>
          <cell r="B1354" t="str">
            <v>WILSENS Tom</v>
          </cell>
          <cell r="C1354" t="str">
            <v>WILSENS Tom</v>
          </cell>
          <cell r="D1354" t="str">
            <v>Notaris</v>
          </cell>
          <cell r="E1354" t="str">
            <v>Tiensestraat</v>
          </cell>
          <cell r="F1354" t="str">
            <v>217</v>
          </cell>
          <cell r="G1354" t="str">
            <v/>
          </cell>
          <cell r="H1354" t="str">
            <v>3000</v>
          </cell>
          <cell r="I1354" t="str">
            <v>Vlaams Brabant</v>
          </cell>
          <cell r="K1354" t="str">
            <v>Leuven</v>
          </cell>
          <cell r="M1354" t="str">
            <v>M</v>
          </cell>
          <cell r="O1354" t="str">
            <v>016.22.25.90</v>
          </cell>
          <cell r="P1354" t="str">
            <v>016.23.08.41</v>
          </cell>
          <cell r="Q1354" t="str">
            <v>TOM.WILSENS@NOTARIS.BE</v>
          </cell>
          <cell r="R1354">
            <v>3578</v>
          </cell>
          <cell r="S1354" t="str">
            <v>001-0651083-95</v>
          </cell>
        </row>
        <row r="1355">
          <cell r="A1355">
            <v>1354</v>
          </cell>
          <cell r="B1355" t="str">
            <v>WINDERS Philippe</v>
          </cell>
          <cell r="C1355" t="str">
            <v>WINDERS Philippe</v>
          </cell>
          <cell r="D1355" t="str">
            <v>Notaris</v>
          </cell>
          <cell r="E1355" t="str">
            <v>Rue de Grammont</v>
          </cell>
          <cell r="F1355" t="str">
            <v>37</v>
          </cell>
          <cell r="G1355" t="str">
            <v/>
          </cell>
          <cell r="H1355" t="str">
            <v>7860</v>
          </cell>
          <cell r="I1355" t="str">
            <v>Hainaut</v>
          </cell>
          <cell r="K1355" t="str">
            <v>Lessines</v>
          </cell>
          <cell r="M1355" t="str">
            <v>M</v>
          </cell>
          <cell r="O1355" t="str">
            <v>068.33.84.14</v>
          </cell>
          <cell r="P1355" t="str">
            <v>068.33.79.56</v>
          </cell>
          <cell r="Q1355" t="str">
            <v>philippe.winders@belnot.be</v>
          </cell>
          <cell r="R1355">
            <v>2552</v>
          </cell>
        </row>
        <row r="1356">
          <cell r="A1356">
            <v>1355</v>
          </cell>
          <cell r="B1356" t="str">
            <v>WITTESAELE Anthony</v>
          </cell>
          <cell r="C1356" t="str">
            <v>WITTESAELE Anthony</v>
          </cell>
          <cell r="D1356" t="str">
            <v>Notaris</v>
          </cell>
          <cell r="E1356" t="str">
            <v>Tramstraat</v>
          </cell>
          <cell r="F1356" t="str">
            <v>22</v>
          </cell>
          <cell r="G1356" t="str">
            <v/>
          </cell>
          <cell r="H1356" t="str">
            <v>8700</v>
          </cell>
          <cell r="I1356" t="str">
            <v>West-Vlaanderen</v>
          </cell>
          <cell r="K1356" t="str">
            <v>Tielt</v>
          </cell>
          <cell r="L1356">
            <v>23614</v>
          </cell>
          <cell r="M1356" t="str">
            <v>M</v>
          </cell>
          <cell r="O1356" t="str">
            <v>051.40.01.75</v>
          </cell>
          <cell r="P1356" t="str">
            <v>051.40.76.14</v>
          </cell>
          <cell r="Q1356" t="str">
            <v>ANTHONY.WITTESAELE@NOTARIS.BE</v>
          </cell>
          <cell r="R1356">
            <v>3356</v>
          </cell>
        </row>
        <row r="1357">
          <cell r="A1357">
            <v>1356</v>
          </cell>
          <cell r="B1357" t="str">
            <v>WOUTERS Clement</v>
          </cell>
          <cell r="C1357" t="str">
            <v>WOUTERS Clement</v>
          </cell>
          <cell r="D1357" t="str">
            <v>Notaris</v>
          </cell>
          <cell r="E1357" t="str">
            <v>Kielenstraat</v>
          </cell>
          <cell r="F1357" t="str">
            <v>93 95</v>
          </cell>
          <cell r="G1357" t="str">
            <v/>
          </cell>
          <cell r="H1357" t="str">
            <v>3700</v>
          </cell>
          <cell r="I1357" t="str">
            <v>Limburg</v>
          </cell>
          <cell r="K1357" t="str">
            <v>Tongeren</v>
          </cell>
          <cell r="M1357" t="str">
            <v>M</v>
          </cell>
          <cell r="O1357" t="str">
            <v>012.23.04.13</v>
          </cell>
          <cell r="P1357" t="str">
            <v>012.23.12.07</v>
          </cell>
          <cell r="Q1357" t="str">
            <v>CLEMENT.WOUTERS@NOTARIS.BE</v>
          </cell>
          <cell r="R1357">
            <v>424</v>
          </cell>
        </row>
        <row r="1358">
          <cell r="A1358">
            <v>1357</v>
          </cell>
          <cell r="B1358" t="str">
            <v>WOUTERS Louis</v>
          </cell>
          <cell r="C1358" t="str">
            <v>WOUTERS Louis</v>
          </cell>
          <cell r="D1358" t="str">
            <v>Notaris</v>
          </cell>
          <cell r="E1358" t="str">
            <v>Vredelaan</v>
          </cell>
          <cell r="F1358" t="str">
            <v>5</v>
          </cell>
          <cell r="G1358" t="str">
            <v/>
          </cell>
          <cell r="H1358" t="str">
            <v>2490</v>
          </cell>
          <cell r="I1358" t="str">
            <v>Antwerpen</v>
          </cell>
          <cell r="K1358" t="str">
            <v>Balen</v>
          </cell>
          <cell r="M1358" t="str">
            <v>M</v>
          </cell>
          <cell r="O1358" t="str">
            <v>014.81.19.02</v>
          </cell>
          <cell r="P1358" t="str">
            <v>014.81.07.01</v>
          </cell>
          <cell r="Q1358" t="str">
            <v>LOUIS.WOUTERS@NOTARIS.BE</v>
          </cell>
          <cell r="R1358">
            <v>563</v>
          </cell>
        </row>
        <row r="1359">
          <cell r="A1359">
            <v>1358</v>
          </cell>
          <cell r="B1359" t="str">
            <v>PIERRE WUILQUOT ET ANNE WUILQUOT</v>
          </cell>
          <cell r="C1359" t="str">
            <v>Wuilquot Anne</v>
          </cell>
          <cell r="D1359" t="str">
            <v>Geassocieerd Notaris</v>
          </cell>
          <cell r="E1359" t="str">
            <v>Rue d´Elouges</v>
          </cell>
          <cell r="F1359" t="str">
            <v>160</v>
          </cell>
          <cell r="G1359" t="str">
            <v/>
          </cell>
          <cell r="H1359" t="str">
            <v>7370</v>
          </cell>
          <cell r="I1359" t="str">
            <v>Hainaut</v>
          </cell>
          <cell r="K1359" t="str">
            <v>Elouges</v>
          </cell>
          <cell r="M1359" t="str">
            <v>Vr</v>
          </cell>
          <cell r="O1359" t="str">
            <v>065.71.81.20</v>
          </cell>
          <cell r="P1359" t="str">
            <v>065.63.17.27</v>
          </cell>
          <cell r="Q1359" t="str">
            <v>anne.wuilquot@notaire.be</v>
          </cell>
          <cell r="R1359">
            <v>3609</v>
          </cell>
        </row>
        <row r="1360">
          <cell r="A1360">
            <v>1359</v>
          </cell>
          <cell r="B1360" t="str">
            <v>PIERRE WUILQUOT ET ANNE WUILQUOT</v>
          </cell>
          <cell r="C1360" t="str">
            <v>Wuilquot Pierre</v>
          </cell>
          <cell r="D1360" t="str">
            <v>Geassocieerd Notaris</v>
          </cell>
          <cell r="E1360" t="str">
            <v>Rue d´Elouges</v>
          </cell>
          <cell r="F1360" t="str">
            <v>160</v>
          </cell>
          <cell r="G1360" t="str">
            <v/>
          </cell>
          <cell r="H1360" t="str">
            <v>7370</v>
          </cell>
          <cell r="I1360" t="str">
            <v>Hainaut</v>
          </cell>
          <cell r="K1360" t="str">
            <v>Elouges</v>
          </cell>
          <cell r="M1360" t="str">
            <v>M</v>
          </cell>
          <cell r="O1360" t="str">
            <v>065.71.81.20</v>
          </cell>
          <cell r="P1360" t="str">
            <v>065.63.17.27</v>
          </cell>
          <cell r="Q1360" t="str">
            <v>PIERRE.WUILQUOT@NOTAIRE.BE</v>
          </cell>
          <cell r="R1360">
            <v>3609</v>
          </cell>
        </row>
        <row r="1361">
          <cell r="A1361">
            <v>1360</v>
          </cell>
          <cell r="B1361" t="str">
            <v>WUYTS Filip</v>
          </cell>
          <cell r="C1361" t="str">
            <v>WUYTS Filip</v>
          </cell>
          <cell r="D1361" t="str">
            <v>Notaris</v>
          </cell>
          <cell r="E1361" t="str">
            <v>Dorpsstraat</v>
          </cell>
          <cell r="F1361" t="str">
            <v>33</v>
          </cell>
          <cell r="G1361" t="str">
            <v/>
          </cell>
          <cell r="H1361" t="str">
            <v>2950</v>
          </cell>
          <cell r="I1361" t="str">
            <v>Antwerpen</v>
          </cell>
          <cell r="K1361" t="str">
            <v>Kapellen Antwerpen)</v>
          </cell>
          <cell r="M1361" t="str">
            <v>M</v>
          </cell>
          <cell r="O1361" t="str">
            <v>03.664.24.64</v>
          </cell>
          <cell r="P1361" t="str">
            <v>03.665.07.52</v>
          </cell>
          <cell r="Q1361" t="str">
            <v>FILIP.WUYTS@NOTARIS.BE</v>
          </cell>
          <cell r="R1361">
            <v>3388</v>
          </cell>
        </row>
        <row r="1362">
          <cell r="A1362">
            <v>1361</v>
          </cell>
          <cell r="B1362" t="str">
            <v>WYGAERTS Katharina</v>
          </cell>
          <cell r="C1362" t="str">
            <v>WYGAERTS Katharina</v>
          </cell>
          <cell r="D1362" t="str">
            <v>Notaris</v>
          </cell>
          <cell r="E1362" t="str">
            <v>Tacambaroplein</v>
          </cell>
          <cell r="F1362" t="str">
            <v>4</v>
          </cell>
          <cell r="G1362" t="str">
            <v/>
          </cell>
          <cell r="H1362" t="str">
            <v>9700</v>
          </cell>
          <cell r="I1362" t="str">
            <v>Oost-Vlaanderen</v>
          </cell>
          <cell r="K1362" t="str">
            <v>Oudenaarde</v>
          </cell>
          <cell r="M1362" t="str">
            <v>Vr</v>
          </cell>
          <cell r="O1362" t="str">
            <v>055.31.12.53</v>
          </cell>
          <cell r="P1362" t="str">
            <v>055.31.98.51</v>
          </cell>
          <cell r="Q1362" t="str">
            <v>KATHARINA.WYGAERTS@NOTARIS.BE</v>
          </cell>
          <cell r="R1362">
            <v>122</v>
          </cell>
        </row>
        <row r="1363">
          <cell r="A1363">
            <v>1362</v>
          </cell>
          <cell r="B1363" t="str">
            <v>BVBA WYLLEMAN - VAN de KEERE</v>
          </cell>
          <cell r="C1363" t="str">
            <v>Wylleman Annelies</v>
          </cell>
          <cell r="D1363" t="str">
            <v>Geassocieerd Notaris</v>
          </cell>
          <cell r="E1363" t="str">
            <v>Sleidingedorp</v>
          </cell>
          <cell r="F1363" t="str">
            <v>102</v>
          </cell>
          <cell r="G1363" t="str">
            <v/>
          </cell>
          <cell r="H1363" t="str">
            <v>9940</v>
          </cell>
          <cell r="I1363" t="str">
            <v>Oost-Vlaanderen</v>
          </cell>
          <cell r="K1363" t="str">
            <v>Sleidinge</v>
          </cell>
          <cell r="M1363" t="str">
            <v>Vr</v>
          </cell>
          <cell r="O1363" t="str">
            <v>09.357.73.57</v>
          </cell>
          <cell r="P1363" t="str">
            <v>09.357.73.87</v>
          </cell>
          <cell r="Q1363" t="str">
            <v>ANNELIES.WYLLEMAN@NOTARIS.BE</v>
          </cell>
          <cell r="R1363">
            <v>3485</v>
          </cell>
        </row>
        <row r="1364">
          <cell r="A1364">
            <v>1363</v>
          </cell>
          <cell r="B1364" t="str">
            <v>XHAFLAIRE Marie-Noëlle</v>
          </cell>
          <cell r="C1364" t="str">
            <v>XHAFLAIRE Marie-Noëlle</v>
          </cell>
          <cell r="D1364" t="str">
            <v>Notaris</v>
          </cell>
          <cell r="E1364" t="str">
            <v>Place Communale</v>
          </cell>
          <cell r="F1364" t="str">
            <v>36</v>
          </cell>
          <cell r="G1364" t="str">
            <v/>
          </cell>
          <cell r="H1364" t="str">
            <v>4850</v>
          </cell>
          <cell r="I1364" t="str">
            <v>Liège</v>
          </cell>
          <cell r="K1364" t="str">
            <v>Montzen</v>
          </cell>
          <cell r="M1364" t="str">
            <v>Vr</v>
          </cell>
          <cell r="O1364" t="str">
            <v>087.78.86.80</v>
          </cell>
          <cell r="P1364" t="str">
            <v>087.78.86.81</v>
          </cell>
          <cell r="Q1364" t="str">
            <v>MARIENOELLE.XHAFLAIRE@NOTAIRE.BE</v>
          </cell>
          <cell r="R1364">
            <v>3191</v>
          </cell>
        </row>
      </sheetData>
      <sheetData sheetId="20"/>
      <sheetData sheetId="21"/>
      <sheetData sheetId="22"/>
      <sheetData sheetId="23"/>
      <sheetData sheetId="24"/>
      <sheetData sheetId="25"/>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SCHOVAF7.xlsx" TargetMode="External"/><Relationship Id="rId13" Type="http://schemas.openxmlformats.org/officeDocument/2006/relationships/vmlDrawing" Target="../drawings/vmlDrawing1.vml"/><Relationship Id="rId3" Type="http://schemas.openxmlformats.org/officeDocument/2006/relationships/hyperlink" Target="SCHOVAF2.xlsx" TargetMode="External"/><Relationship Id="rId7" Type="http://schemas.openxmlformats.org/officeDocument/2006/relationships/hyperlink" Target="SCHOVAF6.xlsx" TargetMode="External"/><Relationship Id="rId12" Type="http://schemas.openxmlformats.org/officeDocument/2006/relationships/printerSettings" Target="../printerSettings/printerSettings1.bin"/><Relationship Id="rId2" Type="http://schemas.openxmlformats.org/officeDocument/2006/relationships/hyperlink" Target="SCHOVAF1.xlsx" TargetMode="External"/><Relationship Id="rId1" Type="http://schemas.openxmlformats.org/officeDocument/2006/relationships/hyperlink" Target="file:///\\server\data\CDROMS\Boek\Boekje.xls" TargetMode="External"/><Relationship Id="rId6" Type="http://schemas.openxmlformats.org/officeDocument/2006/relationships/hyperlink" Target="SCHOVAF5.xlsx" TargetMode="External"/><Relationship Id="rId11" Type="http://schemas.openxmlformats.org/officeDocument/2006/relationships/hyperlink" Target="SCHOVAF.xlsx" TargetMode="External"/><Relationship Id="rId5" Type="http://schemas.openxmlformats.org/officeDocument/2006/relationships/hyperlink" Target="SCHOVAF4.xlsx" TargetMode="External"/><Relationship Id="rId10" Type="http://schemas.openxmlformats.org/officeDocument/2006/relationships/hyperlink" Target="SCHOVAF9.xlsx" TargetMode="External"/><Relationship Id="rId4" Type="http://schemas.openxmlformats.org/officeDocument/2006/relationships/hyperlink" Target="SCHOVAF3.xlsx" TargetMode="External"/><Relationship Id="rId9" Type="http://schemas.openxmlformats.org/officeDocument/2006/relationships/hyperlink" Target="SCHOVAF8.xlsx" TargetMode="External"/><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X1499"/>
  <sheetViews>
    <sheetView tabSelected="1" zoomScaleNormal="100" workbookViewId="0">
      <selection activeCell="E3" sqref="E3"/>
    </sheetView>
  </sheetViews>
  <sheetFormatPr defaultRowHeight="12.75"/>
  <cols>
    <col min="1" max="1" width="54.42578125" style="7" customWidth="1"/>
    <col min="2" max="2" width="4.5703125" style="7" customWidth="1"/>
    <col min="3" max="3" width="2.140625" style="7" customWidth="1"/>
    <col min="4" max="4" width="11.140625" style="7" customWidth="1"/>
    <col min="5" max="5" width="25.85546875" style="7" customWidth="1"/>
    <col min="6" max="6" width="14.140625" style="7" customWidth="1"/>
    <col min="7" max="7" width="15.7109375" style="7" customWidth="1"/>
    <col min="8" max="8" width="10.5703125" style="7" customWidth="1"/>
    <col min="9" max="9" width="13.85546875" style="7" customWidth="1"/>
    <col min="10" max="10" width="15.7109375" style="7" customWidth="1"/>
    <col min="11" max="11" width="12.7109375" style="7" customWidth="1"/>
    <col min="12" max="12" width="11.85546875" style="7" customWidth="1"/>
    <col min="13" max="13" width="17.140625" style="7" customWidth="1"/>
    <col min="14" max="14" width="13.85546875" style="7" customWidth="1"/>
    <col min="15" max="15" width="9.140625" style="7"/>
    <col min="16" max="16" width="13.7109375" style="7" customWidth="1"/>
    <col min="17" max="17" width="12.140625" style="7" customWidth="1"/>
    <col min="18" max="16384" width="9.140625" style="7"/>
  </cols>
  <sheetData>
    <row r="1" spans="1:10" ht="24.75" customHeight="1" thickTop="1">
      <c r="A1" s="3" t="s">
        <v>43</v>
      </c>
      <c r="B1" s="3"/>
      <c r="C1" s="3"/>
      <c r="D1" s="3"/>
      <c r="E1" s="3"/>
      <c r="F1" s="4"/>
      <c r="G1" s="4"/>
      <c r="H1" s="5"/>
      <c r="I1" s="6"/>
      <c r="J1" s="6"/>
    </row>
    <row r="2" spans="1:10">
      <c r="A2" s="4"/>
      <c r="B2" s="4"/>
      <c r="C2" s="4"/>
      <c r="D2" s="4"/>
      <c r="E2" s="4"/>
      <c r="F2" s="4"/>
      <c r="G2" s="4"/>
      <c r="H2" s="6"/>
      <c r="I2" s="6"/>
      <c r="J2" s="6"/>
    </row>
    <row r="3" spans="1:10">
      <c r="A3" s="4" t="s">
        <v>0</v>
      </c>
      <c r="B3" s="4"/>
      <c r="C3" s="4"/>
      <c r="D3" s="4"/>
      <c r="E3" s="54"/>
      <c r="F3" s="4"/>
      <c r="G3" s="4"/>
      <c r="H3" s="6"/>
      <c r="I3" s="6"/>
      <c r="J3" s="5"/>
    </row>
    <row r="4" spans="1:10">
      <c r="A4" s="4" t="s">
        <v>1</v>
      </c>
      <c r="B4" s="4"/>
      <c r="C4" s="4"/>
      <c r="D4" s="4"/>
      <c r="E4" s="55"/>
      <c r="F4" s="47"/>
      <c r="G4" s="4"/>
      <c r="H4" s="6"/>
      <c r="I4" s="6"/>
      <c r="J4" s="5"/>
    </row>
    <row r="5" spans="1:10">
      <c r="A5" s="8" t="s">
        <v>44</v>
      </c>
      <c r="B5" s="8"/>
      <c r="C5" s="8"/>
      <c r="D5" s="8"/>
      <c r="E5" s="56">
        <v>0</v>
      </c>
      <c r="G5" s="4"/>
      <c r="H5" s="6"/>
      <c r="I5" s="6"/>
      <c r="J5" s="6"/>
    </row>
    <row r="6" spans="1:10">
      <c r="A6" s="8"/>
      <c r="B6" s="8"/>
      <c r="C6" s="8"/>
      <c r="D6" s="8"/>
      <c r="E6" s="9"/>
      <c r="G6" s="4"/>
      <c r="H6" s="6"/>
      <c r="I6" s="6"/>
      <c r="J6" s="6"/>
    </row>
    <row r="7" spans="1:10">
      <c r="A7" s="8" t="s">
        <v>55</v>
      </c>
      <c r="B7" s="8"/>
      <c r="C7" s="8"/>
      <c r="D7" s="8"/>
      <c r="E7" s="57">
        <v>0</v>
      </c>
      <c r="G7" s="10"/>
    </row>
    <row r="8" spans="1:10">
      <c r="A8" s="8"/>
      <c r="B8" s="8"/>
      <c r="C8" s="8"/>
      <c r="D8" s="8"/>
      <c r="E8" s="160"/>
      <c r="G8" s="10"/>
    </row>
    <row r="9" spans="1:10">
      <c r="A9" s="64" t="s">
        <v>93</v>
      </c>
      <c r="B9" s="65"/>
      <c r="C9" s="65"/>
      <c r="D9" s="65"/>
      <c r="E9" s="165" t="s">
        <v>64</v>
      </c>
      <c r="F9" s="66"/>
      <c r="G9" s="10"/>
    </row>
    <row r="10" spans="1:10">
      <c r="A10" s="64"/>
      <c r="B10" s="65"/>
      <c r="C10" s="65"/>
      <c r="D10" s="65"/>
      <c r="E10" s="66"/>
      <c r="F10" s="66"/>
      <c r="G10" s="10"/>
    </row>
    <row r="11" spans="1:10">
      <c r="A11" s="64"/>
      <c r="B11" s="64" t="s">
        <v>94</v>
      </c>
      <c r="C11" s="65"/>
      <c r="D11" s="65"/>
      <c r="E11" s="66"/>
      <c r="F11" s="161">
        <v>0</v>
      </c>
      <c r="G11" s="10"/>
    </row>
    <row r="12" spans="1:10">
      <c r="A12" s="64"/>
      <c r="B12" s="64"/>
      <c r="C12" s="65"/>
      <c r="D12" s="65"/>
      <c r="E12" s="66"/>
      <c r="F12" s="68"/>
      <c r="G12" s="10"/>
    </row>
    <row r="13" spans="1:10">
      <c r="A13" s="64"/>
      <c r="B13" s="64" t="s">
        <v>95</v>
      </c>
      <c r="C13" s="65"/>
      <c r="D13" s="65"/>
      <c r="E13" s="66"/>
      <c r="F13" s="162">
        <v>0</v>
      </c>
      <c r="G13" s="10"/>
    </row>
    <row r="14" spans="1:10">
      <c r="A14" s="65"/>
      <c r="B14" s="65"/>
      <c r="C14" s="65"/>
      <c r="D14" s="65"/>
      <c r="E14" s="69"/>
      <c r="F14" s="66"/>
      <c r="G14" s="10"/>
    </row>
    <row r="15" spans="1:10">
      <c r="A15" s="65"/>
      <c r="B15" s="64" t="s">
        <v>96</v>
      </c>
      <c r="C15" s="65"/>
      <c r="D15" s="65"/>
      <c r="E15" s="69"/>
      <c r="F15" s="70">
        <f>D291</f>
        <v>0</v>
      </c>
      <c r="G15" s="10"/>
    </row>
    <row r="16" spans="1:10">
      <c r="A16" s="8" t="s">
        <v>45</v>
      </c>
      <c r="B16" s="8"/>
      <c r="C16" s="8"/>
      <c r="D16" s="8"/>
      <c r="E16" s="58" t="s">
        <v>36</v>
      </c>
      <c r="G16" s="10"/>
    </row>
    <row r="17" spans="1:12">
      <c r="A17" s="10" t="s">
        <v>40</v>
      </c>
      <c r="B17" s="10"/>
      <c r="C17" s="10"/>
      <c r="D17" s="10"/>
      <c r="E17" s="59" t="s">
        <v>42</v>
      </c>
      <c r="F17" s="2"/>
      <c r="G17" s="10"/>
    </row>
    <row r="18" spans="1:12">
      <c r="I18" s="150" t="s">
        <v>126</v>
      </c>
      <c r="L18" s="11"/>
    </row>
    <row r="19" spans="1:12" ht="15">
      <c r="A19" s="111" t="s">
        <v>56</v>
      </c>
      <c r="B19" s="112"/>
      <c r="C19" s="113"/>
      <c r="D19" s="114"/>
      <c r="E19" s="114"/>
      <c r="F19" s="11" t="s">
        <v>57</v>
      </c>
      <c r="G19" s="12" t="s">
        <v>58</v>
      </c>
      <c r="H19" s="12" t="s">
        <v>59</v>
      </c>
      <c r="I19" s="12" t="s">
        <v>125</v>
      </c>
      <c r="J19" s="11" t="s">
        <v>60</v>
      </c>
    </row>
    <row r="20" spans="1:12">
      <c r="A20" s="115" t="s">
        <v>120</v>
      </c>
      <c r="B20" s="116"/>
      <c r="C20" s="49" t="s">
        <v>61</v>
      </c>
      <c r="D20" s="117"/>
      <c r="E20" s="118"/>
      <c r="F20" s="48"/>
      <c r="G20" s="119">
        <f>A137</f>
        <v>0</v>
      </c>
      <c r="H20" s="120" t="e">
        <f>G20/(E5-F15)</f>
        <v>#DIV/0!</v>
      </c>
      <c r="I20" s="121"/>
      <c r="J20" s="146">
        <f>O211</f>
        <v>0</v>
      </c>
    </row>
    <row r="21" spans="1:12">
      <c r="A21" s="115" t="s">
        <v>121</v>
      </c>
      <c r="B21" s="60"/>
      <c r="C21" s="50"/>
      <c r="D21" s="66"/>
      <c r="E21" s="13"/>
      <c r="F21" s="4"/>
      <c r="G21" s="122"/>
      <c r="H21" s="123"/>
      <c r="I21" s="124"/>
      <c r="J21" s="146"/>
    </row>
    <row r="22" spans="1:12">
      <c r="A22" s="115" t="s">
        <v>122</v>
      </c>
      <c r="B22" s="116"/>
      <c r="C22" s="49" t="s">
        <v>61</v>
      </c>
      <c r="D22" s="117"/>
      <c r="E22" s="118"/>
      <c r="F22" s="4"/>
      <c r="G22" s="125">
        <f>AA165</f>
        <v>0</v>
      </c>
      <c r="H22" s="120" t="e">
        <f>G22/(E5-F15)</f>
        <v>#DIV/0!</v>
      </c>
      <c r="I22" s="124"/>
      <c r="J22" s="146">
        <f>Blad1!O211</f>
        <v>0</v>
      </c>
    </row>
    <row r="23" spans="1:12" hidden="1">
      <c r="A23" s="115" t="s">
        <v>121</v>
      </c>
      <c r="B23" s="126">
        <f>B21</f>
        <v>0</v>
      </c>
      <c r="C23" s="50"/>
      <c r="D23" s="66"/>
      <c r="E23" s="13"/>
      <c r="F23" s="4"/>
      <c r="G23" s="122"/>
      <c r="H23" s="123"/>
      <c r="I23" s="124"/>
      <c r="J23" s="146"/>
    </row>
    <row r="24" spans="1:12">
      <c r="A24" s="111" t="s">
        <v>65</v>
      </c>
      <c r="B24" s="112"/>
      <c r="C24" s="51"/>
      <c r="D24" s="52"/>
      <c r="E24" s="114"/>
      <c r="F24" s="14"/>
      <c r="G24" s="119"/>
      <c r="H24" s="120"/>
      <c r="I24" s="124"/>
      <c r="J24" s="146"/>
    </row>
    <row r="25" spans="1:12">
      <c r="A25" s="115" t="s">
        <v>120</v>
      </c>
      <c r="B25" s="116"/>
      <c r="C25" s="49" t="s">
        <v>61</v>
      </c>
      <c r="D25" s="117"/>
      <c r="E25" s="118"/>
      <c r="F25" s="48"/>
      <c r="G25" s="119">
        <f>E137</f>
        <v>0</v>
      </c>
      <c r="H25" s="120" t="e">
        <f>G25/(E5-F15)</f>
        <v>#DIV/0!</v>
      </c>
      <c r="I25" s="121"/>
      <c r="J25" s="146">
        <f>O347</f>
        <v>0</v>
      </c>
    </row>
    <row r="26" spans="1:12">
      <c r="A26" s="115" t="s">
        <v>121</v>
      </c>
      <c r="B26" s="60"/>
      <c r="C26" s="50"/>
      <c r="D26" s="66"/>
      <c r="E26" s="13"/>
      <c r="F26" s="4"/>
      <c r="G26" s="122"/>
      <c r="H26" s="123"/>
      <c r="I26" s="124"/>
      <c r="J26" s="146"/>
    </row>
    <row r="27" spans="1:12">
      <c r="A27" s="115" t="s">
        <v>122</v>
      </c>
      <c r="B27" s="116"/>
      <c r="C27" s="49" t="s">
        <v>61</v>
      </c>
      <c r="D27" s="117"/>
      <c r="E27" s="118"/>
      <c r="F27" s="4"/>
      <c r="G27" s="122">
        <f>AE165</f>
        <v>0</v>
      </c>
      <c r="H27" s="120" t="e">
        <f>G27/(E5-F15)</f>
        <v>#DIV/0!</v>
      </c>
      <c r="I27" s="124"/>
      <c r="J27" s="146">
        <f>Blad1!O347</f>
        <v>0</v>
      </c>
    </row>
    <row r="28" spans="1:12" hidden="1">
      <c r="A28" s="115" t="s">
        <v>121</v>
      </c>
      <c r="B28" s="126">
        <f>B26</f>
        <v>0</v>
      </c>
      <c r="C28" s="50"/>
      <c r="D28" s="66"/>
      <c r="E28" s="13"/>
      <c r="F28" s="4"/>
      <c r="G28" s="122"/>
      <c r="H28" s="123"/>
      <c r="I28" s="124"/>
      <c r="J28" s="146"/>
    </row>
    <row r="29" spans="1:12">
      <c r="A29" s="111" t="s">
        <v>67</v>
      </c>
      <c r="B29" s="112"/>
      <c r="C29" s="51"/>
      <c r="D29" s="52"/>
      <c r="E29" s="114"/>
      <c r="F29" s="14"/>
      <c r="G29" s="119"/>
      <c r="H29" s="120"/>
      <c r="I29" s="124"/>
      <c r="J29" s="146"/>
    </row>
    <row r="30" spans="1:12">
      <c r="A30" s="115" t="s">
        <v>120</v>
      </c>
      <c r="B30" s="116"/>
      <c r="C30" s="49" t="s">
        <v>61</v>
      </c>
      <c r="D30" s="117"/>
      <c r="E30" s="118"/>
      <c r="F30" s="48"/>
      <c r="G30" s="119">
        <f>F137</f>
        <v>0</v>
      </c>
      <c r="H30" s="120" t="e">
        <f>G30/(E5-F15)</f>
        <v>#DIV/0!</v>
      </c>
      <c r="I30" s="121"/>
      <c r="J30" s="146">
        <f>O450</f>
        <v>0</v>
      </c>
    </row>
    <row r="31" spans="1:12">
      <c r="A31" s="115" t="s">
        <v>121</v>
      </c>
      <c r="B31" s="60"/>
      <c r="C31" s="50"/>
      <c r="D31" s="66"/>
      <c r="E31" s="13"/>
      <c r="F31" s="4"/>
      <c r="G31" s="122"/>
      <c r="H31" s="123"/>
      <c r="I31" s="124"/>
      <c r="J31" s="146"/>
    </row>
    <row r="32" spans="1:12">
      <c r="A32" s="115" t="s">
        <v>122</v>
      </c>
      <c r="B32" s="116"/>
      <c r="C32" s="49" t="s">
        <v>61</v>
      </c>
      <c r="D32" s="117"/>
      <c r="E32" s="118"/>
      <c r="F32" s="4"/>
      <c r="G32" s="122">
        <f>AF165</f>
        <v>0</v>
      </c>
      <c r="H32" s="120" t="e">
        <f>G32/(E5-F15)</f>
        <v>#DIV/0!</v>
      </c>
      <c r="I32" s="124"/>
      <c r="J32" s="146">
        <f>Blad1!O450</f>
        <v>0</v>
      </c>
    </row>
    <row r="33" spans="1:10" hidden="1">
      <c r="A33" s="115" t="s">
        <v>121</v>
      </c>
      <c r="B33" s="126">
        <f>B31</f>
        <v>0</v>
      </c>
      <c r="C33" s="50"/>
      <c r="D33" s="66"/>
      <c r="E33" s="13"/>
      <c r="F33" s="4"/>
      <c r="G33" s="122"/>
      <c r="H33" s="123"/>
      <c r="I33" s="124"/>
      <c r="J33" s="146"/>
    </row>
    <row r="34" spans="1:10">
      <c r="A34" s="111" t="s">
        <v>68</v>
      </c>
      <c r="B34" s="112"/>
      <c r="C34" s="51"/>
      <c r="D34" s="52"/>
      <c r="E34" s="114"/>
      <c r="F34" s="14"/>
      <c r="G34" s="119"/>
      <c r="H34" s="120"/>
      <c r="I34" s="124"/>
      <c r="J34" s="146"/>
    </row>
    <row r="35" spans="1:10">
      <c r="A35" s="115" t="s">
        <v>120</v>
      </c>
      <c r="B35" s="116"/>
      <c r="C35" s="49" t="s">
        <v>61</v>
      </c>
      <c r="D35" s="117"/>
      <c r="E35" s="157"/>
      <c r="F35" s="48"/>
      <c r="G35" s="119">
        <f>G137</f>
        <v>0</v>
      </c>
      <c r="H35" s="120" t="e">
        <f>G35/(E5-F15)</f>
        <v>#DIV/0!</v>
      </c>
      <c r="I35" s="121"/>
      <c r="J35" s="146">
        <f>O553</f>
        <v>0</v>
      </c>
    </row>
    <row r="36" spans="1:10">
      <c r="A36" s="115" t="s">
        <v>121</v>
      </c>
      <c r="B36" s="60"/>
      <c r="C36" s="50"/>
      <c r="D36" s="66"/>
      <c r="E36" s="13"/>
      <c r="F36" s="4"/>
      <c r="G36" s="122"/>
      <c r="H36" s="123"/>
      <c r="I36" s="124"/>
      <c r="J36" s="146"/>
    </row>
    <row r="37" spans="1:10">
      <c r="A37" s="115" t="s">
        <v>122</v>
      </c>
      <c r="B37" s="116"/>
      <c r="C37" s="49" t="s">
        <v>61</v>
      </c>
      <c r="D37" s="117"/>
      <c r="E37" s="118"/>
      <c r="F37" s="4"/>
      <c r="G37" s="122">
        <f>AG165</f>
        <v>0</v>
      </c>
      <c r="H37" s="120" t="e">
        <f>G37/(E5-F15)</f>
        <v>#DIV/0!</v>
      </c>
      <c r="I37" s="124"/>
      <c r="J37" s="146">
        <f>Blad1!O553</f>
        <v>0</v>
      </c>
    </row>
    <row r="38" spans="1:10" hidden="1">
      <c r="A38" s="115" t="s">
        <v>121</v>
      </c>
      <c r="B38" s="126">
        <f>B36</f>
        <v>0</v>
      </c>
      <c r="C38" s="50"/>
      <c r="D38" s="66"/>
      <c r="E38" s="13"/>
      <c r="F38" s="4"/>
      <c r="G38" s="122"/>
      <c r="H38" s="123"/>
      <c r="I38" s="124"/>
      <c r="J38" s="146"/>
    </row>
    <row r="39" spans="1:10">
      <c r="A39" s="111" t="s">
        <v>69</v>
      </c>
      <c r="B39" s="112"/>
      <c r="C39" s="51"/>
      <c r="D39" s="52"/>
      <c r="E39" s="114"/>
      <c r="F39" s="14"/>
      <c r="G39" s="119"/>
      <c r="H39" s="120"/>
      <c r="I39" s="127"/>
      <c r="J39" s="147"/>
    </row>
    <row r="40" spans="1:10">
      <c r="A40" s="115" t="s">
        <v>120</v>
      </c>
      <c r="B40" s="116"/>
      <c r="C40" s="49" t="s">
        <v>61</v>
      </c>
      <c r="D40" s="117"/>
      <c r="E40" s="118"/>
      <c r="F40" s="48"/>
      <c r="G40" s="119">
        <f>H137</f>
        <v>0</v>
      </c>
      <c r="H40" s="120" t="e">
        <f>G40/(E5-F15)</f>
        <v>#DIV/0!</v>
      </c>
      <c r="I40" s="128"/>
      <c r="J40" s="146">
        <f>O656</f>
        <v>0</v>
      </c>
    </row>
    <row r="41" spans="1:10">
      <c r="A41" s="115" t="s">
        <v>121</v>
      </c>
      <c r="B41" s="60"/>
      <c r="C41" s="50"/>
      <c r="D41" s="66"/>
      <c r="E41" s="13"/>
      <c r="F41" s="4"/>
      <c r="G41" s="122"/>
      <c r="H41" s="123"/>
      <c r="I41" s="127"/>
      <c r="J41" s="147"/>
    </row>
    <row r="42" spans="1:10">
      <c r="A42" s="115" t="s">
        <v>122</v>
      </c>
      <c r="B42" s="116"/>
      <c r="C42" s="49" t="s">
        <v>61</v>
      </c>
      <c r="D42" s="117"/>
      <c r="E42" s="118"/>
      <c r="F42" s="4"/>
      <c r="G42" s="122">
        <f>AH165</f>
        <v>0</v>
      </c>
      <c r="H42" s="120" t="e">
        <f>G42/(E5-F15)</f>
        <v>#DIV/0!</v>
      </c>
      <c r="I42" s="127"/>
      <c r="J42" s="147">
        <f>Blad1!O656</f>
        <v>0</v>
      </c>
    </row>
    <row r="43" spans="1:10" hidden="1">
      <c r="A43" s="115" t="s">
        <v>121</v>
      </c>
      <c r="B43" s="126">
        <f>B41</f>
        <v>0</v>
      </c>
      <c r="C43" s="50"/>
      <c r="D43" s="66"/>
      <c r="E43" s="13"/>
      <c r="F43" s="4"/>
      <c r="G43" s="122"/>
      <c r="H43" s="123"/>
      <c r="I43" s="127"/>
      <c r="J43" s="147"/>
    </row>
    <row r="44" spans="1:10">
      <c r="A44" s="111" t="s">
        <v>70</v>
      </c>
      <c r="B44" s="112"/>
      <c r="C44" s="51"/>
      <c r="D44" s="52"/>
      <c r="E44" s="114"/>
      <c r="F44" s="14"/>
      <c r="G44" s="119"/>
      <c r="H44" s="120"/>
      <c r="I44" s="124"/>
      <c r="J44" s="146"/>
    </row>
    <row r="45" spans="1:10">
      <c r="A45" s="115" t="s">
        <v>120</v>
      </c>
      <c r="B45" s="116"/>
      <c r="C45" s="49" t="s">
        <v>61</v>
      </c>
      <c r="D45" s="117"/>
      <c r="E45" s="118"/>
      <c r="F45" s="48"/>
      <c r="G45" s="119">
        <f>I137</f>
        <v>0</v>
      </c>
      <c r="H45" s="120" t="e">
        <f>G45/(E5-F15)</f>
        <v>#DIV/0!</v>
      </c>
      <c r="I45" s="121"/>
      <c r="J45" s="146">
        <f>O759</f>
        <v>0</v>
      </c>
    </row>
    <row r="46" spans="1:10">
      <c r="A46" s="115" t="s">
        <v>121</v>
      </c>
      <c r="B46" s="60"/>
      <c r="C46" s="50"/>
      <c r="D46" s="66"/>
      <c r="E46" s="13"/>
      <c r="F46" s="4"/>
      <c r="G46" s="122"/>
      <c r="H46" s="123"/>
      <c r="I46" s="124"/>
      <c r="J46" s="146"/>
    </row>
    <row r="47" spans="1:10">
      <c r="A47" s="115" t="s">
        <v>122</v>
      </c>
      <c r="B47" s="116"/>
      <c r="C47" s="49" t="s">
        <v>61</v>
      </c>
      <c r="D47" s="117"/>
      <c r="E47" s="118"/>
      <c r="F47" s="4"/>
      <c r="G47" s="122">
        <f>AI165</f>
        <v>0</v>
      </c>
      <c r="H47" s="120" t="e">
        <f>G47/(E5-F15)</f>
        <v>#DIV/0!</v>
      </c>
      <c r="I47" s="124"/>
      <c r="J47" s="146">
        <f>Blad1!O759</f>
        <v>0</v>
      </c>
    </row>
    <row r="48" spans="1:10" hidden="1">
      <c r="A48" s="115" t="s">
        <v>121</v>
      </c>
      <c r="B48" s="126">
        <f>B46</f>
        <v>0</v>
      </c>
      <c r="C48" s="50"/>
      <c r="D48" s="66"/>
      <c r="E48" s="13"/>
      <c r="F48" s="4"/>
      <c r="G48" s="122"/>
      <c r="H48" s="123"/>
      <c r="I48" s="124"/>
      <c r="J48" s="146"/>
    </row>
    <row r="49" spans="1:10">
      <c r="A49" s="111" t="s">
        <v>71</v>
      </c>
      <c r="B49" s="112"/>
      <c r="C49" s="51"/>
      <c r="D49" s="52"/>
      <c r="E49" s="114"/>
      <c r="F49" s="4"/>
      <c r="G49" s="119"/>
      <c r="H49" s="120"/>
      <c r="I49" s="124"/>
      <c r="J49" s="146"/>
    </row>
    <row r="50" spans="1:10">
      <c r="A50" s="115" t="s">
        <v>120</v>
      </c>
      <c r="B50" s="116"/>
      <c r="C50" s="49" t="s">
        <v>61</v>
      </c>
      <c r="D50" s="117"/>
      <c r="E50" s="118"/>
      <c r="F50" s="48"/>
      <c r="G50" s="119">
        <f>J137</f>
        <v>0</v>
      </c>
      <c r="H50" s="120" t="e">
        <f>G50/(E5-F15)</f>
        <v>#DIV/0!</v>
      </c>
      <c r="I50" s="121"/>
      <c r="J50" s="146">
        <f>O862</f>
        <v>0</v>
      </c>
    </row>
    <row r="51" spans="1:10">
      <c r="A51" s="115" t="s">
        <v>121</v>
      </c>
      <c r="B51" s="60"/>
      <c r="C51" s="50"/>
      <c r="D51" s="66"/>
      <c r="E51" s="13"/>
      <c r="F51" s="4"/>
      <c r="G51" s="122"/>
      <c r="H51" s="123"/>
      <c r="I51" s="124"/>
      <c r="J51" s="146"/>
    </row>
    <row r="52" spans="1:10">
      <c r="A52" s="115" t="s">
        <v>122</v>
      </c>
      <c r="B52" s="116"/>
      <c r="C52" s="49" t="s">
        <v>61</v>
      </c>
      <c r="D52" s="117"/>
      <c r="E52" s="118"/>
      <c r="F52" s="4"/>
      <c r="G52" s="122">
        <f>AJ165</f>
        <v>0</v>
      </c>
      <c r="H52" s="120" t="e">
        <f>G52/(E5-F15)</f>
        <v>#DIV/0!</v>
      </c>
      <c r="I52" s="124"/>
      <c r="J52" s="146">
        <f>Blad1!O862</f>
        <v>0</v>
      </c>
    </row>
    <row r="53" spans="1:10" hidden="1">
      <c r="A53" s="115" t="s">
        <v>121</v>
      </c>
      <c r="B53" s="126">
        <f>B51</f>
        <v>0</v>
      </c>
      <c r="C53" s="50"/>
      <c r="D53" s="66"/>
      <c r="E53" s="13"/>
      <c r="F53" s="4"/>
      <c r="G53" s="122"/>
      <c r="H53" s="123"/>
      <c r="I53" s="124"/>
      <c r="J53" s="146"/>
    </row>
    <row r="54" spans="1:10">
      <c r="A54" s="111" t="s">
        <v>72</v>
      </c>
      <c r="B54" s="112"/>
      <c r="C54" s="51"/>
      <c r="D54" s="52"/>
      <c r="E54" s="114"/>
      <c r="F54" s="14"/>
      <c r="G54" s="119"/>
      <c r="H54" s="120"/>
      <c r="I54" s="124"/>
      <c r="J54" s="146"/>
    </row>
    <row r="55" spans="1:10">
      <c r="A55" s="115" t="s">
        <v>120</v>
      </c>
      <c r="B55" s="116"/>
      <c r="C55" s="49" t="s">
        <v>61</v>
      </c>
      <c r="D55" s="117"/>
      <c r="E55" s="118"/>
      <c r="F55" s="48"/>
      <c r="G55" s="119">
        <f>K137</f>
        <v>0</v>
      </c>
      <c r="H55" s="120" t="e">
        <f>G55/(E5-F15)</f>
        <v>#DIV/0!</v>
      </c>
      <c r="I55" s="121"/>
      <c r="J55" s="146">
        <f>O965</f>
        <v>0</v>
      </c>
    </row>
    <row r="56" spans="1:10">
      <c r="A56" s="115" t="s">
        <v>121</v>
      </c>
      <c r="B56" s="60"/>
      <c r="C56" s="50"/>
      <c r="D56" s="66"/>
      <c r="E56" s="13"/>
      <c r="F56" s="4"/>
      <c r="G56" s="122"/>
      <c r="H56" s="123"/>
      <c r="I56" s="124"/>
      <c r="J56" s="146"/>
    </row>
    <row r="57" spans="1:10">
      <c r="A57" s="115" t="s">
        <v>122</v>
      </c>
      <c r="B57" s="116"/>
      <c r="C57" s="49" t="s">
        <v>61</v>
      </c>
      <c r="D57" s="117"/>
      <c r="E57" s="118"/>
      <c r="F57" s="4"/>
      <c r="G57" s="122">
        <f>AK165</f>
        <v>0</v>
      </c>
      <c r="H57" s="120" t="e">
        <f>G57/(E5-F15)</f>
        <v>#DIV/0!</v>
      </c>
      <c r="I57" s="124"/>
      <c r="J57" s="146">
        <f>Blad1!O965</f>
        <v>0</v>
      </c>
    </row>
    <row r="58" spans="1:10" hidden="1">
      <c r="A58" s="115" t="s">
        <v>121</v>
      </c>
      <c r="B58" s="126">
        <f>B56</f>
        <v>0</v>
      </c>
      <c r="C58" s="50"/>
      <c r="D58" s="66"/>
      <c r="E58" s="13"/>
      <c r="F58" s="4"/>
      <c r="G58" s="122"/>
      <c r="H58" s="123"/>
      <c r="I58" s="124"/>
      <c r="J58" s="146"/>
    </row>
    <row r="59" spans="1:10">
      <c r="A59" s="111" t="s">
        <v>73</v>
      </c>
      <c r="B59" s="112"/>
      <c r="C59" s="51"/>
      <c r="D59" s="52"/>
      <c r="E59" s="114"/>
      <c r="F59" s="14"/>
      <c r="G59" s="119"/>
      <c r="H59" s="120"/>
      <c r="I59" s="127"/>
      <c r="J59" s="147"/>
    </row>
    <row r="60" spans="1:10">
      <c r="A60" s="115" t="s">
        <v>120</v>
      </c>
      <c r="B60" s="116"/>
      <c r="C60" s="49" t="s">
        <v>61</v>
      </c>
      <c r="D60" s="117"/>
      <c r="E60" s="118"/>
      <c r="F60" s="48"/>
      <c r="G60" s="119">
        <f>N137</f>
        <v>0</v>
      </c>
      <c r="H60" s="120" t="e">
        <f>G60/(E5-F15)</f>
        <v>#DIV/0!</v>
      </c>
      <c r="I60" s="128"/>
      <c r="J60" s="146">
        <f>O1068</f>
        <v>0</v>
      </c>
    </row>
    <row r="61" spans="1:10">
      <c r="A61" s="115" t="s">
        <v>121</v>
      </c>
      <c r="B61" s="60"/>
      <c r="C61" s="50"/>
      <c r="D61" s="66"/>
      <c r="E61" s="13"/>
      <c r="F61" s="4"/>
      <c r="G61" s="129"/>
      <c r="H61" s="66"/>
      <c r="I61" s="66"/>
      <c r="J61" s="147"/>
    </row>
    <row r="62" spans="1:10">
      <c r="A62" s="115" t="s">
        <v>122</v>
      </c>
      <c r="B62" s="116"/>
      <c r="C62" s="49" t="s">
        <v>61</v>
      </c>
      <c r="D62" s="117"/>
      <c r="E62" s="118"/>
      <c r="F62" s="4"/>
      <c r="G62" s="119">
        <f>AL165</f>
        <v>0</v>
      </c>
      <c r="H62" s="120" t="e">
        <f>G62/(E5-F15)</f>
        <v>#DIV/0!</v>
      </c>
      <c r="I62" s="66"/>
      <c r="J62" s="147">
        <f>Blad1!O1068</f>
        <v>0</v>
      </c>
    </row>
    <row r="63" spans="1:10" hidden="1">
      <c r="A63" s="115" t="s">
        <v>121</v>
      </c>
      <c r="B63" s="126">
        <f>B61</f>
        <v>0</v>
      </c>
      <c r="C63" s="50"/>
      <c r="D63" s="66"/>
      <c r="E63" s="13"/>
      <c r="F63" s="4"/>
      <c r="G63" s="129"/>
      <c r="H63" s="66"/>
      <c r="I63" s="66"/>
      <c r="J63" s="130"/>
    </row>
    <row r="64" spans="1:10">
      <c r="A64" s="13"/>
      <c r="B64" s="13"/>
      <c r="C64" s="13"/>
      <c r="D64" s="13"/>
      <c r="E64" s="13"/>
      <c r="F64" s="91"/>
      <c r="G64" s="131"/>
      <c r="H64" s="13"/>
      <c r="I64" s="13"/>
      <c r="J64" s="119"/>
    </row>
    <row r="65" spans="1:10">
      <c r="A65" s="13"/>
      <c r="B65" s="13"/>
      <c r="C65" s="13"/>
      <c r="D65" s="13"/>
      <c r="E65" s="13"/>
      <c r="F65" s="15" t="s">
        <v>9</v>
      </c>
      <c r="G65" s="119">
        <f>SUM(G20:G60)</f>
        <v>0</v>
      </c>
      <c r="H65" s="120" t="e">
        <f>SUM(H20:H60)</f>
        <v>#DIV/0!</v>
      </c>
      <c r="I65" s="11" t="s">
        <v>5</v>
      </c>
      <c r="J65" s="122">
        <f>SUM(J20:J63)</f>
        <v>0</v>
      </c>
    </row>
    <row r="66" spans="1:10">
      <c r="A66" s="13"/>
      <c r="B66" s="13"/>
      <c r="C66" s="13"/>
      <c r="D66" s="13"/>
      <c r="E66" s="13"/>
      <c r="F66" s="4"/>
      <c r="G66" s="4"/>
      <c r="H66" s="6"/>
      <c r="I66" s="6"/>
      <c r="J66" s="6"/>
    </row>
    <row r="67" spans="1:10">
      <c r="A67" s="13"/>
      <c r="B67" s="13"/>
      <c r="C67" s="13"/>
      <c r="D67" s="13"/>
      <c r="E67" s="13"/>
      <c r="F67" s="17"/>
      <c r="G67" s="4"/>
      <c r="H67" s="6"/>
      <c r="I67" s="6"/>
      <c r="J67" s="6"/>
    </row>
    <row r="68" spans="1:10">
      <c r="A68" s="18" t="s">
        <v>2</v>
      </c>
      <c r="B68" s="18"/>
      <c r="C68" s="18"/>
      <c r="D68" s="18"/>
      <c r="E68" s="4"/>
      <c r="F68" s="4"/>
      <c r="G68" s="4"/>
      <c r="H68" s="6"/>
      <c r="I68" s="6"/>
      <c r="J68" s="6"/>
    </row>
    <row r="69" spans="1:10">
      <c r="A69" s="10"/>
      <c r="B69" s="10"/>
      <c r="C69" s="10"/>
      <c r="D69" s="10"/>
      <c r="E69" s="10"/>
      <c r="F69" s="10"/>
      <c r="G69" s="19"/>
      <c r="H69" s="6"/>
      <c r="I69" s="6" t="s">
        <v>3</v>
      </c>
      <c r="J69" s="20">
        <f>IF(E17="op voorschot",S228,W228)</f>
        <v>0</v>
      </c>
    </row>
    <row r="70" spans="1:10">
      <c r="A70" s="13" t="s">
        <v>46</v>
      </c>
      <c r="B70" s="13"/>
      <c r="C70" s="13"/>
      <c r="D70" s="13"/>
      <c r="E70" s="10"/>
      <c r="F70" s="10"/>
      <c r="G70" s="20">
        <f>J65</f>
        <v>0</v>
      </c>
      <c r="H70" s="6"/>
      <c r="I70" s="15" t="s">
        <v>4</v>
      </c>
      <c r="J70" s="21">
        <f>J69*21%</f>
        <v>0</v>
      </c>
    </row>
    <row r="71" spans="1:10">
      <c r="A71" s="13" t="s">
        <v>47</v>
      </c>
      <c r="B71" s="13"/>
      <c r="C71" s="13"/>
      <c r="D71" s="13"/>
      <c r="E71" s="10"/>
      <c r="F71" s="10"/>
      <c r="G71" s="61">
        <v>0</v>
      </c>
      <c r="H71" s="6"/>
      <c r="I71" s="6"/>
      <c r="J71" s="6"/>
    </row>
    <row r="72" spans="1:10">
      <c r="A72" s="13" t="s">
        <v>48</v>
      </c>
      <c r="B72" s="13"/>
      <c r="C72" s="13"/>
      <c r="D72" s="13"/>
      <c r="E72" s="59">
        <v>0</v>
      </c>
      <c r="G72" s="20">
        <f>E72*30</f>
        <v>0</v>
      </c>
      <c r="H72" s="6"/>
      <c r="I72" s="6"/>
      <c r="J72" s="6"/>
    </row>
    <row r="73" spans="1:10">
      <c r="A73" s="10"/>
      <c r="B73" s="10"/>
      <c r="C73" s="10"/>
      <c r="D73" s="10"/>
      <c r="E73" s="10"/>
      <c r="F73" s="10"/>
      <c r="G73" s="20"/>
      <c r="H73" s="6"/>
      <c r="I73" s="6"/>
      <c r="J73" s="6"/>
    </row>
    <row r="74" spans="1:10">
      <c r="A74" s="13" t="s">
        <v>49</v>
      </c>
      <c r="B74" s="13"/>
      <c r="C74" s="13"/>
      <c r="D74" s="13"/>
      <c r="E74" s="10"/>
      <c r="F74" s="10"/>
      <c r="G74" s="61">
        <v>0</v>
      </c>
      <c r="H74" s="6"/>
      <c r="I74" s="6"/>
      <c r="J74" s="6"/>
    </row>
    <row r="75" spans="1:10">
      <c r="A75" s="13"/>
      <c r="B75" s="13"/>
      <c r="C75" s="13"/>
      <c r="D75" s="13"/>
      <c r="E75" s="10"/>
      <c r="F75" s="22" t="s">
        <v>4</v>
      </c>
      <c r="G75" s="21">
        <f>G74*21%</f>
        <v>0</v>
      </c>
      <c r="H75" s="6"/>
      <c r="I75" s="6"/>
      <c r="J75" s="6"/>
    </row>
    <row r="76" spans="1:10">
      <c r="A76" s="13" t="s">
        <v>50</v>
      </c>
      <c r="B76" s="13"/>
      <c r="C76" s="13"/>
      <c r="D76" s="13"/>
      <c r="E76" s="10"/>
      <c r="F76" s="23"/>
      <c r="G76" s="20">
        <v>7.5</v>
      </c>
      <c r="H76" s="6"/>
      <c r="I76" s="6"/>
      <c r="J76" s="6"/>
    </row>
    <row r="77" spans="1:10">
      <c r="A77" s="13"/>
      <c r="B77" s="13"/>
      <c r="C77" s="13"/>
      <c r="D77" s="13"/>
      <c r="E77" s="10"/>
      <c r="F77" s="22" t="s">
        <v>4</v>
      </c>
      <c r="G77" s="21">
        <f>G76*21%</f>
        <v>1.575</v>
      </c>
      <c r="H77" s="6"/>
      <c r="I77" s="6"/>
      <c r="J77" s="6"/>
    </row>
    <row r="78" spans="1:10">
      <c r="A78" s="13" t="s">
        <v>51</v>
      </c>
      <c r="B78" s="13"/>
      <c r="C78" s="13"/>
      <c r="D78" s="13"/>
      <c r="E78" s="10"/>
      <c r="F78" s="23"/>
      <c r="G78" s="61">
        <v>762.5</v>
      </c>
      <c r="H78" s="6"/>
      <c r="I78" s="6"/>
      <c r="J78" s="6"/>
    </row>
    <row r="79" spans="1:10">
      <c r="A79" s="13"/>
      <c r="B79" s="13"/>
      <c r="C79" s="13"/>
      <c r="D79" s="13"/>
      <c r="E79" s="10"/>
      <c r="F79" s="22" t="s">
        <v>4</v>
      </c>
      <c r="G79" s="21">
        <f>G78*21%</f>
        <v>160.125</v>
      </c>
      <c r="H79" s="6"/>
      <c r="I79" s="6"/>
      <c r="J79" s="6"/>
    </row>
    <row r="80" spans="1:10">
      <c r="A80" s="10"/>
      <c r="B80" s="10"/>
      <c r="C80" s="10"/>
      <c r="D80" s="10"/>
      <c r="E80" s="10"/>
      <c r="F80" s="10"/>
      <c r="G80" s="20"/>
      <c r="H80" s="6"/>
      <c r="I80" s="6"/>
      <c r="J80" s="6"/>
    </row>
    <row r="81" spans="1:10">
      <c r="A81" s="10"/>
      <c r="B81" s="10"/>
      <c r="C81" s="10"/>
      <c r="D81" s="10"/>
      <c r="E81" s="10"/>
      <c r="F81" s="10" t="s">
        <v>6</v>
      </c>
      <c r="G81" s="20">
        <f>SUM(G70,G72,G74,G76,G78)</f>
        <v>770</v>
      </c>
      <c r="H81" s="6"/>
      <c r="I81" s="6" t="s">
        <v>5</v>
      </c>
      <c r="J81" s="20">
        <f>J69</f>
        <v>0</v>
      </c>
    </row>
    <row r="82" spans="1:10">
      <c r="A82" s="10"/>
      <c r="B82" s="10"/>
      <c r="C82" s="10"/>
      <c r="D82" s="10"/>
      <c r="E82" s="10"/>
      <c r="F82" s="10"/>
      <c r="G82" s="10"/>
      <c r="H82" s="6"/>
      <c r="I82" s="10" t="s">
        <v>6</v>
      </c>
      <c r="J82" s="20">
        <f>SUM(G69:G78)</f>
        <v>771.57500000000005</v>
      </c>
    </row>
    <row r="83" spans="1:10">
      <c r="A83" s="10"/>
      <c r="B83" s="10"/>
      <c r="C83" s="10"/>
      <c r="D83" s="10"/>
      <c r="E83" s="10"/>
      <c r="F83" s="10"/>
      <c r="G83" s="10"/>
      <c r="H83" s="6"/>
      <c r="I83" s="6" t="s">
        <v>7</v>
      </c>
      <c r="J83" s="20">
        <f>SUM(J81+G81)</f>
        <v>770</v>
      </c>
    </row>
    <row r="84" spans="1:10">
      <c r="J84" s="20"/>
    </row>
    <row r="85" spans="1:10">
      <c r="I85" s="6" t="s">
        <v>8</v>
      </c>
      <c r="J85" s="20">
        <f>SUM(G75,G77,G79,J70)</f>
        <v>161.69999999999999</v>
      </c>
    </row>
    <row r="86" spans="1:10" ht="13.5" thickBot="1">
      <c r="J86" s="20"/>
    </row>
    <row r="87" spans="1:10" ht="14.25" thickTop="1" thickBot="1">
      <c r="E87" s="24"/>
      <c r="I87" s="25" t="s">
        <v>9</v>
      </c>
      <c r="J87" s="1">
        <f>SUM(J83:J85)</f>
        <v>931.7</v>
      </c>
    </row>
    <row r="88" spans="1:10" ht="13.5" thickTop="1">
      <c r="E88" s="24"/>
      <c r="I88" s="25"/>
    </row>
    <row r="89" spans="1:10" ht="14.25">
      <c r="E89" s="151" t="s">
        <v>92</v>
      </c>
      <c r="F89" s="26"/>
      <c r="G89" s="62" t="s">
        <v>91</v>
      </c>
      <c r="I89" s="53"/>
      <c r="J89" s="53"/>
    </row>
    <row r="90" spans="1:10" ht="14.25">
      <c r="E90" s="62" t="s">
        <v>83</v>
      </c>
      <c r="F90" s="26"/>
      <c r="G90" s="62" t="s">
        <v>84</v>
      </c>
      <c r="I90" s="53"/>
      <c r="J90" s="53"/>
    </row>
    <row r="91" spans="1:10" ht="14.25">
      <c r="E91" s="62" t="s">
        <v>85</v>
      </c>
      <c r="F91" s="26"/>
      <c r="G91" s="62" t="s">
        <v>86</v>
      </c>
      <c r="I91" s="53"/>
      <c r="J91" s="53"/>
    </row>
    <row r="92" spans="1:10" ht="14.25">
      <c r="E92" s="62" t="s">
        <v>87</v>
      </c>
      <c r="F92" s="26"/>
      <c r="G92" s="62" t="s">
        <v>88</v>
      </c>
      <c r="I92" s="53"/>
      <c r="J92" s="53"/>
    </row>
    <row r="93" spans="1:10" ht="14.25">
      <c r="E93" s="62" t="s">
        <v>89</v>
      </c>
      <c r="F93" s="26"/>
      <c r="G93" s="62" t="s">
        <v>90</v>
      </c>
      <c r="I93" s="53"/>
      <c r="J93" s="53"/>
    </row>
    <row r="94" spans="1:10" ht="14.25">
      <c r="E94" s="27"/>
      <c r="F94" s="26"/>
      <c r="G94" s="27"/>
      <c r="I94" s="53"/>
      <c r="J94" s="53"/>
    </row>
    <row r="95" spans="1:10">
      <c r="E95" s="24"/>
      <c r="G95" s="63" t="s">
        <v>52</v>
      </c>
    </row>
    <row r="96" spans="1:10">
      <c r="E96" s="24"/>
      <c r="G96" s="24"/>
    </row>
    <row r="97" spans="1:44" hidden="1">
      <c r="E97" s="24"/>
      <c r="G97" s="24"/>
    </row>
    <row r="98" spans="1:44" hidden="1">
      <c r="A98" s="28" t="s">
        <v>76</v>
      </c>
      <c r="B98" s="28"/>
      <c r="C98" s="28"/>
      <c r="D98" s="28"/>
      <c r="F98" s="29"/>
      <c r="AA98" s="28"/>
      <c r="AB98" s="28"/>
      <c r="AC98" s="28"/>
      <c r="AD98" s="28"/>
      <c r="AF98" s="29"/>
    </row>
    <row r="99" spans="1:44" hidden="1">
      <c r="A99" s="28"/>
      <c r="B99" s="28"/>
      <c r="C99" s="28"/>
      <c r="D99" s="28"/>
      <c r="F99" s="29"/>
      <c r="AA99" s="28"/>
      <c r="AB99" s="28"/>
      <c r="AC99" s="28"/>
      <c r="AD99" s="28"/>
      <c r="AF99" s="29"/>
    </row>
    <row r="100" spans="1:44" hidden="1">
      <c r="A100" s="30">
        <f>IF(AND(E20="VG",B21&lt;20),E7*18*B20/D20,0)</f>
        <v>0</v>
      </c>
      <c r="B100" s="30"/>
      <c r="C100" s="30"/>
      <c r="D100" s="30"/>
      <c r="E100" s="7">
        <f>IF(AND(E25="VG",B26&lt;20),E7*18*B25/D25,0)</f>
        <v>0</v>
      </c>
      <c r="F100" s="29">
        <f>IF(AND(E30="VG",B31&lt;20),E7*18*B30/D30,0)</f>
        <v>0</v>
      </c>
      <c r="G100" s="149">
        <f>IF(AND(E35="VG",B36&lt;20),E7*18*B35/D35,0)</f>
        <v>0</v>
      </c>
      <c r="H100" s="7">
        <f>IF(AND(E40="VG",B41&lt;20),E7*18*B40/D40,0)</f>
        <v>0</v>
      </c>
      <c r="I100" s="7">
        <f>IF(AND(E45="VG",B46&lt;20),E7*18*B45/D45,0)</f>
        <v>0</v>
      </c>
      <c r="J100" s="7">
        <f>IF(AND(E50="VG",B51&lt;20),E7*18*B50/D50,0)</f>
        <v>0</v>
      </c>
      <c r="K100" s="7">
        <f>IF(AND(E55="VG",B56&lt;20),E7*18*B55/D55,0)</f>
        <v>0</v>
      </c>
      <c r="N100" s="7">
        <f>IF(AND(E60="VG",B61&lt;20),E7*18*B60/D60,0)</f>
        <v>0</v>
      </c>
      <c r="P100" s="30">
        <f>IF(E7*18&gt;E5*80%,E5*80%*B20/D20,A100)</f>
        <v>0</v>
      </c>
      <c r="Q100" s="7">
        <f>IF(E7*18&gt;E5*80%,E5*80%*B25/D25,E100)</f>
        <v>0</v>
      </c>
      <c r="R100" s="29">
        <f>IF(E7*18&gt;E5*80%,E5*80%*B30/D30,F100)</f>
        <v>0</v>
      </c>
      <c r="S100" s="7">
        <f>IF(E7*18&gt;E5*80%,E5*80%*B35/D35,G100)</f>
        <v>0</v>
      </c>
      <c r="T100" s="7">
        <f>IF(E7*18&gt;E5*80%,E5*80%*B40/D40,H100)</f>
        <v>0</v>
      </c>
      <c r="U100" s="7">
        <f>IF(E7*18&gt;E5*80%,E5*80%*B45/D45,I100)</f>
        <v>0</v>
      </c>
      <c r="V100" s="7">
        <f>IF(E7*18&gt;E5*80%,E5*80%*B50/D50,J100)</f>
        <v>0</v>
      </c>
      <c r="W100" s="7">
        <f>IF(E7*18&gt;E5*80%,E5*80%*B55/D55,K100)</f>
        <v>0</v>
      </c>
      <c r="X100" s="7">
        <f>IF(E7*18&gt;E5*80%,E5*80%*B60/D60,N100)</f>
        <v>0</v>
      </c>
      <c r="AA100" s="30"/>
      <c r="AB100" s="30"/>
      <c r="AC100" s="30"/>
      <c r="AD100" s="30"/>
      <c r="AF100" s="29"/>
      <c r="AP100" s="30"/>
      <c r="AR100" s="29"/>
    </row>
    <row r="101" spans="1:44" hidden="1">
      <c r="A101" s="30"/>
      <c r="B101" s="30"/>
      <c r="C101" s="30"/>
      <c r="D101" s="30"/>
      <c r="F101" s="29"/>
      <c r="P101" s="30"/>
      <c r="R101" s="29"/>
      <c r="AA101" s="30"/>
      <c r="AB101" s="30"/>
      <c r="AC101" s="30"/>
      <c r="AD101" s="30"/>
      <c r="AF101" s="29"/>
      <c r="AP101" s="30"/>
      <c r="AR101" s="29"/>
    </row>
    <row r="102" spans="1:44" hidden="1">
      <c r="A102" s="30">
        <f>IF(AND(E20="VG",B21&gt;=20,B21&lt;=29),E7*17*B20/D20,0)</f>
        <v>0</v>
      </c>
      <c r="B102" s="30"/>
      <c r="C102" s="30"/>
      <c r="D102" s="30"/>
      <c r="E102" s="7">
        <f>IF(AND(E25="VG",B26&gt;=20,B26&lt;=29),E7*17*B25/D25,0)</f>
        <v>0</v>
      </c>
      <c r="F102" s="29">
        <f>IF(AND(E30="VG",B31&gt;=20,B31&lt;=29),E7*17*B30/D30,0)</f>
        <v>0</v>
      </c>
      <c r="G102" s="7">
        <f>IF(AND(E35="VG",B36&gt;=20,B36&lt;=29),E7*17*B35/D35,0)</f>
        <v>0</v>
      </c>
      <c r="H102" s="7">
        <f>IF(AND(E40="VG",B41&gt;=20,B41&lt;=29),E7*17*B40/D40,0)</f>
        <v>0</v>
      </c>
      <c r="I102" s="7">
        <f>IF(AND(E45="VG",B46&gt;=20,B46&lt;=29),E7*17*B45/D45,0)</f>
        <v>0</v>
      </c>
      <c r="J102" s="7">
        <f>IF(AND(E50="VG",B51&gt;=20,B51&lt;=29),E7*17*B50/D50,0)</f>
        <v>0</v>
      </c>
      <c r="K102" s="7">
        <f>IF(AND(E55="VG",B56&gt;=20,B56&lt;=29),E7*17*B55/D55,0)</f>
        <v>0</v>
      </c>
      <c r="N102" s="7">
        <f>IF(AND(E60="VG",B61&gt;=20,B61&lt;=29),E7*17*B60/D60,0)</f>
        <v>0</v>
      </c>
      <c r="P102" s="30">
        <f>IF(E7*17&gt;E5*80%,E5*80%*B20/D20,A102)</f>
        <v>0</v>
      </c>
      <c r="Q102" s="7">
        <f>IF(E7*17&gt;E5*80%,E5*80%*B25/D25,E102)</f>
        <v>0</v>
      </c>
      <c r="R102" s="29">
        <f>IF(E7*17&gt;E5*80%,E5*80%*B30/D30,F102)</f>
        <v>0</v>
      </c>
      <c r="S102" s="7">
        <f>IF(E7*17&gt;E5*80%,E5*80%*B35/D35,G102)</f>
        <v>0</v>
      </c>
      <c r="T102" s="7">
        <f>IF(E7*17&gt;E5*80%,E5*80%*B40/D40,H102)</f>
        <v>0</v>
      </c>
      <c r="U102" s="7">
        <f>IF(E7*17&gt;E5*80%,E5*80%*B45/D45,I102)</f>
        <v>0</v>
      </c>
      <c r="V102" s="7">
        <f>IF(E7*17&gt;E5*80%,E5*80%*B50/D50,J102)</f>
        <v>0</v>
      </c>
      <c r="W102" s="7">
        <f>IF(E7*17&gt;E5*80%,E5*80%*B55/D55,K102)</f>
        <v>0</v>
      </c>
      <c r="X102" s="7">
        <f>IF(E7*17&gt;E5*80%,E5*80%*B60/D60,N102)</f>
        <v>0</v>
      </c>
      <c r="AA102" s="30"/>
      <c r="AB102" s="30"/>
      <c r="AC102" s="30"/>
      <c r="AD102" s="30"/>
      <c r="AF102" s="29"/>
      <c r="AP102" s="30"/>
      <c r="AR102" s="29"/>
    </row>
    <row r="103" spans="1:44" hidden="1">
      <c r="A103" s="30"/>
      <c r="B103" s="30"/>
      <c r="C103" s="30"/>
      <c r="D103" s="30"/>
      <c r="F103" s="29"/>
      <c r="P103" s="30"/>
      <c r="R103" s="29"/>
      <c r="AA103" s="30"/>
      <c r="AB103" s="30"/>
      <c r="AC103" s="30"/>
      <c r="AD103" s="30"/>
      <c r="AF103" s="29"/>
      <c r="AP103" s="30"/>
      <c r="AR103" s="29"/>
    </row>
    <row r="104" spans="1:44" hidden="1">
      <c r="A104" s="30">
        <f>IF(AND(E20="VG",B21&gt;=30,B21&lt;=39),E7*16*B20/D20,0)</f>
        <v>0</v>
      </c>
      <c r="B104" s="30"/>
      <c r="C104" s="30"/>
      <c r="D104" s="30"/>
      <c r="E104" s="7">
        <f>IF(AND(E25="VG",B26&gt;=30,B26&lt;=39),E7*16*B25/D25,0)</f>
        <v>0</v>
      </c>
      <c r="F104" s="29">
        <f>IF(AND(E30="VG",B31&gt;=30,B31&lt;=39),E7*16*B30/D30,0)</f>
        <v>0</v>
      </c>
      <c r="G104" s="7">
        <f>IF(AND(E35="VG",B36&gt;=30,B36&lt;=39),E7*16*B35/D35,0)</f>
        <v>0</v>
      </c>
      <c r="H104" s="7">
        <f>IF(AND(E40="VG",B41&gt;=30,B41&lt;=39),E7*16*B40/D40,0)</f>
        <v>0</v>
      </c>
      <c r="I104" s="7">
        <f>IF(AND(E45="VG",B46&gt;=30,B46&lt;=39),E7*16*B45/D45,0)</f>
        <v>0</v>
      </c>
      <c r="J104" s="7">
        <f>IF(AND(E50="VG",B51&gt;=30,B51&lt;=39),E7*16*B50/D50,0)</f>
        <v>0</v>
      </c>
      <c r="K104" s="7">
        <f>IF(AND(E55="VG",B56&gt;=30,B56&lt;=39),E7*16*B55/D55,0)</f>
        <v>0</v>
      </c>
      <c r="N104" s="7">
        <f>IF(AND(E60="VG",B61&gt;=30,B61&lt;=39),E7*16*B60/D60,0)</f>
        <v>0</v>
      </c>
      <c r="P104" s="30">
        <f>IF(E7*16&gt;E5*80%,E5*80%*B20/D20,A104)</f>
        <v>0</v>
      </c>
      <c r="Q104" s="7">
        <f>IF(E7*16&gt;E5*80%,E5*80%*B25/D25,E104)</f>
        <v>0</v>
      </c>
      <c r="R104" s="29">
        <f>IF(E7*16&gt;E5*80%,E5*80%*B30/D30,F104)</f>
        <v>0</v>
      </c>
      <c r="S104" s="7">
        <f>IF(E7*16&gt;E5*80%,E5*80%*B35/D35,G104)</f>
        <v>0</v>
      </c>
      <c r="T104" s="7">
        <f>IF(E7*16&gt;E5*80%,E5*80%*B40/D40,H104)</f>
        <v>0</v>
      </c>
      <c r="U104" s="7">
        <f>IF(E7*16&gt;E5*80%,E5*80%*B45/D45,I104)</f>
        <v>0</v>
      </c>
      <c r="V104" s="7">
        <f>IF(E7*16&gt;E5*80%,E5*80%*B50/D50,J104)</f>
        <v>0</v>
      </c>
      <c r="W104" s="7">
        <f>IF(E7*16&gt;E5*80%,E5*80%*B55/D55,K104)</f>
        <v>0</v>
      </c>
      <c r="X104" s="7">
        <f>IF(E7*16&gt;E5*80%,E5*80%*B60/D60,N104)</f>
        <v>0</v>
      </c>
      <c r="AA104" s="30"/>
      <c r="AB104" s="30"/>
      <c r="AC104" s="30"/>
      <c r="AD104" s="30"/>
      <c r="AF104" s="29"/>
      <c r="AP104" s="30"/>
      <c r="AR104" s="29"/>
    </row>
    <row r="105" spans="1:44" hidden="1">
      <c r="A105" s="30"/>
      <c r="B105" s="30"/>
      <c r="C105" s="30"/>
      <c r="D105" s="30"/>
      <c r="F105" s="29"/>
      <c r="P105" s="30"/>
      <c r="R105" s="29"/>
      <c r="AA105" s="30"/>
      <c r="AB105" s="30"/>
      <c r="AC105" s="30"/>
      <c r="AD105" s="30"/>
      <c r="AF105" s="29"/>
      <c r="AP105" s="30"/>
      <c r="AR105" s="29"/>
    </row>
    <row r="106" spans="1:44" hidden="1">
      <c r="A106" s="30">
        <f>IF(AND(E20="VG",B21&gt;=40,B21&lt;=49),E7*14*B20/D20,0)</f>
        <v>0</v>
      </c>
      <c r="B106" s="30"/>
      <c r="C106" s="30"/>
      <c r="D106" s="30"/>
      <c r="E106" s="7">
        <f>IF(AND(E25="VG",B26&gt;=40,B26&lt;=49),E7*14*B25/D25,0)</f>
        <v>0</v>
      </c>
      <c r="F106" s="29">
        <f>IF(AND(E30="VG",B31&gt;=40,B31&lt;=49),E7*14*B30/D30,0)</f>
        <v>0</v>
      </c>
      <c r="G106" s="7">
        <f>IF(AND(E35="VG",B36&gt;=40,B36&lt;=49),E7*14*B35/D35,0)</f>
        <v>0</v>
      </c>
      <c r="H106" s="7">
        <f>IF(AND(E40="VG",B41&gt;=40,B41&lt;=49),E7*14*B40/D40,0)</f>
        <v>0</v>
      </c>
      <c r="I106" s="7">
        <f>IF(AND(E45="VG",B46&gt;=40,B46&lt;=49),E7*14*B45/D45,0)</f>
        <v>0</v>
      </c>
      <c r="J106" s="7">
        <f>IF(AND(E50="VG",B51&gt;=40,B51&lt;=49),E7*14*B50/D50,0)</f>
        <v>0</v>
      </c>
      <c r="K106" s="7">
        <f>IF(AND(E55="VG",B56&gt;=40,B56&lt;=49),E7*14*B55/D55,0)</f>
        <v>0</v>
      </c>
      <c r="M106" s="66" t="s">
        <v>63</v>
      </c>
      <c r="N106" s="7">
        <f>IF(AND(E60="VG",B61&gt;=40,B61&lt;=49),E7*14*B60/D60,0)</f>
        <v>0</v>
      </c>
      <c r="P106" s="30">
        <f>IF(E7*14&gt;E5*80%,E5*80%*B20/D20,A106)</f>
        <v>0</v>
      </c>
      <c r="Q106" s="7">
        <f>IF(E7*14&gt;E5*80%,E5*80%*B25/D25,E106)</f>
        <v>0</v>
      </c>
      <c r="R106" s="29">
        <f>IF(E7*14&gt;E5*80%,E5*80%*B30/D30,F106)</f>
        <v>0</v>
      </c>
      <c r="S106" s="7">
        <f>IF(E7*14&gt;E5*80%,E5*80%*B35/D35,G106)</f>
        <v>0</v>
      </c>
      <c r="T106" s="7">
        <f>IF(E7*14&gt;E5*80%,E5*80%*B40/D40,H106)</f>
        <v>0</v>
      </c>
      <c r="U106" s="7">
        <f>IF(E7*14&gt;E5*80%,E5*80%*B45/D45,I106)</f>
        <v>0</v>
      </c>
      <c r="V106" s="7">
        <f>IF(E7*14&gt;E5*80%,E5*80%*B50/D50,J106)</f>
        <v>0</v>
      </c>
      <c r="W106" s="7">
        <f>IF(E7*14&gt;E5*80%,E5*80%*B55/D55,K106)</f>
        <v>0</v>
      </c>
      <c r="X106" s="7">
        <f>IF(E7*14&gt;E5*80%,E5*80%*B60/D60,N106)</f>
        <v>0</v>
      </c>
      <c r="AA106" s="30"/>
      <c r="AB106" s="30"/>
      <c r="AC106" s="30"/>
      <c r="AD106" s="30"/>
      <c r="AF106" s="29"/>
      <c r="AM106" s="66"/>
      <c r="AP106" s="30"/>
      <c r="AR106" s="29"/>
    </row>
    <row r="107" spans="1:44" hidden="1">
      <c r="A107" s="30"/>
      <c r="B107" s="30"/>
      <c r="C107" s="30"/>
      <c r="D107" s="30"/>
      <c r="F107" s="29"/>
      <c r="M107" s="36" t="s">
        <v>37</v>
      </c>
      <c r="P107" s="30"/>
      <c r="R107" s="29"/>
      <c r="AA107" s="30"/>
      <c r="AB107" s="30"/>
      <c r="AC107" s="30"/>
      <c r="AD107" s="30"/>
      <c r="AF107" s="29"/>
      <c r="AM107" s="36"/>
      <c r="AP107" s="30"/>
      <c r="AR107" s="29"/>
    </row>
    <row r="108" spans="1:44" hidden="1">
      <c r="A108" s="30">
        <f>IF(AND(E20="VG",B21&gt;=50,B21&lt;=54),E7*13*B20/D20,0)</f>
        <v>0</v>
      </c>
      <c r="B108" s="30"/>
      <c r="C108" s="30"/>
      <c r="D108" s="30"/>
      <c r="E108" s="7">
        <f>IF(AND(E25="VG",B26&gt;=50,B26&lt;=54),E7*13*B25/D25,0)</f>
        <v>0</v>
      </c>
      <c r="F108" s="29">
        <f>IF(AND(E30="VG",B31&gt;=50,B31&lt;=54),E7*13*B30/D30,0)</f>
        <v>0</v>
      </c>
      <c r="G108" s="7">
        <f>IF(AND(E35="VG",B36&gt;=50,B36&lt;=54),E7*13*B35/D35,0)</f>
        <v>0</v>
      </c>
      <c r="H108" s="7">
        <f>IF(AND(E40="VG",B41&gt;=50,B41&lt;=54),E7*13*B40/D40,0)</f>
        <v>0</v>
      </c>
      <c r="I108" s="7">
        <f>IF(AND(E45="VG",B46&gt;=50,B46&lt;=54),E7*13*B45/D45,0)</f>
        <v>0</v>
      </c>
      <c r="J108" s="7">
        <f>IF(AND(E50="VG",B51&gt;=50,B51&lt;=54),E7*13*B50/D50,0)</f>
        <v>0</v>
      </c>
      <c r="K108" s="7">
        <f>IF(AND(E55="VG",B56&gt;=50,B56&lt;=54),E7*13*B55/D55,0)</f>
        <v>0</v>
      </c>
      <c r="M108" s="36" t="s">
        <v>38</v>
      </c>
      <c r="N108" s="7">
        <f>IF(AND(E60="VG",B61&gt;=50,B61&lt;=54),E7*13*B60/D60,0)</f>
        <v>0</v>
      </c>
      <c r="P108" s="30">
        <f>IF(E7*13&gt;E5*80%,E5*80%*B20/D20,A108)</f>
        <v>0</v>
      </c>
      <c r="Q108" s="7">
        <f>IF(E7*13&gt;E5*80%,E5*80%*B25/D25,E108)</f>
        <v>0</v>
      </c>
      <c r="R108" s="29">
        <f>IF(E7*13&gt;E5*80%,E5*80%*B30/D30,F108)</f>
        <v>0</v>
      </c>
      <c r="S108" s="7">
        <f>IF(E7*13&gt;E5*80%,E5*80%*B35/D35,G108)</f>
        <v>0</v>
      </c>
      <c r="T108" s="7">
        <f>IF(E7*13&gt;E5*80%,E5*80%*B40/D40,H108)</f>
        <v>0</v>
      </c>
      <c r="U108" s="7">
        <f>IF(E7*13&gt;E5*80%,E5*80%*B45/D45,I108)</f>
        <v>0</v>
      </c>
      <c r="V108" s="7">
        <f>IF(E7*13&gt;E5*80%,E5*80%*B50/D50,J108)</f>
        <v>0</v>
      </c>
      <c r="W108" s="7">
        <f>IF(E7*13&gt;E5*80%,E5*80%*B55/D55,K108)</f>
        <v>0</v>
      </c>
      <c r="X108" s="7">
        <f>IF(E7*13&gt;E5*80%,E5*80%*B60/D60,N108)</f>
        <v>0</v>
      </c>
      <c r="AA108" s="30"/>
      <c r="AB108" s="30"/>
      <c r="AC108" s="30"/>
      <c r="AD108" s="30"/>
      <c r="AF108" s="29"/>
      <c r="AM108" s="36"/>
      <c r="AP108" s="30"/>
      <c r="AR108" s="29"/>
    </row>
    <row r="109" spans="1:44" hidden="1">
      <c r="A109" s="30"/>
      <c r="B109" s="30"/>
      <c r="C109" s="30"/>
      <c r="D109" s="30"/>
      <c r="F109" s="29"/>
      <c r="M109" s="36" t="s">
        <v>39</v>
      </c>
      <c r="P109" s="30"/>
      <c r="R109" s="29"/>
      <c r="AA109" s="30"/>
      <c r="AB109" s="30"/>
      <c r="AC109" s="30"/>
      <c r="AD109" s="30"/>
      <c r="AF109" s="29"/>
      <c r="AM109" s="36"/>
      <c r="AP109" s="30"/>
      <c r="AR109" s="29"/>
    </row>
    <row r="110" spans="1:44" hidden="1">
      <c r="A110" s="30">
        <f>IF(AND(E20="VG",B21&gt;=55,B21&lt;=59),E7*11*B20/D20,0)</f>
        <v>0</v>
      </c>
      <c r="B110" s="30"/>
      <c r="C110" s="30"/>
      <c r="D110" s="30"/>
      <c r="E110" s="7">
        <f>IF(AND(E25="VG",B26&gt;=55,B26&lt;=59),E7*11*B25/D25,0)</f>
        <v>0</v>
      </c>
      <c r="F110" s="29">
        <f>IF(AND(E30="VG",B31&gt;=55,B31&lt;=59),E7*11*B30/D30,0)</f>
        <v>0</v>
      </c>
      <c r="G110" s="7">
        <f>IF(AND(E35="VG",B36&gt;=55,B36&lt;=59),E7*11*B35/D35,0)</f>
        <v>0</v>
      </c>
      <c r="H110" s="7">
        <f>IF(AND(E40="VG",B41&gt;=55,B41&lt;=59),E7*11*B40/D40,0)</f>
        <v>0</v>
      </c>
      <c r="I110" s="7">
        <f>IF(AND(E45="VG",B46&gt;=55,B46&lt;=59),E7*11*B45/D45,0)</f>
        <v>0</v>
      </c>
      <c r="J110" s="7">
        <f>IF(AND(E50="VG",B51&gt;=55,B51&lt;=59),E7*11*B50/D50,0)</f>
        <v>0</v>
      </c>
      <c r="K110" s="7">
        <f>IF(AND(E55="VG",B56&gt;=55,B56&lt;=59),E7*11*B55/D55,0)</f>
        <v>0</v>
      </c>
      <c r="M110" s="36" t="s">
        <v>41</v>
      </c>
      <c r="N110" s="7">
        <f>IF(AND(E60="VG",B61&gt;=55,B61&lt;=59),E7*11*B60/D60,0)</f>
        <v>0</v>
      </c>
      <c r="P110" s="30">
        <f>IF(E7*11&gt;E5*80%,E5*80%*B20/D20,A110)</f>
        <v>0</v>
      </c>
      <c r="Q110" s="7">
        <f>IF(E7*11&gt;E5*80%,E5*80%*B25/D25,E110)</f>
        <v>0</v>
      </c>
      <c r="R110" s="29">
        <f>IF(E7*11&gt;E5*80%,E5*80%*B30/D30,F110)</f>
        <v>0</v>
      </c>
      <c r="S110" s="7">
        <f>IF(E7*11&gt;E5*80%,E5*80%*B35/D35,G110)</f>
        <v>0</v>
      </c>
      <c r="T110" s="7">
        <f>IF(E7*11&gt;E5*80%,E5*80%*B40/D40,H110)</f>
        <v>0</v>
      </c>
      <c r="U110" s="7">
        <f>IF(E7*11&gt;E5*80%,E5*80%*B45/D45,I110)</f>
        <v>0</v>
      </c>
      <c r="V110" s="7">
        <f>IF(E7*11&gt;E5*80%,E5*80%*B50/D50,J110)</f>
        <v>0</v>
      </c>
      <c r="W110" s="7">
        <f>IF(E7*11&gt;E5*80%,E5*80%*B55/D55,K110)</f>
        <v>0</v>
      </c>
      <c r="X110" s="7">
        <f>IF(E7*11&gt;E5*80%,E5*80%*B60/D60,N110)</f>
        <v>0</v>
      </c>
      <c r="AA110" s="30"/>
      <c r="AB110" s="30"/>
      <c r="AC110" s="30"/>
      <c r="AD110" s="30"/>
      <c r="AF110" s="29"/>
      <c r="AM110" s="36"/>
      <c r="AP110" s="30"/>
      <c r="AR110" s="29"/>
    </row>
    <row r="111" spans="1:44" hidden="1">
      <c r="F111" s="29"/>
      <c r="M111" s="66"/>
      <c r="R111" s="29"/>
      <c r="AF111" s="29"/>
      <c r="AM111" s="66"/>
      <c r="AR111" s="29"/>
    </row>
    <row r="112" spans="1:44" hidden="1">
      <c r="A112" s="30">
        <f>IF(AND(E20="VG",B21&gt;=60,B21&lt;=64),E7*9.5*B20/D20,0)</f>
        <v>0</v>
      </c>
      <c r="B112" s="30"/>
      <c r="C112" s="30"/>
      <c r="D112" s="30"/>
      <c r="E112" s="7">
        <f>IF(AND(E25="VG",B26&gt;=60,B26&lt;=64),E7*9.5*B25/D25,0)</f>
        <v>0</v>
      </c>
      <c r="F112" s="29">
        <f>IF(AND(E30="VG",B31&gt;=60,B31&lt;=64),E7*9.5*B30/D30,0)</f>
        <v>0</v>
      </c>
      <c r="G112" s="7">
        <f>IF(AND(E35="VG",B36&gt;=60,B36&lt;=64),E7*9.5*B35/D35,0)</f>
        <v>0</v>
      </c>
      <c r="H112" s="7">
        <f>IF(AND(E40="VG",B41&gt;=60,B41&lt;=64),E7*9.5*B40/D40,0)</f>
        <v>0</v>
      </c>
      <c r="I112" s="7">
        <f>IF(AND(E45="VG",B46&gt;=60,B46&lt;=64),E7*9.5*B45/D45,0)</f>
        <v>0</v>
      </c>
      <c r="J112" s="7">
        <f>IF(AND(E50="VG",B51&gt;=60,B51&lt;=64),E7*9.5*B50/D50,0)</f>
        <v>0</v>
      </c>
      <c r="K112" s="7">
        <f>IF(AND(E55="VG",B56&gt;=60,B56&lt;=64),E7*9.5*B55/D55,0)</f>
        <v>0</v>
      </c>
      <c r="M112" s="36" t="s">
        <v>42</v>
      </c>
      <c r="N112" s="7">
        <f>IF(AND(E60="VG",B61&gt;=60,B61&lt;=64),E7*9.5*B60/D60,0)</f>
        <v>0</v>
      </c>
      <c r="P112" s="30">
        <f>IF(E7*9&gt;E5*80%,E5*80%*B20/D20,A112)</f>
        <v>0</v>
      </c>
      <c r="Q112" s="7">
        <f>IF(E7*9&gt;E5*80%,E5*80%*B25/D25,E112)</f>
        <v>0</v>
      </c>
      <c r="R112" s="29">
        <f>IF(E7*9&gt;E5*80%,E5*80%*B30/D30,F112)</f>
        <v>0</v>
      </c>
      <c r="S112" s="7">
        <f>IF(E7*9&gt;E5*80%,E5*80%*B35/D35,G112)</f>
        <v>0</v>
      </c>
      <c r="T112" s="7">
        <f>IF(E7*9&gt;E5*80%,E5*80%*B40/D40,H112)</f>
        <v>0</v>
      </c>
      <c r="U112" s="7">
        <f>IF(E7*9&gt;E5*80%,E5*80%*B45/D45,I112)</f>
        <v>0</v>
      </c>
      <c r="V112" s="7">
        <f>IF(E7*9&gt;E5*80%,E5*80%*B50/D50,J112)</f>
        <v>0</v>
      </c>
      <c r="W112" s="7">
        <f>IF(E7*9&gt;E5*80%,E5*80%*B55/D55,K112)</f>
        <v>0</v>
      </c>
      <c r="X112" s="7">
        <f>IF(E7*9&gt;E5*80%,E5*80%*B60/D60,N112)</f>
        <v>0</v>
      </c>
      <c r="AA112" s="30"/>
      <c r="AB112" s="30"/>
      <c r="AC112" s="30"/>
      <c r="AD112" s="30"/>
      <c r="AF112" s="29"/>
      <c r="AM112" s="36"/>
      <c r="AP112" s="30"/>
      <c r="AR112" s="29"/>
    </row>
    <row r="113" spans="1:50" hidden="1">
      <c r="A113" s="30"/>
      <c r="B113" s="30"/>
      <c r="C113" s="30"/>
      <c r="D113" s="30"/>
      <c r="F113" s="29"/>
      <c r="M113" s="36" t="s">
        <v>54</v>
      </c>
      <c r="P113" s="30"/>
      <c r="R113" s="29"/>
      <c r="AA113" s="30"/>
      <c r="AB113" s="30"/>
      <c r="AC113" s="30"/>
      <c r="AD113" s="30"/>
      <c r="AF113" s="29"/>
      <c r="AM113" s="36"/>
      <c r="AP113" s="30"/>
      <c r="AR113" s="29"/>
    </row>
    <row r="114" spans="1:50" hidden="1">
      <c r="A114" s="30">
        <f>IF(AND(E20="VG",B21&gt;=65,B21&lt;=69),E7*8*B20/D20,0)</f>
        <v>0</v>
      </c>
      <c r="B114" s="30"/>
      <c r="C114" s="30"/>
      <c r="D114" s="30"/>
      <c r="E114" s="7">
        <f>IF(AND(E25="VG",B26&gt;=65,B26&lt;=69),E7*8*B25/D25,0)</f>
        <v>0</v>
      </c>
      <c r="F114" s="29">
        <f>IF(AND(E30="VG",B31&gt;=65,B31&lt;=69),E7*8*B30/D30,0)</f>
        <v>0</v>
      </c>
      <c r="G114" s="7">
        <f>IF(AND(E35="VG",B36&gt;=65,B36&lt;=69),E7*8*B35/D35,0)</f>
        <v>0</v>
      </c>
      <c r="H114" s="7">
        <f>IF(AND(E40="VG",B41&gt;=65,B41&lt;=69),E7*8*B40/D40,0)</f>
        <v>0</v>
      </c>
      <c r="I114" s="7">
        <f>IF(AND(E45="VG",B46&gt;=65,B46&lt;=69),E7*8*B45/D45,0)</f>
        <v>0</v>
      </c>
      <c r="J114" s="7">
        <f>IF(AND(E50="VG",B51&gt;=65,B51&lt;=69),E7*8*B50/D50,0)</f>
        <v>0</v>
      </c>
      <c r="K114" s="7">
        <f>IF(AND(E55="VG",B56&gt;=65,B56&lt;=69),E7*8*B55/D55,0)</f>
        <v>0</v>
      </c>
      <c r="N114" s="7">
        <f>IF(AND(E60="VG",B61&gt;=65,B61&lt;=69),E7*8*B60/D60,0)</f>
        <v>0</v>
      </c>
      <c r="P114" s="30">
        <f>IF(E7*8&gt;E5*80%,E5*80%*B20/D20,A114)</f>
        <v>0</v>
      </c>
      <c r="Q114" s="7">
        <f>IF(E7*8&gt;E5*80%,E5*80%*B25/D25,E114)</f>
        <v>0</v>
      </c>
      <c r="R114" s="29">
        <f>IF(E7*8&gt;E5*80%,E5*80%*B30/D30,F114)</f>
        <v>0</v>
      </c>
      <c r="S114" s="7">
        <f>IF(E7*8&gt;E5*80%,E5*80%*B35/D35,G114)</f>
        <v>0</v>
      </c>
      <c r="T114" s="7">
        <f>IF(E7*8&gt;E5*80%,E5*80%*B40/D40,H114)</f>
        <v>0</v>
      </c>
      <c r="U114" s="7">
        <f>IF(E7*8&gt;E5*80%,E5*80%*B45/D45,I114)</f>
        <v>0</v>
      </c>
      <c r="V114" s="7">
        <f>IF(E7*8&gt;E5*80%,E5*80%*B50/D50,J114)</f>
        <v>0</v>
      </c>
      <c r="W114" s="7">
        <f>IF(E7*8&gt;E5*80%,E5*80%*B55/D55,K114)</f>
        <v>0</v>
      </c>
      <c r="X114" s="7">
        <f>IF(E7*8&gt;E5*80%,E5*80%*B60/D60,N114)</f>
        <v>0</v>
      </c>
      <c r="AA114" s="30"/>
      <c r="AB114" s="30"/>
      <c r="AC114" s="30"/>
      <c r="AD114" s="30"/>
      <c r="AF114" s="29"/>
      <c r="AP114" s="30"/>
      <c r="AR114" s="29"/>
    </row>
    <row r="115" spans="1:50" hidden="1">
      <c r="A115" s="30"/>
      <c r="B115" s="30"/>
      <c r="C115" s="30"/>
      <c r="D115" s="30"/>
      <c r="F115" s="29"/>
      <c r="M115" s="36" t="s">
        <v>62</v>
      </c>
      <c r="P115" s="30"/>
      <c r="R115" s="29"/>
      <c r="AA115" s="30"/>
      <c r="AB115" s="30"/>
      <c r="AC115" s="30"/>
      <c r="AD115" s="30"/>
      <c r="AF115" s="29"/>
      <c r="AM115" s="36"/>
      <c r="AP115" s="30"/>
      <c r="AR115" s="29"/>
    </row>
    <row r="116" spans="1:50" hidden="1">
      <c r="A116" s="30">
        <f>IF(AND(E20="VG",B21&gt;=70,B21&lt;=74),E7*6*B20/D20,0)</f>
        <v>0</v>
      </c>
      <c r="B116" s="30"/>
      <c r="C116" s="30"/>
      <c r="D116" s="30"/>
      <c r="E116" s="7">
        <f>IF(AND(E25="VG",B26&gt;=70,B26&lt;=74),E7*6*B25/D25,0)</f>
        <v>0</v>
      </c>
      <c r="F116" s="29">
        <f>IF(AND(E30="VG",B31&gt;=70,B31&lt;=74),E7*6*B30/D30,0)</f>
        <v>0</v>
      </c>
      <c r="G116" s="7">
        <f>IF(AND(E35="VG",B36&gt;=70,B36&lt;=74),E7*6*B35/D35,0)</f>
        <v>0</v>
      </c>
      <c r="H116" s="7">
        <f>IF(AND(E40="VG",B41&gt;=70,B41&lt;=74),E7*6*B40/D40,0)</f>
        <v>0</v>
      </c>
      <c r="I116" s="7">
        <f>IF(AND(E45="VG",B46&gt;=70,B46&lt;=74),E7*6*B45/D45,0)</f>
        <v>0</v>
      </c>
      <c r="J116" s="7">
        <f>IF(AND(E50="VG",B51&gt;=70,B51&lt;=74),E7*6*B50/D50,0)</f>
        <v>0</v>
      </c>
      <c r="K116" s="7">
        <f>IF(AND(E55="VG",B56&gt;=70,B56&lt;=74),E7*6*B55/D55,0)</f>
        <v>0</v>
      </c>
      <c r="M116" s="36" t="s">
        <v>75</v>
      </c>
      <c r="N116" s="7">
        <f>IF(AND(E60="VG",B61&gt;=70,B61&lt;=74),E7*6*B60/D60,0)</f>
        <v>0</v>
      </c>
      <c r="P116" s="30">
        <f>IF(E7*6&gt;E5*80%,E5*80%*B20/D20,A116)</f>
        <v>0</v>
      </c>
      <c r="Q116" s="7">
        <f>IF(E7*6&gt;E5*80%,E5*80%*B25/D25,E116)</f>
        <v>0</v>
      </c>
      <c r="R116" s="29">
        <f>IF(E7*6&gt;E5*80%,E5*80%*B30/D30,F116)</f>
        <v>0</v>
      </c>
      <c r="S116" s="7">
        <f>IF(E7*6&gt;E5*80%,E5*80%*B35/D35,G116)</f>
        <v>0</v>
      </c>
      <c r="T116" s="7">
        <f>IF(E7*6&gt;E5*80%,E5*80%*B40/D40,H116)</f>
        <v>0</v>
      </c>
      <c r="U116" s="7">
        <f>IF(E7*6&gt;E5*80%,E5*80%*B45/D45,I116)</f>
        <v>0</v>
      </c>
      <c r="V116" s="7">
        <f>IF(E7*6&gt;E5*80%,E5*80%*B50/D50,J116)</f>
        <v>0</v>
      </c>
      <c r="W116" s="7">
        <f>IF(E7*6&gt;E5*80%,E5*80%*B55/D55,K116)</f>
        <v>0</v>
      </c>
      <c r="X116" s="7">
        <f>IF(E7*6&gt;E5*80%,E5*80%*B60/D60,N116)</f>
        <v>0</v>
      </c>
      <c r="AA116" s="30"/>
      <c r="AB116" s="30"/>
      <c r="AC116" s="30"/>
      <c r="AD116" s="30"/>
      <c r="AF116" s="29"/>
      <c r="AM116" s="36"/>
      <c r="AP116" s="30"/>
      <c r="AR116" s="29"/>
    </row>
    <row r="117" spans="1:50" hidden="1">
      <c r="A117" s="30"/>
      <c r="B117" s="30"/>
      <c r="C117" s="30"/>
      <c r="D117" s="30"/>
      <c r="F117" s="29"/>
      <c r="M117" s="36" t="s">
        <v>66</v>
      </c>
      <c r="P117" s="30"/>
      <c r="R117" s="29"/>
      <c r="AA117" s="30"/>
      <c r="AB117" s="30"/>
      <c r="AC117" s="30"/>
      <c r="AD117" s="30"/>
      <c r="AF117" s="29"/>
      <c r="AM117" s="36"/>
      <c r="AP117" s="30"/>
      <c r="AR117" s="29"/>
    </row>
    <row r="118" spans="1:50" hidden="1">
      <c r="A118" s="30">
        <f>IF(AND(E20="VG",B21&gt;=75,B21&lt;=79),E7*4*B20/D20,0)</f>
        <v>0</v>
      </c>
      <c r="B118" s="30"/>
      <c r="C118" s="30"/>
      <c r="D118" s="30"/>
      <c r="E118" s="7">
        <f>IF(AND(E25="VG",B26&gt;=75,B26&lt;=79),E7*4*B25/D25,0)</f>
        <v>0</v>
      </c>
      <c r="F118" s="29">
        <f>IF(AND(E30="VG",B31&gt;=75,B31&lt;=79),E7*4*B30/D30,0)</f>
        <v>0</v>
      </c>
      <c r="G118" s="7">
        <f>IF(AND(E35="VG",B36&gt;=75,B36&lt;=79),E7*4*B35/D35,0)</f>
        <v>0</v>
      </c>
      <c r="H118" s="7">
        <f>IF(AND(E40="VG",B41&gt;=75,B41&lt;=79),E7*4*B40/D40,0)</f>
        <v>0</v>
      </c>
      <c r="I118" s="7">
        <f>IF(AND(E45="VG",B46&gt;=75,B46&lt;=79),E7*4*B45/D45,0)</f>
        <v>0</v>
      </c>
      <c r="J118" s="7">
        <f>IF(AND(E50="VG",B51&gt;=75,B51&lt;=79),E7*4*B50/D50,0)</f>
        <v>0</v>
      </c>
      <c r="K118" s="7">
        <f>IF(AND(E55="VG",B56&gt;=75,B56&lt;=79),E7*4*B55/D55,0)</f>
        <v>0</v>
      </c>
      <c r="M118" s="43" t="s">
        <v>123</v>
      </c>
      <c r="N118" s="7">
        <f>IF(AND(E60="VG",B61&gt;=75,B61&lt;=79),E7*4*B60/D60,0)</f>
        <v>0</v>
      </c>
      <c r="P118" s="30">
        <f>IF(E7*4&gt;E5*80%,E5*80%*B20/D20,A118)</f>
        <v>0</v>
      </c>
      <c r="Q118" s="7">
        <f>IF(E7*4&gt;E5*80%,E5*80%*B25/D25,E118)</f>
        <v>0</v>
      </c>
      <c r="R118" s="29">
        <f>IF(E7*4&gt;E5*80%,E5*80%*B30/D30,F118)</f>
        <v>0</v>
      </c>
      <c r="S118" s="7">
        <f>IF(E7*4&gt;E5*80%,E5*80%*B35/D35,G118)</f>
        <v>0</v>
      </c>
      <c r="T118" s="7">
        <f>IF(E7*4&gt;E5*80%,E5*80%*B40/D40,H118)</f>
        <v>0</v>
      </c>
      <c r="U118" s="7">
        <f>IF(E7*4&gt;E5*80%,E5*80%*B45/D45,I118)</f>
        <v>0</v>
      </c>
      <c r="V118" s="7">
        <f>IF(E7*4&gt;E5*80%,E5*80%*B50/D50,J118)</f>
        <v>0</v>
      </c>
      <c r="W118" s="7">
        <f>IF(E7*4&gt;E5*80%,E5*80%*B55/D55,K118)</f>
        <v>0</v>
      </c>
      <c r="X118" s="7">
        <f>IF(E7*4&gt;E5*80%,E5*80%*B60/D60,N118)</f>
        <v>0</v>
      </c>
      <c r="AA118" s="30"/>
      <c r="AB118" s="30"/>
      <c r="AC118" s="30"/>
      <c r="AD118" s="30"/>
      <c r="AF118" s="29"/>
      <c r="AM118" s="43"/>
      <c r="AP118" s="30"/>
      <c r="AR118" s="29"/>
    </row>
    <row r="119" spans="1:50" hidden="1">
      <c r="A119" s="30"/>
      <c r="B119" s="30"/>
      <c r="C119" s="30"/>
      <c r="D119" s="30"/>
      <c r="F119" s="29"/>
      <c r="M119" s="36" t="s">
        <v>74</v>
      </c>
      <c r="P119" s="30"/>
      <c r="R119" s="29"/>
      <c r="AA119" s="30"/>
      <c r="AB119" s="30"/>
      <c r="AC119" s="30"/>
      <c r="AD119" s="30"/>
      <c r="AF119" s="29"/>
      <c r="AM119" s="36"/>
      <c r="AP119" s="30"/>
      <c r="AR119" s="29"/>
    </row>
    <row r="120" spans="1:50" hidden="1">
      <c r="A120" s="30">
        <f>IF(AND(E20="VG",B21&gt;=80),E7*2*B20/D20,0)</f>
        <v>0</v>
      </c>
      <c r="B120" s="30"/>
      <c r="C120" s="30"/>
      <c r="D120" s="30"/>
      <c r="E120" s="7">
        <f>IF(AND(E25="VG",B26&gt;=80),E7*2*B25/D25,0)</f>
        <v>0</v>
      </c>
      <c r="F120" s="29">
        <f>IF(AND(E30="VG",B31&gt;=80),E7*2*B30/D30,0)</f>
        <v>0</v>
      </c>
      <c r="G120" s="7">
        <f>IF(AND(E35="VG",B36&gt;=80),E7*2*B35/D35,0)</f>
        <v>0</v>
      </c>
      <c r="H120" s="7">
        <f>IF(AND(E40="VG",B41&gt;=80),E7*2*B40/D40,0)</f>
        <v>0</v>
      </c>
      <c r="I120" s="7">
        <f>IF(AND(E45="VG",B46&gt;=80),E7*2*B45/D45,0)</f>
        <v>0</v>
      </c>
      <c r="J120" s="7">
        <f>IF(AND(E50="VG",B51&gt;=80),E7*2*B50/D50,0)</f>
        <v>0</v>
      </c>
      <c r="K120" s="7">
        <f>IF(AND(E55="VG",B56&gt;=80),E7*2*B55/D55,0)</f>
        <v>0</v>
      </c>
      <c r="M120" s="36" t="s">
        <v>64</v>
      </c>
      <c r="N120" s="7">
        <f>IF(AND(E60="VG",B61&gt;=80),E7*2*B60/D60,0)</f>
        <v>0</v>
      </c>
      <c r="P120" s="30">
        <f>IF(E7*2&gt;E5*80%,E5*80%*B20/D20,A120)</f>
        <v>0</v>
      </c>
      <c r="Q120" s="7">
        <f>IF(E7*2&gt;E5*80%,E5*80%*B25/D25,E120)</f>
        <v>0</v>
      </c>
      <c r="R120" s="29">
        <f>IF(E7*2&gt;E5*80%,E5*80%*B30/D30,F120)</f>
        <v>0</v>
      </c>
      <c r="S120" s="7">
        <f>IF(E7*2&gt;E5*80%,E5*80%*B35/D35,G120)</f>
        <v>0</v>
      </c>
      <c r="T120" s="7">
        <f>IF(E7*2&gt;E5*80%,E5*80%*B40/D40,H120)</f>
        <v>0</v>
      </c>
      <c r="U120" s="7">
        <f>IF(E7*2&gt;E5*80%,E5*80%*B45/D45,I120)</f>
        <v>0</v>
      </c>
      <c r="V120" s="7">
        <f>IF(E7*2&gt;E5*80%,E5*80%*B50/D50,J120)</f>
        <v>0</v>
      </c>
      <c r="W120" s="7">
        <f>IF(E7*2&gt;E5*80%,E5*80%*B55/D55,K120)</f>
        <v>0</v>
      </c>
      <c r="X120" s="7">
        <f>IF(E7*2&gt;E5*80%,E5*80%*B60/D60,N120)</f>
        <v>0</v>
      </c>
      <c r="AA120" s="30"/>
      <c r="AB120" s="30"/>
      <c r="AC120" s="30"/>
      <c r="AD120" s="30"/>
      <c r="AF120" s="29"/>
      <c r="AM120" s="36"/>
      <c r="AP120" s="30"/>
      <c r="AR120" s="29"/>
    </row>
    <row r="121" spans="1:50" ht="13.5" hidden="1" thickBot="1">
      <c r="A121" s="30"/>
      <c r="B121" s="30"/>
      <c r="C121" s="30"/>
      <c r="D121" s="30"/>
      <c r="F121" s="29"/>
      <c r="P121" s="30"/>
      <c r="R121" s="29"/>
      <c r="AA121" s="30"/>
      <c r="AB121" s="30"/>
      <c r="AC121" s="30"/>
      <c r="AD121" s="30"/>
      <c r="AF121" s="29"/>
      <c r="AP121" s="30"/>
      <c r="AR121" s="29"/>
    </row>
    <row r="122" spans="1:50" ht="13.5" hidden="1" thickBot="1">
      <c r="A122" s="31">
        <f t="shared" ref="A122:I122" si="0">SUM(A100:A120)</f>
        <v>0</v>
      </c>
      <c r="B122" s="31"/>
      <c r="C122" s="31"/>
      <c r="D122" s="31"/>
      <c r="E122" s="32">
        <f t="shared" si="0"/>
        <v>0</v>
      </c>
      <c r="F122" s="33">
        <f t="shared" si="0"/>
        <v>0</v>
      </c>
      <c r="G122" s="32">
        <f t="shared" si="0"/>
        <v>0</v>
      </c>
      <c r="H122" s="32">
        <f t="shared" si="0"/>
        <v>0</v>
      </c>
      <c r="I122" s="32">
        <f t="shared" si="0"/>
        <v>0</v>
      </c>
      <c r="J122" s="32">
        <f>SUM(I100:I120)</f>
        <v>0</v>
      </c>
      <c r="K122" s="32">
        <f>SUM(K100:K120)</f>
        <v>0</v>
      </c>
      <c r="L122" s="32"/>
      <c r="M122" s="32"/>
      <c r="N122" s="32">
        <f>SUM(N100:N120)</f>
        <v>0</v>
      </c>
      <c r="P122" s="30"/>
      <c r="R122" s="29"/>
      <c r="AA122" s="31"/>
      <c r="AB122" s="31"/>
      <c r="AC122" s="31"/>
      <c r="AD122" s="31"/>
      <c r="AE122" s="32"/>
      <c r="AF122" s="33"/>
      <c r="AG122" s="32"/>
      <c r="AH122" s="32"/>
      <c r="AI122" s="32"/>
      <c r="AJ122" s="32"/>
      <c r="AK122" s="32"/>
      <c r="AL122" s="32"/>
      <c r="AM122" s="32"/>
      <c r="AN122" s="32"/>
      <c r="AP122" s="30"/>
      <c r="AR122" s="29"/>
    </row>
    <row r="123" spans="1:50" hidden="1">
      <c r="A123" s="30"/>
      <c r="B123" s="30"/>
      <c r="C123" s="30"/>
      <c r="D123" s="30"/>
      <c r="F123" s="29"/>
      <c r="P123" s="30"/>
      <c r="R123" s="29"/>
      <c r="AA123" s="30"/>
      <c r="AB123" s="30"/>
      <c r="AC123" s="30"/>
      <c r="AD123" s="30"/>
      <c r="AF123" s="29"/>
      <c r="AP123" s="30"/>
      <c r="AR123" s="29"/>
    </row>
    <row r="124" spans="1:50" hidden="1">
      <c r="A124" s="30">
        <f>SUM(A122:N122)</f>
        <v>0</v>
      </c>
      <c r="B124" s="30"/>
      <c r="C124" s="30"/>
      <c r="D124" s="30"/>
      <c r="F124" s="29"/>
      <c r="P124" s="30"/>
      <c r="R124" s="29"/>
      <c r="AA124" s="30"/>
      <c r="AB124" s="30"/>
      <c r="AC124" s="30"/>
      <c r="AD124" s="30"/>
      <c r="AF124" s="29"/>
      <c r="AP124" s="30"/>
      <c r="AR124" s="29"/>
    </row>
    <row r="125" spans="1:50" hidden="1">
      <c r="A125" s="30"/>
      <c r="B125" s="30"/>
      <c r="C125" s="30"/>
      <c r="D125" s="30"/>
      <c r="F125" s="29"/>
      <c r="AA125" s="30"/>
      <c r="AB125" s="30"/>
      <c r="AC125" s="30"/>
      <c r="AD125" s="30"/>
      <c r="AF125" s="29"/>
    </row>
    <row r="126" spans="1:50" hidden="1">
      <c r="A126" s="30"/>
      <c r="B126" s="30"/>
      <c r="C126" s="30"/>
      <c r="D126" s="30"/>
      <c r="F126" s="29"/>
      <c r="AA126" s="90" t="s">
        <v>76</v>
      </c>
      <c r="AB126" s="90"/>
      <c r="AC126" s="90"/>
      <c r="AD126" s="90"/>
      <c r="AE126" s="66"/>
      <c r="AF126" s="91"/>
      <c r="AG126" s="66"/>
      <c r="AH126" s="66"/>
      <c r="AI126" s="66"/>
      <c r="AJ126" s="66"/>
      <c r="AK126" s="66"/>
      <c r="AL126" s="66"/>
      <c r="AM126" s="66"/>
      <c r="AN126" s="66"/>
      <c r="AO126" s="66"/>
      <c r="AP126" s="66"/>
      <c r="AQ126" s="66"/>
      <c r="AR126" s="66"/>
      <c r="AS126" s="66"/>
      <c r="AT126" s="66"/>
      <c r="AU126" s="66"/>
      <c r="AV126" s="66"/>
      <c r="AW126" s="66"/>
      <c r="AX126" s="66"/>
    </row>
    <row r="127" spans="1:50" hidden="1">
      <c r="E127" s="24"/>
      <c r="G127" s="24"/>
      <c r="AA127" s="90"/>
      <c r="AB127" s="90"/>
      <c r="AC127" s="90"/>
      <c r="AD127" s="90"/>
      <c r="AE127" s="66"/>
      <c r="AF127" s="91"/>
      <c r="AG127" s="66"/>
      <c r="AH127" s="66"/>
      <c r="AI127" s="66"/>
      <c r="AJ127" s="66"/>
      <c r="AK127" s="66"/>
      <c r="AL127" s="66"/>
      <c r="AM127" s="66"/>
      <c r="AN127" s="66"/>
      <c r="AO127" s="66"/>
      <c r="AP127" s="66"/>
      <c r="AQ127" s="66"/>
      <c r="AR127" s="66"/>
      <c r="AS127" s="66"/>
      <c r="AT127" s="66"/>
      <c r="AU127" s="66"/>
      <c r="AV127" s="66"/>
      <c r="AW127" s="66"/>
      <c r="AX127" s="66"/>
    </row>
    <row r="128" spans="1:50" hidden="1">
      <c r="E128" s="24"/>
      <c r="G128" s="24"/>
      <c r="AA128" s="133">
        <f>IF(AND(E22="VG",B23&lt;20),E7*18*B22/D22,0)</f>
        <v>0</v>
      </c>
      <c r="AB128" s="133"/>
      <c r="AC128" s="133"/>
      <c r="AD128" s="133"/>
      <c r="AE128" s="67">
        <f>IF(AND(E27="VG",B28&lt;20),E7*18*B27/D27,0)</f>
        <v>0</v>
      </c>
      <c r="AF128" s="134">
        <f>IF(AND(E32="VG",B33&lt;20),E7*18*B32/D32,0)</f>
        <v>0</v>
      </c>
      <c r="AG128" s="67">
        <f>IF(AND(E37="VG",B38&lt;20),E7*18*B37/D37,0)</f>
        <v>0</v>
      </c>
      <c r="AH128" s="67">
        <f>IF(AND(E42="VG",B43&lt;20),E7*18*B42/D42,0)</f>
        <v>0</v>
      </c>
      <c r="AI128" s="67">
        <f>IF(AND(E47="VG",B48&lt;20),E7*18*B47/D47,0)</f>
        <v>0</v>
      </c>
      <c r="AJ128" s="67">
        <f>IF(AND(E52="VG",B53&lt;20),E7*18*B52/D52,0)</f>
        <v>0</v>
      </c>
      <c r="AK128" s="67">
        <f>IF(AND(E57="VG",B58&lt;20),E7*18*B57/D57,0)</f>
        <v>0</v>
      </c>
      <c r="AL128" s="67"/>
      <c r="AM128" s="67"/>
      <c r="AN128" s="67">
        <f>IF(AND(E62="VG",B63&lt;20),E7*18*B62/D62,0)</f>
        <v>0</v>
      </c>
      <c r="AO128" s="66"/>
      <c r="AP128" s="135">
        <f>IF(E7*18&gt;E5*80%,E5*80%*B22/D22,AA128)</f>
        <v>0</v>
      </c>
      <c r="AQ128" s="136">
        <f>IF(E7*18&gt;E5*80%,E5*80%*B27/D27,AE128)</f>
        <v>0</v>
      </c>
      <c r="AR128" s="137">
        <f>IF(E7*18&gt;E5*80%,E5*80%*B32/D32,AF128)</f>
        <v>0</v>
      </c>
      <c r="AS128" s="136">
        <f>IF(E7*18&gt;E5*80%,E5*80%*B37/D37,AG128)</f>
        <v>0</v>
      </c>
      <c r="AT128" s="136">
        <f>IF(E7*18&gt;E5*80%,E5*80%*B42/D42,AH128)</f>
        <v>0</v>
      </c>
      <c r="AU128" s="136">
        <f>IF(E7*18&gt;E5*80%,E5*80%*B47/D47,AI128)</f>
        <v>0</v>
      </c>
      <c r="AV128" s="136">
        <f>IF(E7*18&gt;E5*80%,E5*80%*B52/D52,AJ128)</f>
        <v>0</v>
      </c>
      <c r="AW128" s="136">
        <f>IF(E7*18&gt;E5*80%,E5*80%*B57/D57,AK128)</f>
        <v>0</v>
      </c>
      <c r="AX128" s="136">
        <f>IF(E7*18&gt;E5*80%,E5*80%*B62/D62,AN128)</f>
        <v>0</v>
      </c>
    </row>
    <row r="129" spans="1:50" hidden="1">
      <c r="A129" s="7">
        <f>IF(E20="VG",P153,0)</f>
        <v>0</v>
      </c>
      <c r="E129" s="7">
        <f>IF(E25="VG",Q153,0)</f>
        <v>0</v>
      </c>
      <c r="F129" s="7">
        <f>IF(E30="VG",R153,0)</f>
        <v>0</v>
      </c>
      <c r="G129" s="7">
        <f>IF(E35="VG",S153,0)</f>
        <v>0</v>
      </c>
      <c r="H129" s="7">
        <f>IF(E40="VG",T153,0)</f>
        <v>0</v>
      </c>
      <c r="I129" s="7">
        <f>IF(E45="VG",U153,0)</f>
        <v>0</v>
      </c>
      <c r="J129" s="7">
        <f>IF(E50="VG",V153,0)</f>
        <v>0</v>
      </c>
      <c r="K129" s="7">
        <f>IF(E55="VG",W153,0)</f>
        <v>0</v>
      </c>
      <c r="N129" s="7">
        <f>IF(E60="VG",X153,0)</f>
        <v>0</v>
      </c>
      <c r="O129" s="158">
        <f>SUM(A129:N129)</f>
        <v>0</v>
      </c>
      <c r="P129" s="30">
        <f>IF(AND(E20="VG",B21&lt;20),P100,0)</f>
        <v>0</v>
      </c>
      <c r="Q129" s="7">
        <f>IF(AND(E25="VG",B26&lt;20),Q100,0)</f>
        <v>0</v>
      </c>
      <c r="R129" s="29">
        <f>IF(AND(E30="VG",B31&lt;20),R100,0)</f>
        <v>0</v>
      </c>
      <c r="S129" s="7">
        <f>IF(AND(E35="VG",B36&lt;20),S100,0)</f>
        <v>0</v>
      </c>
      <c r="T129" s="7">
        <f>IF(AND(E40="VG",B41&lt;20),T100,0)</f>
        <v>0</v>
      </c>
      <c r="U129" s="7">
        <f>IF(AND(E45="VG",B46&lt;20),U100,0)</f>
        <v>0</v>
      </c>
      <c r="V129" s="7">
        <f>IF(AND(E50="VG",B51&lt;20),V100,0)</f>
        <v>0</v>
      </c>
      <c r="W129" s="7">
        <f>IF(AND(E55="VG",B56&lt;20),W100,0)</f>
        <v>0</v>
      </c>
      <c r="X129" s="7">
        <f>IF(AND(E60="VG",B61&lt;20),X100,0)</f>
        <v>0</v>
      </c>
      <c r="AA129" s="133"/>
      <c r="AB129" s="133"/>
      <c r="AC129" s="133"/>
      <c r="AD129" s="133"/>
      <c r="AE129" s="67"/>
      <c r="AF129" s="134"/>
      <c r="AG129" s="67"/>
      <c r="AH129" s="67"/>
      <c r="AI129" s="67"/>
      <c r="AJ129" s="67"/>
      <c r="AK129" s="67"/>
      <c r="AL129" s="67"/>
      <c r="AM129" s="67"/>
      <c r="AN129" s="67"/>
      <c r="AO129" s="66"/>
      <c r="AP129" s="135"/>
      <c r="AQ129" s="136"/>
      <c r="AR129" s="137"/>
      <c r="AS129" s="136"/>
      <c r="AT129" s="136"/>
      <c r="AU129" s="136"/>
      <c r="AV129" s="136"/>
      <c r="AW129" s="136"/>
      <c r="AX129" s="136"/>
    </row>
    <row r="130" spans="1:50" hidden="1">
      <c r="F130" s="29"/>
      <c r="P130" s="30"/>
      <c r="R130" s="29"/>
      <c r="AA130" s="133">
        <f>IF(AND(E22="VG",B23&gt;=20,B23&lt;=29),E7*17*B22/D22,0)</f>
        <v>0</v>
      </c>
      <c r="AB130" s="133"/>
      <c r="AC130" s="133"/>
      <c r="AD130" s="133"/>
      <c r="AE130" s="67">
        <f>IF(AND(E27="VG",B28&gt;=20,B28&lt;=29),E7*17*B27/D27,0)</f>
        <v>0</v>
      </c>
      <c r="AF130" s="134">
        <f>IF(AND(E32="VG",B33&gt;=20,B33&lt;=29),E7*17*B32/D32,0)</f>
        <v>0</v>
      </c>
      <c r="AG130" s="67">
        <f>IF(AND(E37="VG",B38&gt;=20,B38&lt;=29),E7*17*B37/D37,0)</f>
        <v>0</v>
      </c>
      <c r="AH130" s="67">
        <f>IF(AND(E42="VG",B43&gt;=20,B43&lt;=29),E7*17*B42/D42,0)</f>
        <v>0</v>
      </c>
      <c r="AI130" s="67">
        <f>IF(AND(E47="VG",B48&gt;=20,B48&lt;=29),E7*17*B47/D47,0)</f>
        <v>0</v>
      </c>
      <c r="AJ130" s="67">
        <f>IF(AND(E52="VG",B53&gt;=20,B53&lt;=29),E7*17*B52/D52,0)</f>
        <v>0</v>
      </c>
      <c r="AK130" s="67">
        <f>IF(AND(E57="VG",B58&gt;=20,B58&lt;=29),E7*17*B57/D57,0)</f>
        <v>0</v>
      </c>
      <c r="AL130" s="67"/>
      <c r="AM130" s="67"/>
      <c r="AN130" s="67">
        <f>IF(AND(E62="VG",B63&gt;=20,B63&lt;=29),E7*17*B62/D62,0)</f>
        <v>0</v>
      </c>
      <c r="AO130" s="66"/>
      <c r="AP130" s="135">
        <f>IF(E7*17&gt;E5*80%,E5*80%*B22/D22,AA130)</f>
        <v>0</v>
      </c>
      <c r="AQ130" s="136">
        <f>IF(E7*17&gt;E5*80%,E5*80%*B27/D27,AE130)</f>
        <v>0</v>
      </c>
      <c r="AR130" s="137">
        <f>IF(E7*17&gt;E5*80%,E5*80%*B32/D32,AF130)</f>
        <v>0</v>
      </c>
      <c r="AS130" s="136">
        <f>IF(E7*17&gt;E5*80%,E5*80%*B37/D37,AG130)</f>
        <v>0</v>
      </c>
      <c r="AT130" s="136">
        <f>IF(E7*17&gt;E5*80%,E5*80%*B42/D42,AH130)</f>
        <v>0</v>
      </c>
      <c r="AU130" s="136">
        <f>IF(E7*17&gt;E5*80%,E5*80%*B47/D47,AI130)</f>
        <v>0</v>
      </c>
      <c r="AV130" s="136">
        <f>IF(E7*17&gt;E5*80%,E5*80%*B52/D52,AJ130)</f>
        <v>0</v>
      </c>
      <c r="AW130" s="136">
        <f>IF(E7*17&gt;E5*80%,E5*80%*B57/D57,AK130)</f>
        <v>0</v>
      </c>
      <c r="AX130" s="136">
        <f>IF(E7*18&gt;E5*80%,E5*80%*B62/D62,AN130)</f>
        <v>0</v>
      </c>
    </row>
    <row r="131" spans="1:50" hidden="1">
      <c r="A131" s="7">
        <f>IF(E20="BE",F320*B20/D20,0)</f>
        <v>0</v>
      </c>
      <c r="E131" s="7">
        <f>IF(E25="BE",F320*B25/D25,0)</f>
        <v>0</v>
      </c>
      <c r="F131" s="29">
        <f>IF(E30="BE",F320*B30/D30,0)</f>
        <v>0</v>
      </c>
      <c r="G131" s="7">
        <f>IF(E35="BE",F320*B35/D35,0)</f>
        <v>0</v>
      </c>
      <c r="H131" s="7">
        <f>IF(E40="BE",F320*B40/D40,0)</f>
        <v>0</v>
      </c>
      <c r="I131" s="7">
        <f>IF(E45="BE",F320*B45/D45,0)</f>
        <v>0</v>
      </c>
      <c r="J131" s="7">
        <f>IF(E50="BE",F320*B50/D50,0)</f>
        <v>0</v>
      </c>
      <c r="K131" s="7">
        <f>IF(E55="BE",F320*B55/D55,0)</f>
        <v>0</v>
      </c>
      <c r="N131" s="7">
        <f>IF(E60="BE",F320*B60/D60,0)</f>
        <v>0</v>
      </c>
      <c r="P131" s="30">
        <f>IF(AND(E20="VG",B21&gt;=20,B21&lt;=29),P102,0)</f>
        <v>0</v>
      </c>
      <c r="Q131" s="7">
        <f>IF(AND(E25="VG",B26&gt;=20,B26&lt;=29),Q102,0)</f>
        <v>0</v>
      </c>
      <c r="R131" s="29">
        <f>IF(AND(E30="VG",B31&gt;=20,B31&lt;=29),R102,0)</f>
        <v>0</v>
      </c>
      <c r="S131" s="7">
        <f>IF(AND(E35="VG",B36&gt;=20,B36&lt;=29),S102,0)</f>
        <v>0</v>
      </c>
      <c r="T131" s="7">
        <f>IF(AND(E40="VG",B41&gt;=20,B41&lt;=29),T102,0)</f>
        <v>0</v>
      </c>
      <c r="U131" s="7">
        <f>IF(AND(E45="VG",B46&gt;=20,B46&lt;=29),U102,0)</f>
        <v>0</v>
      </c>
      <c r="V131" s="7">
        <f>IF(AND(E50="VG",B51&gt;=20,B51&lt;=29),V102,0)</f>
        <v>0</v>
      </c>
      <c r="W131" s="7">
        <f>IF(AND(E55="VG",B56&gt;=20,B56&lt;=29),W102,0)</f>
        <v>0</v>
      </c>
      <c r="X131" s="7">
        <f>IF(AND(E60="VG",B61&gt;=20,B61&lt;=29),X102,0)</f>
        <v>0</v>
      </c>
      <c r="AA131" s="133"/>
      <c r="AB131" s="133"/>
      <c r="AC131" s="133"/>
      <c r="AD131" s="133"/>
      <c r="AE131" s="67"/>
      <c r="AF131" s="134"/>
      <c r="AG131" s="67"/>
      <c r="AH131" s="67"/>
      <c r="AI131" s="67"/>
      <c r="AJ131" s="67"/>
      <c r="AK131" s="67"/>
      <c r="AL131" s="67"/>
      <c r="AM131" s="67"/>
      <c r="AN131" s="67"/>
      <c r="AO131" s="66"/>
      <c r="AP131" s="135"/>
      <c r="AQ131" s="136"/>
      <c r="AR131" s="137"/>
      <c r="AS131" s="136"/>
      <c r="AT131" s="136"/>
      <c r="AU131" s="136"/>
      <c r="AV131" s="136"/>
      <c r="AW131" s="136"/>
      <c r="AX131" s="136"/>
    </row>
    <row r="132" spans="1:50" hidden="1">
      <c r="F132" s="29"/>
      <c r="P132" s="30"/>
      <c r="R132" s="29"/>
      <c r="AA132" s="133">
        <f>IF(AND(E22="VG",B23&gt;=30,B23&lt;=39),E7*16*B22/D22,0)</f>
        <v>0</v>
      </c>
      <c r="AB132" s="133"/>
      <c r="AC132" s="133"/>
      <c r="AD132" s="133"/>
      <c r="AE132" s="67">
        <f>IF(AND(E27="VG",B28&gt;=30,B28&lt;=39),E7*16*B27/D27,0)</f>
        <v>0</v>
      </c>
      <c r="AF132" s="134">
        <f>IF(AND(E32="VG",B33&gt;=30,B33&lt;=39),E7*16*B32/D32,0)</f>
        <v>0</v>
      </c>
      <c r="AG132" s="67">
        <f>IF(AND(E37="VG",B38&gt;=30,B38&lt;=39),E7*16*B37/D37,0)</f>
        <v>0</v>
      </c>
      <c r="AH132" s="67">
        <f>IF(AND(E42="VG",B43&gt;=30,B43&lt;=39),E7*16*B42/D42,0)</f>
        <v>0</v>
      </c>
      <c r="AI132" s="67">
        <f>IF(AND(E47="VG",B48&gt;=30,B48&lt;=39),E7*16*B47/D47,0)</f>
        <v>0</v>
      </c>
      <c r="AJ132" s="67">
        <f>IF(AND(E52="VG",B53&gt;=30,B53&lt;=39),E7*16*B52/D52,0)</f>
        <v>0</v>
      </c>
      <c r="AK132" s="67">
        <f>IF(AND(E57="VG",B58&gt;=30,B58&lt;=39),E7*16*B57/D57,0)</f>
        <v>0</v>
      </c>
      <c r="AL132" s="67"/>
      <c r="AM132" s="67"/>
      <c r="AN132" s="67">
        <f>IF(AND(E62="VG",B63&gt;=30,B63&lt;=39),E7*16*B62/D62,0)</f>
        <v>0</v>
      </c>
      <c r="AO132" s="66"/>
      <c r="AP132" s="135">
        <f>IF(E7*16&gt;E5*80%,E5*80%*B22/D22,AA132)</f>
        <v>0</v>
      </c>
      <c r="AQ132" s="136">
        <f>IF(E7*16&gt;E5*80%,E5*80%*B27/D27,AE132)</f>
        <v>0</v>
      </c>
      <c r="AR132" s="137">
        <f>IF(E7*16&gt;E5*80%,E5*80%*B32/D32,AF132)</f>
        <v>0</v>
      </c>
      <c r="AS132" s="136">
        <f>IF(E7*16&gt;E5*80%,E5*80%*B37/D37,AG132)</f>
        <v>0</v>
      </c>
      <c r="AT132" s="136">
        <f>IF(E7*16&gt;E5*80%,E5*80%*B42/D42,AH132)</f>
        <v>0</v>
      </c>
      <c r="AU132" s="136">
        <f>IF(E7*16&gt;E5*80%,E5*80%*B47/D47,AI132)</f>
        <v>0</v>
      </c>
      <c r="AV132" s="136">
        <f>IF(E7*16&gt;E5*80%,E5*80%*B52/D52,AJ132)</f>
        <v>0</v>
      </c>
      <c r="AW132" s="136">
        <f>IF(E7*16&gt;E5*80%,E5*80%*B57/D57,AK132)</f>
        <v>0</v>
      </c>
      <c r="AX132" s="136">
        <f>IF(E7*16&gt;E5*80%,E5*80%*B62/D62,AN132)</f>
        <v>0</v>
      </c>
    </row>
    <row r="133" spans="1:50" hidden="1">
      <c r="A133" s="7">
        <f>IF(E20="VE",E5*B20/D20,0)</f>
        <v>0</v>
      </c>
      <c r="E133" s="7">
        <f>IF(E25="VE",E5*B25/D25,0)</f>
        <v>0</v>
      </c>
      <c r="F133" s="29">
        <f>IF(E30="VE",E5*B30/D30,0)</f>
        <v>0</v>
      </c>
      <c r="G133" s="7">
        <f>IF(E35="VE",E5*B35/D35,0)</f>
        <v>0</v>
      </c>
      <c r="H133" s="7">
        <f>IF(E40="VE",E5*B40/D40,0)</f>
        <v>0</v>
      </c>
      <c r="I133" s="7">
        <f>IF(E45="VE",E5*B45/D45,0)</f>
        <v>0</v>
      </c>
      <c r="J133" s="7">
        <f>IF(E50="VE",E5*B50/D50,0)</f>
        <v>0</v>
      </c>
      <c r="K133" s="7">
        <f>IF(E55="VE",E5*B55/D55,0)</f>
        <v>0</v>
      </c>
      <c r="N133" s="7">
        <f>IF(E60="VE",E5*B60/D60,0)</f>
        <v>0</v>
      </c>
      <c r="P133" s="30">
        <f>IF(AND(E20="VG",B21&gt;=30,B21&lt;=39),P104,0)</f>
        <v>0</v>
      </c>
      <c r="Q133" s="7">
        <f>IF(AND(E25="VG",B26&gt;=30,B26&lt;=39),Q104,0)</f>
        <v>0</v>
      </c>
      <c r="R133" s="29">
        <f>IF(AND(E30="VG",B31&gt;=30,B31&lt;=39),R104,0)</f>
        <v>0</v>
      </c>
      <c r="S133" s="7">
        <f>IF(AND(E35="VG",B36&gt;=30,B36&lt;=39),S104,0)</f>
        <v>0</v>
      </c>
      <c r="T133" s="7">
        <f>IF(AND(E40="VG",B41&gt;=30,B41&lt;=39),T104,0)</f>
        <v>0</v>
      </c>
      <c r="U133" s="7">
        <f>IF(AND(E45="VG",B46&gt;=30,B46&lt;=39),U104,0)</f>
        <v>0</v>
      </c>
      <c r="V133" s="7">
        <f>IF(AND(E50="VG",B51&gt;=30,B51&lt;=39),V104,0)</f>
        <v>0</v>
      </c>
      <c r="W133" s="7">
        <f>IF(AND(E55="VG",B56&gt;=30,B56&lt;=39),W104,0)</f>
        <v>0</v>
      </c>
      <c r="X133" s="7">
        <f>IF(AND(E60="VG",B61&gt;=30,B61&lt;=39),X104,0)</f>
        <v>0</v>
      </c>
      <c r="AA133" s="133"/>
      <c r="AB133" s="133"/>
      <c r="AC133" s="133"/>
      <c r="AD133" s="133"/>
      <c r="AE133" s="67"/>
      <c r="AF133" s="134"/>
      <c r="AG133" s="67"/>
      <c r="AH133" s="67"/>
      <c r="AI133" s="67"/>
      <c r="AJ133" s="67"/>
      <c r="AK133" s="67"/>
      <c r="AL133" s="67"/>
      <c r="AM133" s="67"/>
      <c r="AN133" s="67"/>
      <c r="AO133" s="66"/>
      <c r="AP133" s="135"/>
      <c r="AQ133" s="136"/>
      <c r="AR133" s="137"/>
      <c r="AS133" s="136"/>
      <c r="AT133" s="136"/>
      <c r="AU133" s="136"/>
      <c r="AV133" s="136"/>
      <c r="AW133" s="136"/>
      <c r="AX133" s="136"/>
    </row>
    <row r="134" spans="1:50" hidden="1">
      <c r="F134" s="29"/>
      <c r="P134" s="30"/>
      <c r="R134" s="29"/>
      <c r="AA134" s="133">
        <f>IF(AND(E22="VG",B23&gt;=40,B23&lt;=49),E7*14*B22/D22,0)</f>
        <v>0</v>
      </c>
      <c r="AB134" s="133"/>
      <c r="AC134" s="133"/>
      <c r="AD134" s="133"/>
      <c r="AE134" s="67">
        <f>IF(AND(E27="VG",B28&gt;=40,B28&lt;=49),E7*14*B27/D27,0)</f>
        <v>0</v>
      </c>
      <c r="AF134" s="134">
        <f>IF(AND(E32="VG",B33&gt;=40,B33&lt;=49),E7*14*B32/D32,0)</f>
        <v>0</v>
      </c>
      <c r="AG134" s="67">
        <f>IF(AND(E37="VG",B38&gt;=40,B38&lt;=49),E7*14*B37/D37,0)</f>
        <v>0</v>
      </c>
      <c r="AH134" s="67">
        <f>IF(AND(E42="VG",B43&gt;=40,B43&lt;=49),E7*14*B42/D42,0)</f>
        <v>0</v>
      </c>
      <c r="AI134" s="67">
        <f>IF(AND(E47="VG",B48&gt;=40,B48&lt;=49),E7*14*B47/D47,0)</f>
        <v>0</v>
      </c>
      <c r="AJ134" s="67">
        <f>IF(AND(E52="VG",B53&gt;=40,B53&lt;=49),E7*14*B52/D52,0)</f>
        <v>0</v>
      </c>
      <c r="AK134" s="67">
        <f>IF(AND(E57="VG",B58&gt;=40,B58&lt;=49),E7*14*B57/D57,0)</f>
        <v>0</v>
      </c>
      <c r="AL134" s="67"/>
      <c r="AM134" s="67"/>
      <c r="AN134" s="67">
        <f>IF(AND(E62="VG",B63&gt;=40,B63&lt;=49),E7*14*B62/D62,0)</f>
        <v>0</v>
      </c>
      <c r="AO134" s="66"/>
      <c r="AP134" s="135">
        <f>IF(E7*14&gt;E5*80%,E5*80%*B22/D22,AA134)</f>
        <v>0</v>
      </c>
      <c r="AQ134" s="136">
        <f>IF(E7*14&gt;E5*80%,E5*80%*B27/D27,AE134)</f>
        <v>0</v>
      </c>
      <c r="AR134" s="137">
        <f>IF(E7*14&gt;E5*80%,E5*80%*B32/D32,AF134)</f>
        <v>0</v>
      </c>
      <c r="AS134" s="136">
        <f>IF(E7*14&gt;E5*80%,E5*80%*B37/D37,AG134)</f>
        <v>0</v>
      </c>
      <c r="AT134" s="136">
        <f>IF(E7*14&gt;E5*80%,E5*80%*B42/D42,AH134)</f>
        <v>0</v>
      </c>
      <c r="AU134" s="136">
        <f>IF(E7*14&gt;E5*80%,E5*80%*B47/D47,AI134)</f>
        <v>0</v>
      </c>
      <c r="AV134" s="136">
        <f>IF(E7*14&gt;E5*80%,E5*80%*B52/D52,AJ134)</f>
        <v>0</v>
      </c>
      <c r="AW134" s="136">
        <f>IF(E7*14&gt;E5*80%,E5*80%*B57/D57,AK134)</f>
        <v>0</v>
      </c>
      <c r="AX134" s="136">
        <f>IF(E7*14&gt;E5*80%,E5*80%*B62/D62,AN134)</f>
        <v>0</v>
      </c>
    </row>
    <row r="135" spans="1:50" hidden="1">
      <c r="A135" s="66">
        <f>IF(E20="EVG",F298*B20/D20,0)</f>
        <v>0</v>
      </c>
      <c r="B135" s="66"/>
      <c r="C135" s="66"/>
      <c r="D135" s="66"/>
      <c r="E135" s="66">
        <f>IF(E25="EVG",F300*B25/D25,0)</f>
        <v>0</v>
      </c>
      <c r="F135" s="91">
        <f>IF(E30="EVG",F302*B30/D30,0)</f>
        <v>0</v>
      </c>
      <c r="G135" s="66">
        <f>IF(E35="EVG",F304*B35/D35,0)</f>
        <v>0</v>
      </c>
      <c r="H135" s="66">
        <f>IF(E40="EVG",F360*B40/D40,0)</f>
        <v>0</v>
      </c>
      <c r="I135" s="66">
        <f>IF(E45="EVG",F308*B45/D45,0)</f>
        <v>0</v>
      </c>
      <c r="J135" s="66">
        <f>IF(E50="EVG",F310*B50/D50,0)</f>
        <v>0</v>
      </c>
      <c r="K135" s="66">
        <f>IF(E55="EVG",F312*B55/D55,0)</f>
        <v>0</v>
      </c>
      <c r="L135" s="66"/>
      <c r="M135" s="66"/>
      <c r="N135" s="66">
        <f>IF(E60="EVG",F314*B60/D60,0)</f>
        <v>0</v>
      </c>
      <c r="O135" s="158">
        <f>SUM(A135:N135)</f>
        <v>0</v>
      </c>
      <c r="P135" s="30"/>
      <c r="R135" s="29"/>
      <c r="AA135" s="133"/>
      <c r="AB135" s="133"/>
      <c r="AC135" s="133"/>
      <c r="AD135" s="133"/>
      <c r="AE135" s="67"/>
      <c r="AF135" s="134"/>
      <c r="AG135" s="67"/>
      <c r="AH135" s="67"/>
      <c r="AI135" s="67"/>
      <c r="AJ135" s="67"/>
      <c r="AK135" s="67"/>
      <c r="AL135" s="67"/>
      <c r="AM135" s="67"/>
      <c r="AN135" s="67"/>
      <c r="AO135" s="66"/>
      <c r="AP135" s="135"/>
      <c r="AQ135" s="136"/>
      <c r="AR135" s="137"/>
      <c r="AS135" s="136"/>
      <c r="AT135" s="136"/>
      <c r="AU135" s="136"/>
      <c r="AV135" s="136"/>
      <c r="AW135" s="136"/>
      <c r="AX135" s="136"/>
    </row>
    <row r="136" spans="1:50" hidden="1">
      <c r="F136" s="29"/>
      <c r="P136" s="30"/>
      <c r="R136" s="29"/>
      <c r="AA136" s="133">
        <f>IF(AND(E22="VG",B23&gt;=50,B23&lt;=54),E7*13*B22/D22,0)</f>
        <v>0</v>
      </c>
      <c r="AB136" s="133"/>
      <c r="AC136" s="133"/>
      <c r="AD136" s="133"/>
      <c r="AE136" s="67">
        <f>IF(AND(E27="VG",B28&gt;=50,B28&lt;=54),E7*13*B27/D27,0)</f>
        <v>0</v>
      </c>
      <c r="AF136" s="134">
        <f>IF(AND(E32="VG",B33&gt;=50,B33&lt;=54),E7*13*B32/D32,0)</f>
        <v>0</v>
      </c>
      <c r="AG136" s="67">
        <f>IF(AND(E37="VG",B38&gt;=50,B38&lt;=54),E7*13*B37/D37,0)</f>
        <v>0</v>
      </c>
      <c r="AH136" s="67">
        <f>IF(AND(E42="VG",B43&gt;=50,B43&lt;=54),E7*13*B42/D42,0)</f>
        <v>0</v>
      </c>
      <c r="AI136" s="67">
        <f>IF(AND(E47="VG",B48&gt;=50,B48&lt;=54),E7*13*B47/D47,0)</f>
        <v>0</v>
      </c>
      <c r="AJ136" s="67">
        <f>IF(AND(E52="VG",B53&gt;=50,B53&lt;=54),E7*13*B52/D52,0)</f>
        <v>0</v>
      </c>
      <c r="AK136" s="67">
        <f>IF(AND(E57="VG",B58&gt;=50,B58&lt;=54),E7*13*B57/D57,0)</f>
        <v>0</v>
      </c>
      <c r="AL136" s="67"/>
      <c r="AM136" s="67"/>
      <c r="AN136" s="67">
        <f>IF(AND(E62="VG",B63&gt;=50,B63&lt;=54),E7*13*B62/D62,0)</f>
        <v>0</v>
      </c>
      <c r="AO136" s="66"/>
      <c r="AP136" s="135">
        <f>IF(E7*13&gt;E5*80%,E5*80%*B22/D22,AA136)</f>
        <v>0</v>
      </c>
      <c r="AQ136" s="136">
        <f>IF(E7*13&gt;E5*80%,E5*80%*B27/D27,AE136)</f>
        <v>0</v>
      </c>
      <c r="AR136" s="137">
        <f>IF(E7*13&gt;E5*80%,E5*80%*B32/D32,AF136)</f>
        <v>0</v>
      </c>
      <c r="AS136" s="136">
        <f>IF(E7*13&gt;E5*80%,E5*80%*B37/D37,AG136)</f>
        <v>0</v>
      </c>
      <c r="AT136" s="136">
        <f>IF(E7*13&gt;E5*80%,E5*80%*B42/D42,AH136)</f>
        <v>0</v>
      </c>
      <c r="AU136" s="136">
        <f>IF(E7*13&gt;E5*80%,E5*80%*B47/D47,AI136)</f>
        <v>0</v>
      </c>
      <c r="AV136" s="136">
        <f>IF(E7*13&gt;E5*80%,E5*80%*B52/D52,AJ136)</f>
        <v>0</v>
      </c>
      <c r="AW136" s="136">
        <f>IF(E7*13&gt;E5*80%,E5*80%*B57/D57,AK136)</f>
        <v>0</v>
      </c>
      <c r="AX136" s="136">
        <f>IF(E7*13&gt;E5*80%,E5*80%*B62/D62,AN136)</f>
        <v>0</v>
      </c>
    </row>
    <row r="137" spans="1:50" hidden="1">
      <c r="A137" s="132">
        <f>SUM(A129:A136)</f>
        <v>0</v>
      </c>
      <c r="E137" s="7">
        <f t="shared" ref="E137:K137" si="1">SUM(E129:E136)</f>
        <v>0</v>
      </c>
      <c r="F137" s="7">
        <f t="shared" si="1"/>
        <v>0</v>
      </c>
      <c r="G137" s="7">
        <f t="shared" si="1"/>
        <v>0</v>
      </c>
      <c r="H137" s="7">
        <f t="shared" si="1"/>
        <v>0</v>
      </c>
      <c r="I137" s="7">
        <f t="shared" si="1"/>
        <v>0</v>
      </c>
      <c r="J137" s="7">
        <f t="shared" si="1"/>
        <v>0</v>
      </c>
      <c r="K137" s="7">
        <f t="shared" si="1"/>
        <v>0</v>
      </c>
      <c r="N137" s="7">
        <f>SUM(N129:N136)</f>
        <v>0</v>
      </c>
      <c r="P137" s="30">
        <f>IF(AND(E20="VG",B21&gt;=40,B21&lt;=49),P106,0)</f>
        <v>0</v>
      </c>
      <c r="Q137" s="7">
        <f>IF(AND(E25="VG",B26&gt;=40,B26&lt;=49),Q106,0)</f>
        <v>0</v>
      </c>
      <c r="R137" s="29">
        <f>IF(AND(E30="VG",B31&gt;=40,B31&lt;=49),R106,0)</f>
        <v>0</v>
      </c>
      <c r="S137" s="7">
        <f>IF(AND(E35="VG",B36&gt;=40,B36&lt;=49),S106,0)</f>
        <v>0</v>
      </c>
      <c r="T137" s="7">
        <f>IF(AND(E40="VG",B41&gt;=40,B41&lt;=49),T106,0)</f>
        <v>0</v>
      </c>
      <c r="U137" s="7">
        <f>IF(AND(E45="VG",B46&gt;=40,B46&lt;=49),U106,0)</f>
        <v>0</v>
      </c>
      <c r="V137" s="7">
        <f>IF(AND(E50="VG",B51&gt;=40,B51&lt;=49),V106,0)</f>
        <v>0</v>
      </c>
      <c r="W137" s="7">
        <f>IF(AND(E55="VG",B56&gt;=40,B56&lt;=49),W106,0)</f>
        <v>0</v>
      </c>
      <c r="X137" s="7">
        <f>IF(AND(E60="VG",B61&gt;=40,B61&lt;=49),X106,0)</f>
        <v>0</v>
      </c>
      <c r="AA137" s="133"/>
      <c r="AB137" s="133"/>
      <c r="AC137" s="133"/>
      <c r="AD137" s="133"/>
      <c r="AE137" s="67"/>
      <c r="AF137" s="134"/>
      <c r="AG137" s="67"/>
      <c r="AH137" s="67"/>
      <c r="AI137" s="67"/>
      <c r="AJ137" s="67"/>
      <c r="AK137" s="67"/>
      <c r="AL137" s="67"/>
      <c r="AM137" s="67"/>
      <c r="AN137" s="67"/>
      <c r="AO137" s="66"/>
      <c r="AP137" s="135"/>
      <c r="AQ137" s="136"/>
      <c r="AR137" s="137"/>
      <c r="AS137" s="136"/>
      <c r="AT137" s="136"/>
      <c r="AU137" s="136"/>
      <c r="AV137" s="136"/>
      <c r="AW137" s="136"/>
      <c r="AX137" s="136"/>
    </row>
    <row r="138" spans="1:50" hidden="1">
      <c r="F138" s="29"/>
      <c r="P138" s="30"/>
      <c r="R138" s="29"/>
      <c r="AA138" s="133">
        <f>IF(AND(E22="VG",B23&gt;=55,B23&lt;=59),E7*11*B22/D22,0)</f>
        <v>0</v>
      </c>
      <c r="AB138" s="133"/>
      <c r="AC138" s="133"/>
      <c r="AD138" s="133"/>
      <c r="AE138" s="67">
        <f>IF(AND(E27="VG",B28&gt;=55,B28&lt;=59),E7*11*B27/D27,0)</f>
        <v>0</v>
      </c>
      <c r="AF138" s="134">
        <f>IF(AND(E32="VG",B33&gt;=55,B33&lt;=59),E7*11*B32/D32,0)</f>
        <v>0</v>
      </c>
      <c r="AG138" s="67">
        <f>IF(AND(E37="VG",B38&gt;=55,B38&lt;=59),E7*11*B37/D37,0)</f>
        <v>0</v>
      </c>
      <c r="AH138" s="67">
        <f>IF(AND(E42="VG",B43&gt;=55,B43&lt;=59),E7*11*B42/D42,0)</f>
        <v>0</v>
      </c>
      <c r="AI138" s="67">
        <f>IF(AND(E47="VG",B48&gt;=55,B48&lt;=59),E7*11*B47/D47,0)</f>
        <v>0</v>
      </c>
      <c r="AJ138" s="67">
        <f>IF(AND(E52="VG",B53&gt;=55,B53&lt;=59),E7*11*B52/D52,0)</f>
        <v>0</v>
      </c>
      <c r="AK138" s="67">
        <f>IF(AND(E57="VG",B58&gt;=55,B58&lt;=59),E7*11*B57/D57,0)</f>
        <v>0</v>
      </c>
      <c r="AL138" s="67"/>
      <c r="AM138" s="67"/>
      <c r="AN138" s="67">
        <f>IF(AND(E62="VG",B63&gt;=55,B63&lt;=59),E7*11*B62/D62,0)</f>
        <v>0</v>
      </c>
      <c r="AO138" s="66"/>
      <c r="AP138" s="135">
        <f>IF(E7*11&gt;E5*80%,E5*80%*B22/D22,AA138)</f>
        <v>0</v>
      </c>
      <c r="AQ138" s="136">
        <f>IF(E7*11&gt;E5*80%,E5*80%*B27/D27,AE138)</f>
        <v>0</v>
      </c>
      <c r="AR138" s="137">
        <f>IF(E7*11&gt;E5*80%,E5*80%*B32/D32,AF138)</f>
        <v>0</v>
      </c>
      <c r="AS138" s="136">
        <f>IF(E7*11&gt;E5*80%,E5*80%*B37/D37,AG138)</f>
        <v>0</v>
      </c>
      <c r="AT138" s="136">
        <f>IF(E7*11&gt;E5*80%,E5*80%*B42/D42,AH138)</f>
        <v>0</v>
      </c>
      <c r="AU138" s="136">
        <f>IF(E7*11&gt;E5*80%,E5*80%*B47/D47,AI138)</f>
        <v>0</v>
      </c>
      <c r="AV138" s="136">
        <f>IF(E7*11&gt;E5*80%,E5*80%*B52/D52,AJ138)</f>
        <v>0</v>
      </c>
      <c r="AW138" s="136">
        <f>IF(E7*11&gt;E5*80%,E5*80%*B57/D57,AK138)</f>
        <v>0</v>
      </c>
      <c r="AX138" s="136">
        <f>IF(E7*11&gt;E5*80%,E5*80%*B62/D62,AN138)</f>
        <v>0</v>
      </c>
    </row>
    <row r="139" spans="1:50" hidden="1">
      <c r="E139" s="24"/>
      <c r="G139" s="24"/>
      <c r="P139" s="30">
        <f>IF(AND(E20="VG",B21&gt;=50,B21&lt;=54),P108,0)</f>
        <v>0</v>
      </c>
      <c r="Q139" s="7">
        <f>IF(AND(E25="VG",B26&gt;=50,B26&lt;=54),Q108,0)</f>
        <v>0</v>
      </c>
      <c r="R139" s="29">
        <f>IF(AND(E30="VG",B31&gt;=50,B31&lt;=54),R108,0)</f>
        <v>0</v>
      </c>
      <c r="S139" s="7">
        <f>IF(AND(E35="VG",B36&gt;=50,B36&lt;=54),S108,0)</f>
        <v>0</v>
      </c>
      <c r="T139" s="7">
        <f>IF(AND(E40="VG",B41&gt;=50,B41&lt;=54),T108,0)</f>
        <v>0</v>
      </c>
      <c r="U139" s="7">
        <f>IF(AND(E45="VG",B46&gt;=50,B46&lt;=54),U108,0)</f>
        <v>0</v>
      </c>
      <c r="V139" s="7">
        <f>IF(AND(E50="VG",B51&gt;=50,B51&lt;=54),V108,0)</f>
        <v>0</v>
      </c>
      <c r="W139" s="7">
        <f>IF(AND(E55="VG",B56&gt;=50,B56&lt;=54),W108,0)</f>
        <v>0</v>
      </c>
      <c r="X139" s="7">
        <f>IF(AND(E60="VG",B61&gt;=50,B61&lt;=54),X108,0)</f>
        <v>0</v>
      </c>
      <c r="AA139" s="67"/>
      <c r="AB139" s="67"/>
      <c r="AC139" s="67"/>
      <c r="AD139" s="67"/>
      <c r="AE139" s="67"/>
      <c r="AF139" s="134"/>
      <c r="AG139" s="67"/>
      <c r="AH139" s="67"/>
      <c r="AI139" s="67"/>
      <c r="AJ139" s="67"/>
      <c r="AK139" s="67"/>
      <c r="AL139" s="67"/>
      <c r="AM139" s="67"/>
      <c r="AN139" s="67"/>
      <c r="AO139" s="66"/>
      <c r="AP139" s="136"/>
      <c r="AQ139" s="136"/>
      <c r="AR139" s="137"/>
      <c r="AS139" s="136"/>
      <c r="AT139" s="136"/>
      <c r="AU139" s="136"/>
      <c r="AV139" s="136"/>
      <c r="AW139" s="136"/>
      <c r="AX139" s="136"/>
    </row>
    <row r="140" spans="1:50" hidden="1">
      <c r="E140" s="24"/>
      <c r="G140" s="24"/>
      <c r="P140" s="30"/>
      <c r="R140" s="29"/>
      <c r="AA140" s="133">
        <f>IF(AND(E22="VG",B23&gt;=60,B23&lt;=64),E7*9.5*B22/D22,0)</f>
        <v>0</v>
      </c>
      <c r="AB140" s="133"/>
      <c r="AC140" s="133"/>
      <c r="AD140" s="133"/>
      <c r="AE140" s="67">
        <f>IF(AND(E27="VG",B28&gt;=60,B28&lt;=64),E7*9.5*B27/D27,0)</f>
        <v>0</v>
      </c>
      <c r="AF140" s="134">
        <f>IF(AND(E32="VG",B33&gt;=60,B33&lt;=64),E7*9.5*B32/D32,0)</f>
        <v>0</v>
      </c>
      <c r="AG140" s="67">
        <f>IF(AND(E37="VG",B38&gt;=60,B38&lt;=64),E7*9.5*B37/D37,0)</f>
        <v>0</v>
      </c>
      <c r="AH140" s="67">
        <f>IF(AND(E42="VG",B43&gt;=60,B43&lt;=64),E7*9.5*B42/D42,0)</f>
        <v>0</v>
      </c>
      <c r="AI140" s="67">
        <f>IF(AND(E47="VG",B48&gt;=60,B48&lt;=64),E7*9.5*B47/D47,0)</f>
        <v>0</v>
      </c>
      <c r="AJ140" s="67">
        <f>IF(AND(E52="VG",B53&gt;=60,B53&lt;=64),E7*9.5*B52/D52,0)</f>
        <v>0</v>
      </c>
      <c r="AK140" s="67">
        <f>IF(AND(E57="VG",B58&gt;=60,B58&lt;=64),E7*9.5*B57/D57,0)</f>
        <v>0</v>
      </c>
      <c r="AL140" s="67"/>
      <c r="AM140" s="67"/>
      <c r="AN140" s="67">
        <f>IF(AND(E62="VG",B63&gt;=60,B63&lt;=64),E7*9.5*B62/D62,0)</f>
        <v>0</v>
      </c>
      <c r="AO140" s="66"/>
      <c r="AP140" s="135">
        <f>IF(E7*9&gt;E5*80%,E5*80%*B22/D22,AA140)</f>
        <v>0</v>
      </c>
      <c r="AQ140" s="136">
        <f>IF(E7*9&gt;E5*80%,E5*80%*B27/D27,AE140)</f>
        <v>0</v>
      </c>
      <c r="AR140" s="137">
        <f>IF(E7*9&gt;E5*80%,E5*80%*B32/D32,AF140)</f>
        <v>0</v>
      </c>
      <c r="AS140" s="136">
        <f>IF(E7*9&gt;E5*80%,E5*80%*B37/D37,AG140)</f>
        <v>0</v>
      </c>
      <c r="AT140" s="136">
        <f>IF(E7*9&gt;E5*80%,E5*80%*B42/D42,AH140)</f>
        <v>0</v>
      </c>
      <c r="AU140" s="136">
        <f>IF(E7*9&gt;E5*80%,E5*80%*B47/D47,AI140)</f>
        <v>0</v>
      </c>
      <c r="AV140" s="136">
        <f>IF(E7*9&gt;E5*80%,E5*80%*B52/D52,AJ140)</f>
        <v>0</v>
      </c>
      <c r="AW140" s="136">
        <f>IF(E7*9&gt;E5*80%,E5*80%*B57/D57,AK140)</f>
        <v>0</v>
      </c>
      <c r="AX140" s="136">
        <f>IF(E7*9&gt;E5*80%,E5*80%*B62/D62,AN140)</f>
        <v>0</v>
      </c>
    </row>
    <row r="141" spans="1:50" hidden="1">
      <c r="E141" s="24"/>
      <c r="G141" s="24"/>
      <c r="P141" s="30">
        <f>IF(AND(E20="VG",B21&gt;=55,B21&lt;=59),P110,0)</f>
        <v>0</v>
      </c>
      <c r="Q141" s="7">
        <f>IF(AND(E25="VG",B26&gt;=55,B26&lt;=59),Q110,0)</f>
        <v>0</v>
      </c>
      <c r="R141" s="29">
        <f>IF(AND(E30="VG",B31&gt;=55,B31&lt;=59),R110,0)</f>
        <v>0</v>
      </c>
      <c r="S141" s="7">
        <f>IF(AND(E35="VG",B36&gt;=55,B36&lt;=59),S110,0)</f>
        <v>0</v>
      </c>
      <c r="T141" s="7">
        <f>IF(AND(E40="VG",B41&gt;=55,B41&lt;=59),T110,0)</f>
        <v>0</v>
      </c>
      <c r="U141" s="7">
        <f>IF(AND(E45="VG",B46&gt;=55,B46&lt;=59),U110,0)</f>
        <v>0</v>
      </c>
      <c r="V141" s="7">
        <f>IF(AND(E50="VG",B51&gt;=55,B51&lt;=59),V110,0)</f>
        <v>0</v>
      </c>
      <c r="W141" s="7">
        <f>IF(AND(E55="VG",B56&gt;=55,B56&lt;=59),W110,0)</f>
        <v>0</v>
      </c>
      <c r="X141" s="7">
        <f>IF(AND(E60="VG",B61&gt;=55,B61&lt;=59),X110,0)</f>
        <v>0</v>
      </c>
      <c r="AA141" s="133"/>
      <c r="AB141" s="133"/>
      <c r="AC141" s="133"/>
      <c r="AD141" s="133"/>
      <c r="AE141" s="67"/>
      <c r="AF141" s="134"/>
      <c r="AG141" s="67"/>
      <c r="AH141" s="67"/>
      <c r="AI141" s="67"/>
      <c r="AJ141" s="67"/>
      <c r="AK141" s="67"/>
      <c r="AL141" s="67"/>
      <c r="AM141" s="67"/>
      <c r="AN141" s="67"/>
      <c r="AO141" s="66"/>
      <c r="AP141" s="135"/>
      <c r="AQ141" s="136"/>
      <c r="AR141" s="137"/>
      <c r="AS141" s="136"/>
      <c r="AT141" s="136"/>
      <c r="AU141" s="136"/>
      <c r="AV141" s="136"/>
      <c r="AW141" s="136"/>
      <c r="AX141" s="136"/>
    </row>
    <row r="142" spans="1:50" hidden="1">
      <c r="E142" s="24"/>
      <c r="G142" s="24"/>
      <c r="R142" s="29"/>
      <c r="AA142" s="133">
        <f>IF(AND(E22="VG",B23&gt;=65,B23&lt;=69),E7*8*B22/D22,0)</f>
        <v>0</v>
      </c>
      <c r="AB142" s="133"/>
      <c r="AC142" s="133"/>
      <c r="AD142" s="133"/>
      <c r="AE142" s="67">
        <f>IF(AND(E27="VG",B28&gt;=65,B28&lt;=69),E7*8*B27/D27,0)</f>
        <v>0</v>
      </c>
      <c r="AF142" s="134">
        <f>IF(AND(E32="VG",B33&gt;=65,B33&lt;=69),E7*8*B32/D32,0)</f>
        <v>0</v>
      </c>
      <c r="AG142" s="67">
        <f>IF(AND(E37="VG",B38&gt;=65,B38&lt;=69),E7*8*B37/D37,0)</f>
        <v>0</v>
      </c>
      <c r="AH142" s="67">
        <f>IF(AND(E42="VG",B43&gt;=65,B43&lt;=69),E7*8*B42/D42,0)</f>
        <v>0</v>
      </c>
      <c r="AI142" s="67">
        <f>IF(AND(E47="VG",B48&gt;=65,B48&lt;=69),E7*8*B47/D47,0)</f>
        <v>0</v>
      </c>
      <c r="AJ142" s="67">
        <f>IF(AND(E52="VG",B53&gt;=65,B53&lt;=69),E7*8*B52/D52,0)</f>
        <v>0</v>
      </c>
      <c r="AK142" s="67">
        <f>IF(AND(E57="VG",B58&gt;=65,B58&lt;=69),E7*8*B57/D57,0)</f>
        <v>0</v>
      </c>
      <c r="AL142" s="67"/>
      <c r="AM142" s="67"/>
      <c r="AN142" s="67">
        <f>IF(AND(E62="VG",B63&gt;=65,B63&lt;=69),E7*8*B62/D62,0)</f>
        <v>0</v>
      </c>
      <c r="AO142" s="66"/>
      <c r="AP142" s="135">
        <f>IF(E7*8&gt;E5*80%,E5*80%*B22/D22,AA142)</f>
        <v>0</v>
      </c>
      <c r="AQ142" s="136">
        <f>IF(E7*8&gt;E5*80%,E5*80%*B27/D27,AE142)</f>
        <v>0</v>
      </c>
      <c r="AR142" s="137">
        <f>IF(E7*8&gt;E5*80%,E5*80%*B32/D32,AF142)</f>
        <v>0</v>
      </c>
      <c r="AS142" s="136">
        <f>IF(E7*8&gt;E5*80%,E5*80%*B37/D37,AG142)</f>
        <v>0</v>
      </c>
      <c r="AT142" s="136">
        <f>IF(E7*8&gt;E5*80%,E5*80%*B42/D42,AH142)</f>
        <v>0</v>
      </c>
      <c r="AU142" s="136">
        <f>IF(E7*8&gt;E5*80%,E5*80%*B47/D47,AI142)</f>
        <v>0</v>
      </c>
      <c r="AV142" s="136">
        <f>IF(E7*8&gt;E5*80%,E5*80%*B52/D52,AJ142)</f>
        <v>0</v>
      </c>
      <c r="AW142" s="136">
        <f>IF(E7*8&gt;E5*80%,E5*80%*B57/D57,AK142)</f>
        <v>0</v>
      </c>
      <c r="AX142" s="136">
        <f>IF(E7*8&gt;E5*80%,E5*80%*B62/D62,AN142)</f>
        <v>0</v>
      </c>
    </row>
    <row r="143" spans="1:50" hidden="1">
      <c r="E143" s="24"/>
      <c r="G143" s="24"/>
      <c r="P143" s="30">
        <f>IF(AND(E20="VG",B21&gt;=60,B21&lt;=64),P112,0)</f>
        <v>0</v>
      </c>
      <c r="Q143" s="7">
        <f>IF(AND(E25="VG",B26&gt;=60,B26&lt;=64),Q112,0)</f>
        <v>0</v>
      </c>
      <c r="R143" s="29">
        <f>IF(AND(E30="VG",B31&gt;=60,B27&lt;=64),R112,0)</f>
        <v>0</v>
      </c>
      <c r="S143" s="7">
        <f>IF(AND(E35="VG",B36&gt;=60,B36&lt;=64),S112,0)</f>
        <v>0</v>
      </c>
      <c r="T143" s="7">
        <f>IF(AND(E40="VG",B41&gt;=60,B41&lt;=64),T112,0)</f>
        <v>0</v>
      </c>
      <c r="U143" s="7">
        <f>IF(AND(E45="VG",B46&gt;=60,B46&lt;=64),U112,0)</f>
        <v>0</v>
      </c>
      <c r="V143" s="7">
        <f>IF(AND(E50="VG",B51&gt;=60,B51&lt;=64),V112,0)</f>
        <v>0</v>
      </c>
      <c r="W143" s="7">
        <f>IF(AND(E55="VG",B56&gt;=60,B56&lt;=64),W112,0)</f>
        <v>0</v>
      </c>
      <c r="X143" s="7">
        <f>IF(AND(E60="VG",B61&gt;=60,B61&lt;=64),X112,0)</f>
        <v>0</v>
      </c>
      <c r="AA143" s="133"/>
      <c r="AB143" s="133"/>
      <c r="AC143" s="133"/>
      <c r="AD143" s="133"/>
      <c r="AE143" s="67"/>
      <c r="AF143" s="134"/>
      <c r="AG143" s="67"/>
      <c r="AH143" s="67"/>
      <c r="AI143" s="67"/>
      <c r="AJ143" s="67"/>
      <c r="AK143" s="67"/>
      <c r="AL143" s="67"/>
      <c r="AM143" s="67"/>
      <c r="AN143" s="67"/>
      <c r="AO143" s="66"/>
      <c r="AP143" s="135"/>
      <c r="AQ143" s="136"/>
      <c r="AR143" s="137"/>
      <c r="AS143" s="136"/>
      <c r="AT143" s="136"/>
      <c r="AU143" s="136"/>
      <c r="AV143" s="136"/>
      <c r="AW143" s="136"/>
      <c r="AX143" s="136"/>
    </row>
    <row r="144" spans="1:50" hidden="1">
      <c r="E144" s="24"/>
      <c r="G144" s="24"/>
      <c r="P144" s="30"/>
      <c r="R144" s="29"/>
      <c r="AA144" s="133">
        <f>IF(AND(E22="VG",B23&gt;=70,B23&lt;=74),E7*6*B22/D22,0)</f>
        <v>0</v>
      </c>
      <c r="AB144" s="133"/>
      <c r="AC144" s="133"/>
      <c r="AD144" s="133"/>
      <c r="AE144" s="67">
        <f>IF(AND(E27="VG",B28&gt;=70,B28&lt;=74),E7*6*B27/D27,0)</f>
        <v>0</v>
      </c>
      <c r="AF144" s="134">
        <f>IF(AND(E32="VG",B33&gt;=70,B33&lt;=74),E7*6*B32/D32,0)</f>
        <v>0</v>
      </c>
      <c r="AG144" s="67">
        <f>IF(AND(E37="VG",B38&gt;=70,B38&lt;=74),E7*6*B37/D37,0)</f>
        <v>0</v>
      </c>
      <c r="AH144" s="67">
        <f>IF(AND(E42="VG",B43&gt;=70,B43&lt;=74),E7*6*B42/D42,0)</f>
        <v>0</v>
      </c>
      <c r="AI144" s="67">
        <f>IF(AND(E47="VG",B48&gt;=70,B48&lt;=74),E7*6*B47/D47,0)</f>
        <v>0</v>
      </c>
      <c r="AJ144" s="67">
        <f>IF(AND(E52="VG",B53&gt;=70,B53&lt;=74),E7*6*B52/D52,0)</f>
        <v>0</v>
      </c>
      <c r="AK144" s="67">
        <f>IF(AND(E57="VG",B58&gt;=70,B58&lt;=74),E7*6*B57/D57,0)</f>
        <v>0</v>
      </c>
      <c r="AL144" s="67"/>
      <c r="AM144" s="67"/>
      <c r="AN144" s="67">
        <f>IF(AND(E62="VG",B63&gt;=70,B63&lt;=74),E7*6*B62/D62,0)</f>
        <v>0</v>
      </c>
      <c r="AO144" s="66"/>
      <c r="AP144" s="135">
        <f>IF(E7*6&gt;E5*80%,E5*80%*B22/D22,AA144)</f>
        <v>0</v>
      </c>
      <c r="AQ144" s="136">
        <f>IF(E7*6&gt;E5*80%,E5*80%*B27/D27,AE144)</f>
        <v>0</v>
      </c>
      <c r="AR144" s="137">
        <f>IF(E7*6&gt;E5*80%,E5*80%*B32/D32,AF144)</f>
        <v>0</v>
      </c>
      <c r="AS144" s="136">
        <f>IF(E7*6&gt;E5*80%,E5*80%*B37/D37,AG144)</f>
        <v>0</v>
      </c>
      <c r="AT144" s="136">
        <f>IF(E7*6&gt;E5*80%,E5*80%*B42/D42,AH144)</f>
        <v>0</v>
      </c>
      <c r="AU144" s="136">
        <f>IF(E7*6&gt;E5*80%,E5*80%*B47/D47,AI144)</f>
        <v>0</v>
      </c>
      <c r="AV144" s="136">
        <f>IF(E7*6&gt;E5*80%,E5*80%*B52/D52,AJ144)</f>
        <v>0</v>
      </c>
      <c r="AW144" s="136">
        <f>IF(E7*6&gt;E5*80%,E5*80%*B57/D57,AK144)</f>
        <v>0</v>
      </c>
      <c r="AX144" s="136">
        <f>IF(E7*6&gt;E5*80%,E5*80%*B62/D62,AN144)</f>
        <v>0</v>
      </c>
    </row>
    <row r="145" spans="5:50" hidden="1">
      <c r="E145" s="24"/>
      <c r="G145" s="24"/>
      <c r="P145" s="30">
        <f>IF(AND(E20="VG",B21&gt;=65,B21&lt;=69),P114,0)</f>
        <v>0</v>
      </c>
      <c r="Q145" s="7">
        <f>IF(AND(E25="VG",B26&gt;=65,B26&lt;=69),Q114,0)</f>
        <v>0</v>
      </c>
      <c r="R145" s="29">
        <f>IF(AND(E30="VG",B31&gt;=65,B27&lt;=69),R114,0)</f>
        <v>0</v>
      </c>
      <c r="S145" s="7">
        <f>IF(AND(E35="VG",B36&gt;=65,B36&lt;=69),S114,0)</f>
        <v>0</v>
      </c>
      <c r="T145" s="7">
        <f>IF(AND(E40="VG",B41&gt;=65,B41&lt;=69),T114,0)</f>
        <v>0</v>
      </c>
      <c r="U145" s="7">
        <f>IF(AND(E45="VG",B46&gt;=65,B46&lt;=69),U114,0)</f>
        <v>0</v>
      </c>
      <c r="V145" s="7">
        <f>IF(AND(E50="VG",B51&gt;=65,B51&lt;=69),V114,0)</f>
        <v>0</v>
      </c>
      <c r="W145" s="7">
        <f>IF(AND(E55="VG",B56&gt;=65,B56&lt;=69),W114,0)</f>
        <v>0</v>
      </c>
      <c r="X145" s="7">
        <f>IF(AND(E60="VG",B61&gt;=65,B61&lt;=69),X114,0)</f>
        <v>0</v>
      </c>
      <c r="AA145" s="133"/>
      <c r="AB145" s="133"/>
      <c r="AC145" s="133"/>
      <c r="AD145" s="133"/>
      <c r="AE145" s="67"/>
      <c r="AF145" s="134"/>
      <c r="AG145" s="67"/>
      <c r="AH145" s="67"/>
      <c r="AI145" s="67"/>
      <c r="AJ145" s="67"/>
      <c r="AK145" s="67"/>
      <c r="AL145" s="67"/>
      <c r="AM145" s="67"/>
      <c r="AN145" s="67"/>
      <c r="AO145" s="66"/>
      <c r="AP145" s="135"/>
      <c r="AQ145" s="136"/>
      <c r="AR145" s="137"/>
      <c r="AS145" s="136"/>
      <c r="AT145" s="136"/>
      <c r="AU145" s="136"/>
      <c r="AV145" s="136"/>
      <c r="AW145" s="136"/>
      <c r="AX145" s="136"/>
    </row>
    <row r="146" spans="5:50" hidden="1">
      <c r="E146" s="24"/>
      <c r="G146" s="24"/>
      <c r="P146" s="30"/>
      <c r="R146" s="29"/>
      <c r="AA146" s="133">
        <f>IF(AND(E22="VG",B23&gt;=75,B23&lt;=79),E7*4*B22/D22,0)</f>
        <v>0</v>
      </c>
      <c r="AB146" s="133"/>
      <c r="AC146" s="133"/>
      <c r="AD146" s="133"/>
      <c r="AE146" s="67">
        <f>IF(AND(E27="VG",B28&gt;=75,B28&lt;=79),E7*4*B27/D27,0)</f>
        <v>0</v>
      </c>
      <c r="AF146" s="134">
        <f>IF(AND(E32="VG",B33&gt;=75,B33&lt;=79),E7*4*B32/D32,0)</f>
        <v>0</v>
      </c>
      <c r="AG146" s="67">
        <f>IF(AND(E37="VG",B38&gt;=75,B38&lt;=79),E7*4*B37/D37,0)</f>
        <v>0</v>
      </c>
      <c r="AH146" s="67">
        <f>IF(AND(E42="VG",B43&gt;=75,B43&lt;=79),E7*4*B42/D42,0)</f>
        <v>0</v>
      </c>
      <c r="AI146" s="67">
        <f>IF(AND(E47="VG",B48&gt;=75,B48&lt;=79),E7*4*B47/D47,0)</f>
        <v>0</v>
      </c>
      <c r="AJ146" s="67">
        <f>IF(AND(E52="VG",B53&gt;=75,B53&lt;=79),E7*4*B52/D52,0)</f>
        <v>0</v>
      </c>
      <c r="AK146" s="67">
        <f>IF(AND(E57="VG",B58&gt;=75,B58&lt;=79),E7*4*B57/D57,0)</f>
        <v>0</v>
      </c>
      <c r="AL146" s="67"/>
      <c r="AM146" s="67"/>
      <c r="AN146" s="67">
        <f>IF(AND(E62="VG",B63&gt;=75,B63&lt;=79),E7*4*B62/D62,0)</f>
        <v>0</v>
      </c>
      <c r="AO146" s="66"/>
      <c r="AP146" s="135">
        <f>IF(E7*4&gt;E5*80%,E5*80%*B22/D22,AA146)</f>
        <v>0</v>
      </c>
      <c r="AQ146" s="136">
        <f>IF(E7*4&gt;E5*80%,E5*80%*B27/D27,AE146)</f>
        <v>0</v>
      </c>
      <c r="AR146" s="137">
        <f>IF(E7*4&gt;E5*80%,E5*80%*B32/D32,AF146)</f>
        <v>0</v>
      </c>
      <c r="AS146" s="136">
        <f>IF(E7*4&gt;E5*80%,E5*80%*B37/D37,AG146)</f>
        <v>0</v>
      </c>
      <c r="AT146" s="136">
        <f>IF(E7*4&gt;E5*80%,E5*80%*B42/D42,AH146)</f>
        <v>0</v>
      </c>
      <c r="AU146" s="136">
        <f>IF(E7*4&gt;E5*80%,E5*80%*B47/D47,AI146)</f>
        <v>0</v>
      </c>
      <c r="AV146" s="136">
        <f>IF(E7*4&gt;E5*80%,E5*80%*B52/D52,AJ146)</f>
        <v>0</v>
      </c>
      <c r="AW146" s="136">
        <f>IF(E7*4&gt;E5*80%,E5*80%*B57/D57,AK146)</f>
        <v>0</v>
      </c>
      <c r="AX146" s="136">
        <f>IF(E7*4&gt;E5*80%,E5*80%*B62/D62,AN146)</f>
        <v>0</v>
      </c>
    </row>
    <row r="147" spans="5:50" hidden="1">
      <c r="E147" s="24"/>
      <c r="G147" s="24"/>
      <c r="P147" s="30">
        <f>IF(AND(E20="VG",B21&gt;=70,B21&lt;=74),P116,0)</f>
        <v>0</v>
      </c>
      <c r="Q147" s="7">
        <f>IF(AND(E25="VG",B26&gt;=70,B26&lt;=74),Q116,0)</f>
        <v>0</v>
      </c>
      <c r="R147" s="29">
        <f>IF(AND(E30="VG",B31&gt;=70,B27&lt;=74),R116,0)</f>
        <v>0</v>
      </c>
      <c r="S147" s="7">
        <f>IF(AND(E35="VG",B36&gt;=70,B36&lt;=74),S116,0)</f>
        <v>0</v>
      </c>
      <c r="T147" s="7">
        <f>IF(AND(E40="VG",B41&gt;=70,B41&lt;=74),T116,0)</f>
        <v>0</v>
      </c>
      <c r="U147" s="7">
        <f>IF(AND(E45="VG",B46&gt;=70,B46&lt;=74),U116,0)</f>
        <v>0</v>
      </c>
      <c r="V147" s="7">
        <f>IF(AND(E50="VG",B51&gt;=70,B51&lt;=74),V116,0)</f>
        <v>0</v>
      </c>
      <c r="W147" s="7">
        <f>IF(AND(E55="VG",B56&gt;=70,B56&lt;=74),W116,0)</f>
        <v>0</v>
      </c>
      <c r="X147" s="7">
        <f>IF(AND(E60="VG",B61&gt;=70,B61&lt;=74),X116,0)</f>
        <v>0</v>
      </c>
      <c r="AA147" s="133"/>
      <c r="AB147" s="133"/>
      <c r="AC147" s="133"/>
      <c r="AD147" s="133"/>
      <c r="AE147" s="67"/>
      <c r="AF147" s="134"/>
      <c r="AG147" s="67"/>
      <c r="AH147" s="67"/>
      <c r="AI147" s="67"/>
      <c r="AJ147" s="67"/>
      <c r="AK147" s="67"/>
      <c r="AL147" s="67"/>
      <c r="AM147" s="67"/>
      <c r="AN147" s="67"/>
      <c r="AO147" s="66"/>
      <c r="AP147" s="135"/>
      <c r="AQ147" s="136"/>
      <c r="AR147" s="137"/>
      <c r="AS147" s="136"/>
      <c r="AT147" s="136"/>
      <c r="AU147" s="136"/>
      <c r="AV147" s="136"/>
      <c r="AW147" s="136"/>
      <c r="AX147" s="136"/>
    </row>
    <row r="148" spans="5:50" hidden="1">
      <c r="E148" s="24"/>
      <c r="G148" s="24"/>
      <c r="P148" s="30"/>
      <c r="R148" s="29"/>
      <c r="AA148" s="133">
        <f>IF(AND(E22="VG",B23&gt;=80),E7*2*B22/D22,0)</f>
        <v>0</v>
      </c>
      <c r="AB148" s="133"/>
      <c r="AC148" s="133"/>
      <c r="AD148" s="133"/>
      <c r="AE148" s="67">
        <f>IF(AND(E27="VG",B28&gt;=80),E7*2*B27/D27,0)</f>
        <v>0</v>
      </c>
      <c r="AF148" s="134">
        <f>IF(AND(E32="VG",B33&gt;=80),E7*2*B32/D32,0)</f>
        <v>0</v>
      </c>
      <c r="AG148" s="67">
        <f>IF(AND(E37="VG",B38&gt;=80),E7*2*B37/D37,0)</f>
        <v>0</v>
      </c>
      <c r="AH148" s="67">
        <f>IF(AND(E42="VG",B43&gt;=80),E7*2*B42/D42,0)</f>
        <v>0</v>
      </c>
      <c r="AI148" s="67">
        <f>IF(AND(E47="VG",B48&gt;=80),E7*2*B47/D47,0)</f>
        <v>0</v>
      </c>
      <c r="AJ148" s="67">
        <f>IF(AND(E52="VG",B53&gt;=80),E7*2*B52/D52,0)</f>
        <v>0</v>
      </c>
      <c r="AK148" s="67">
        <f>IF(AND(E57="VG",B58&gt;=80),E7*2*B57/D57,0)</f>
        <v>0</v>
      </c>
      <c r="AL148" s="67"/>
      <c r="AM148" s="67"/>
      <c r="AN148" s="67">
        <f>IF(AND(E62="VG",B63&gt;=80),E7*2*B62/D62,0)</f>
        <v>0</v>
      </c>
      <c r="AO148" s="66"/>
      <c r="AP148" s="135">
        <f>IF(E7*2&gt;E5*80%,E5*80%*B22/D22,AA148)</f>
        <v>0</v>
      </c>
      <c r="AQ148" s="136">
        <f>IF(E7*2&gt;E5*80%,E5*80%*B27/D27,AE148)</f>
        <v>0</v>
      </c>
      <c r="AR148" s="137">
        <f>IF(E7*2&gt;E5*80%,E5*80%*B32/D32,AF148)</f>
        <v>0</v>
      </c>
      <c r="AS148" s="136">
        <f>IF(E7*2&gt;E5*80%,E5*80%*B37/D37,AG148)</f>
        <v>0</v>
      </c>
      <c r="AT148" s="136">
        <f>IF(E7*2&gt;E5*80%,E5*80%*B42/D42,AH148)</f>
        <v>0</v>
      </c>
      <c r="AU148" s="136">
        <f>IF(E7*2&gt;E5*80%,E5*80%*B47/D47,AI148)</f>
        <v>0</v>
      </c>
      <c r="AV148" s="136">
        <f>IF(E7*2&gt;E5*80%,E5*80%*B52/D52,AJ148)</f>
        <v>0</v>
      </c>
      <c r="AW148" s="136">
        <f>IF(E7*2&gt;E5*80%,E5*80%*B57/D57,AK148)</f>
        <v>0</v>
      </c>
      <c r="AX148" s="136">
        <f>IF(E7*2&gt;E5*80%,E5*80%*B62/D62,AN148)</f>
        <v>0</v>
      </c>
    </row>
    <row r="149" spans="5:50" ht="13.5" hidden="1" thickBot="1">
      <c r="E149" s="24"/>
      <c r="G149" s="24"/>
      <c r="P149" s="30">
        <f>IF(AND(E20="VG",B21&gt;=75,B21&lt;=79),P118,0)</f>
        <v>0</v>
      </c>
      <c r="Q149" s="7">
        <f>IF(AND(E25="VG",B26&gt;=75,B26&lt;=79),Q118,0)</f>
        <v>0</v>
      </c>
      <c r="R149" s="29">
        <f>IF(AND(E30="VG",B31&gt;=75,B27&lt;=79),R118,0)</f>
        <v>0</v>
      </c>
      <c r="S149" s="7">
        <f>IF(AND(E35="VG",B36&gt;=75,B36&lt;=79),S118,0)</f>
        <v>0</v>
      </c>
      <c r="T149" s="7">
        <f>IF(AND(E40="VG",B41&gt;=75,B41&lt;=79),T118,0)</f>
        <v>0</v>
      </c>
      <c r="U149" s="7">
        <f>IF(AND(E45="VG",B46&gt;=75,B46&lt;=79),U118,0)</f>
        <v>0</v>
      </c>
      <c r="V149" s="7">
        <f>IF(AND(E50="VG",B51&gt;=75,B51&lt;=79),V118,0)</f>
        <v>0</v>
      </c>
      <c r="W149" s="7">
        <f>IF(AND(E55="VG",B56&gt;=75,B56&lt;=79),W118,0)</f>
        <v>0</v>
      </c>
      <c r="X149" s="7">
        <f>IF(AND(E60="VG",B61&gt;=75,B61&lt;=79),X118,0)</f>
        <v>0</v>
      </c>
      <c r="AA149" s="133"/>
      <c r="AB149" s="133"/>
      <c r="AC149" s="133"/>
      <c r="AD149" s="133"/>
      <c r="AE149" s="67"/>
      <c r="AF149" s="134"/>
      <c r="AG149" s="67"/>
      <c r="AH149" s="67"/>
      <c r="AI149" s="67"/>
      <c r="AJ149" s="67"/>
      <c r="AK149" s="67"/>
      <c r="AL149" s="67"/>
      <c r="AM149" s="67"/>
      <c r="AN149" s="67"/>
      <c r="AO149" s="66"/>
      <c r="AP149" s="86"/>
      <c r="AQ149" s="66"/>
      <c r="AR149" s="91"/>
      <c r="AS149" s="66"/>
      <c r="AT149" s="66"/>
      <c r="AU149" s="66"/>
      <c r="AV149" s="66"/>
      <c r="AW149" s="66"/>
      <c r="AX149" s="66"/>
    </row>
    <row r="150" spans="5:50" ht="13.5" hidden="1" thickBot="1">
      <c r="E150" s="24"/>
      <c r="G150" s="24"/>
      <c r="P150" s="30"/>
      <c r="R150" s="29"/>
      <c r="AA150" s="138">
        <f>SUM(AA128:AA148)</f>
        <v>0</v>
      </c>
      <c r="AB150" s="138"/>
      <c r="AC150" s="138"/>
      <c r="AD150" s="138"/>
      <c r="AE150" s="139">
        <f>SUM(AE128:AE148)</f>
        <v>0</v>
      </c>
      <c r="AF150" s="140">
        <f>SUM(AF128:AF148)</f>
        <v>0</v>
      </c>
      <c r="AG150" s="139">
        <f>SUM(AG128:AG148)</f>
        <v>0</v>
      </c>
      <c r="AH150" s="139">
        <f>SUM(AH128:AH148)</f>
        <v>0</v>
      </c>
      <c r="AI150" s="139">
        <f>SUM(AI128:AI148)</f>
        <v>0</v>
      </c>
      <c r="AJ150" s="139">
        <f>SUM(AI128:AI148)</f>
        <v>0</v>
      </c>
      <c r="AK150" s="139">
        <f>SUM(AK128:AK148)</f>
        <v>0</v>
      </c>
      <c r="AL150" s="139"/>
      <c r="AM150" s="139"/>
      <c r="AN150" s="139">
        <f>SUM(AN128:AN148)</f>
        <v>0</v>
      </c>
      <c r="AO150" s="66"/>
      <c r="AP150" s="86"/>
      <c r="AQ150" s="66"/>
      <c r="AR150" s="91"/>
      <c r="AS150" s="66"/>
      <c r="AT150" s="66"/>
      <c r="AU150" s="66"/>
      <c r="AV150" s="66"/>
      <c r="AW150" s="66"/>
      <c r="AX150" s="66"/>
    </row>
    <row r="151" spans="5:50" hidden="1">
      <c r="E151" s="24"/>
      <c r="G151" s="24"/>
      <c r="P151" s="30">
        <f>IF(AND(E20="VG",B21&gt;=80),P120,0)</f>
        <v>0</v>
      </c>
      <c r="Q151" s="7">
        <f>IF(AND(E25="VG",B26&gt;=80),Q120,0)</f>
        <v>0</v>
      </c>
      <c r="R151" s="29">
        <f>IF(AND(E30="VG",B31&gt;=80),R120,0)</f>
        <v>0</v>
      </c>
      <c r="S151" s="7">
        <f>IF(AND(E35="VG",B36&gt;=80),S120,0)</f>
        <v>0</v>
      </c>
      <c r="T151" s="7">
        <f>IF(AND(E40="VG",B41&gt;=80),T120,0)</f>
        <v>0</v>
      </c>
      <c r="U151" s="7">
        <f>IF(AND(E45="VG",B46&gt;=80),U120,0)</f>
        <v>0</v>
      </c>
      <c r="V151" s="7">
        <f>IF(AND(E50="VG",B51&gt;=80),V120,0)</f>
        <v>0</v>
      </c>
      <c r="W151" s="7">
        <f>IF(AND(E55="VG",B56&gt;=80),W120,0)</f>
        <v>0</v>
      </c>
      <c r="X151" s="7">
        <f>IF(AND(E60="VG",B61&gt;=80),X120,0)</f>
        <v>0</v>
      </c>
      <c r="AA151" s="133"/>
      <c r="AB151" s="133"/>
      <c r="AC151" s="133"/>
      <c r="AD151" s="133"/>
      <c r="AE151" s="67"/>
      <c r="AF151" s="134"/>
      <c r="AG151" s="67"/>
      <c r="AH151" s="67"/>
      <c r="AI151" s="67"/>
      <c r="AJ151" s="67"/>
      <c r="AK151" s="67"/>
      <c r="AL151" s="67"/>
      <c r="AM151" s="67"/>
      <c r="AN151" s="67"/>
      <c r="AO151" s="66"/>
      <c r="AP151" s="86"/>
      <c r="AQ151" s="66"/>
      <c r="AR151" s="91"/>
      <c r="AS151" s="66"/>
      <c r="AT151" s="66"/>
      <c r="AU151" s="66"/>
      <c r="AV151" s="66"/>
      <c r="AW151" s="66"/>
      <c r="AX151" s="66"/>
    </row>
    <row r="152" spans="5:50" ht="13.5" hidden="1" thickBot="1">
      <c r="E152" s="24"/>
      <c r="G152" s="24"/>
      <c r="P152" s="30"/>
      <c r="R152" s="29"/>
      <c r="AA152" s="133">
        <f>SUM(AA150:AN150)</f>
        <v>0</v>
      </c>
      <c r="AB152" s="86"/>
      <c r="AC152" s="86"/>
      <c r="AD152" s="86"/>
      <c r="AE152" s="66"/>
      <c r="AF152" s="91"/>
      <c r="AG152" s="66"/>
      <c r="AH152" s="66"/>
      <c r="AI152" s="66"/>
      <c r="AJ152" s="66"/>
      <c r="AK152" s="66"/>
      <c r="AL152" s="66"/>
      <c r="AM152" s="66"/>
      <c r="AN152" s="66"/>
      <c r="AO152" s="66"/>
      <c r="AP152" s="86"/>
      <c r="AQ152" s="66"/>
      <c r="AR152" s="91"/>
      <c r="AS152" s="66"/>
      <c r="AT152" s="66"/>
      <c r="AU152" s="66"/>
      <c r="AV152" s="66"/>
      <c r="AW152" s="66"/>
      <c r="AX152" s="66"/>
    </row>
    <row r="153" spans="5:50" ht="13.5" hidden="1" thickBot="1">
      <c r="E153" s="24"/>
      <c r="G153" s="24"/>
      <c r="P153" s="34">
        <f t="shared" ref="P153:U153" si="2">SUM(P129:P151)</f>
        <v>0</v>
      </c>
      <c r="Q153" s="32">
        <f t="shared" si="2"/>
        <v>0</v>
      </c>
      <c r="R153" s="33">
        <f t="shared" si="2"/>
        <v>0</v>
      </c>
      <c r="S153" s="32">
        <f t="shared" si="2"/>
        <v>0</v>
      </c>
      <c r="T153" s="32">
        <f t="shared" si="2"/>
        <v>0</v>
      </c>
      <c r="U153" s="32">
        <f t="shared" si="2"/>
        <v>0</v>
      </c>
      <c r="V153" s="32">
        <f>SUM(U129:U151)</f>
        <v>0</v>
      </c>
      <c r="W153" s="32">
        <f>SUM(W129:W151)</f>
        <v>0</v>
      </c>
      <c r="X153" s="32">
        <f>SUM(X129:X151)</f>
        <v>0</v>
      </c>
      <c r="AA153" s="66"/>
      <c r="AB153" s="66"/>
      <c r="AC153" s="66"/>
      <c r="AD153" s="66"/>
      <c r="AE153" s="66"/>
      <c r="AF153" s="66"/>
      <c r="AG153" s="66"/>
      <c r="AH153" s="66"/>
      <c r="AI153" s="66"/>
      <c r="AJ153" s="66"/>
      <c r="AK153" s="66"/>
      <c r="AL153" s="66"/>
      <c r="AM153" s="66"/>
      <c r="AN153" s="66"/>
      <c r="AO153" s="66"/>
      <c r="AP153" s="66"/>
      <c r="AQ153" s="66"/>
      <c r="AR153" s="66"/>
      <c r="AS153" s="66"/>
      <c r="AT153" s="66"/>
      <c r="AU153" s="66"/>
      <c r="AV153" s="66"/>
      <c r="AW153" s="66"/>
      <c r="AX153" s="66"/>
    </row>
    <row r="154" spans="5:50" hidden="1">
      <c r="E154" s="24"/>
      <c r="G154" s="24"/>
      <c r="P154" s="30"/>
      <c r="R154" s="29"/>
      <c r="AA154" s="66"/>
      <c r="AB154" s="66"/>
      <c r="AC154" s="66"/>
      <c r="AD154" s="66"/>
      <c r="AE154" s="66"/>
      <c r="AF154" s="66"/>
      <c r="AG154" s="66"/>
      <c r="AH154" s="66"/>
      <c r="AI154" s="66"/>
      <c r="AJ154" s="66"/>
      <c r="AK154" s="66"/>
      <c r="AL154" s="66"/>
      <c r="AM154" s="66"/>
      <c r="AN154" s="66"/>
      <c r="AO154" s="66"/>
      <c r="AP154" s="66"/>
      <c r="AQ154" s="66"/>
      <c r="AR154" s="66"/>
      <c r="AS154" s="66"/>
      <c r="AT154" s="66"/>
      <c r="AU154" s="66"/>
      <c r="AV154" s="66"/>
      <c r="AW154" s="66"/>
      <c r="AX154" s="66"/>
    </row>
    <row r="155" spans="5:50" hidden="1">
      <c r="E155" s="24"/>
      <c r="G155" s="24"/>
      <c r="P155" s="30">
        <f>SUM(P153:X153)</f>
        <v>0</v>
      </c>
      <c r="R155" s="29"/>
      <c r="AA155" s="66"/>
      <c r="AB155" s="66"/>
      <c r="AC155" s="66"/>
      <c r="AD155" s="66"/>
      <c r="AE155" s="66"/>
      <c r="AF155" s="66"/>
      <c r="AG155" s="66"/>
      <c r="AH155" s="66"/>
      <c r="AI155" s="66"/>
      <c r="AJ155" s="66"/>
      <c r="AK155" s="66"/>
      <c r="AL155" s="66"/>
      <c r="AM155" s="66"/>
      <c r="AN155" s="66"/>
      <c r="AO155" s="66"/>
      <c r="AP155" s="66"/>
      <c r="AQ155" s="66"/>
      <c r="AR155" s="66"/>
      <c r="AS155" s="66"/>
      <c r="AT155" s="66"/>
      <c r="AU155" s="66"/>
      <c r="AV155" s="66"/>
      <c r="AW155" s="66"/>
      <c r="AX155" s="66"/>
    </row>
    <row r="156" spans="5:50" hidden="1">
      <c r="E156" s="24"/>
      <c r="G156" s="24"/>
      <c r="AA156" s="66"/>
      <c r="AB156" s="66"/>
      <c r="AC156" s="66"/>
      <c r="AD156" s="66"/>
      <c r="AE156" s="66"/>
      <c r="AF156" s="66"/>
      <c r="AG156" s="66"/>
      <c r="AH156" s="66"/>
      <c r="AI156" s="66"/>
      <c r="AJ156" s="66"/>
      <c r="AK156" s="66"/>
      <c r="AL156" s="66"/>
      <c r="AM156" s="66"/>
      <c r="AN156" s="66"/>
      <c r="AO156" s="66"/>
      <c r="AP156" s="66"/>
      <c r="AQ156" s="66"/>
      <c r="AR156" s="66"/>
      <c r="AS156" s="66"/>
      <c r="AT156" s="66"/>
      <c r="AU156" s="66"/>
      <c r="AV156" s="66"/>
      <c r="AW156" s="66"/>
      <c r="AX156" s="66"/>
    </row>
    <row r="157" spans="5:50" hidden="1">
      <c r="E157" s="24"/>
      <c r="G157" s="24"/>
      <c r="AA157" s="141">
        <f>IF(E22="VG",AP181,0)</f>
        <v>0</v>
      </c>
      <c r="AB157" s="141"/>
      <c r="AC157" s="141"/>
      <c r="AD157" s="141"/>
      <c r="AE157" s="141">
        <f>IF(E27="VG",AQ181,0)</f>
        <v>0</v>
      </c>
      <c r="AF157" s="141">
        <f>IF(E32="VG",AR181,0)</f>
        <v>0</v>
      </c>
      <c r="AG157" s="141">
        <f>IF(E37="VG",AS181,0)</f>
        <v>0</v>
      </c>
      <c r="AH157" s="141">
        <f>IF(E42="VG",AT181,0)</f>
        <v>0</v>
      </c>
      <c r="AI157" s="141">
        <f>IF(E47="VG",AU181,0)</f>
        <v>0</v>
      </c>
      <c r="AJ157" s="141">
        <f>IF(E52="VG",AV181,0)</f>
        <v>0</v>
      </c>
      <c r="AK157" s="141">
        <f>IF(E57="VG",AW181,0)</f>
        <v>0</v>
      </c>
      <c r="AL157" s="141">
        <f>IF(E62="VG",AX181,0)</f>
        <v>0</v>
      </c>
      <c r="AM157" s="159">
        <f>SUM(AA157:AL157)</f>
        <v>0</v>
      </c>
      <c r="AN157" s="66"/>
      <c r="AO157" s="66"/>
      <c r="AP157" s="95">
        <f>IF(AND(E22="VG",B23&lt;20),AP128,0)</f>
        <v>0</v>
      </c>
      <c r="AQ157" s="96">
        <f>IF(AND(E27="VG",B28&lt;20),AQ128,0)</f>
        <v>0</v>
      </c>
      <c r="AR157" s="97">
        <f>IF(AND(E32="VG",B33&lt;20),AR128,0)</f>
        <v>0</v>
      </c>
      <c r="AS157" s="96">
        <f>IF(AND(E37="VG",B38&lt;20),AS128,0)</f>
        <v>0</v>
      </c>
      <c r="AT157" s="96">
        <f>IF(AND(E42="VG",B43&lt;20),AT128,0)</f>
        <v>0</v>
      </c>
      <c r="AU157" s="96">
        <f>IF(AND(E47="VG",B48&lt;20),AU128,0)</f>
        <v>0</v>
      </c>
      <c r="AV157" s="96">
        <f>IF(AND(E52="VG",B53&lt;20),AV128,0)</f>
        <v>0</v>
      </c>
      <c r="AW157" s="96">
        <f>IF(AND(E57="VG",B58&lt;20),AW128,0)</f>
        <v>0</v>
      </c>
      <c r="AX157" s="96">
        <f>IF(AND(E62="VG",B63&lt;20),AX128,0)</f>
        <v>0</v>
      </c>
    </row>
    <row r="158" spans="5:50" hidden="1">
      <c r="E158" s="24"/>
      <c r="G158" s="24"/>
      <c r="AA158" s="141"/>
      <c r="AB158" s="141"/>
      <c r="AC158" s="141"/>
      <c r="AD158" s="141"/>
      <c r="AE158" s="141"/>
      <c r="AF158" s="142"/>
      <c r="AG158" s="141"/>
      <c r="AH158" s="141"/>
      <c r="AI158" s="141"/>
      <c r="AJ158" s="141"/>
      <c r="AK158" s="141"/>
      <c r="AL158" s="141"/>
      <c r="AM158" s="66"/>
      <c r="AN158" s="66"/>
      <c r="AO158" s="66"/>
      <c r="AP158" s="95"/>
      <c r="AQ158" s="96"/>
      <c r="AR158" s="97"/>
      <c r="AS158" s="96"/>
      <c r="AT158" s="96"/>
      <c r="AU158" s="96"/>
      <c r="AV158" s="96"/>
      <c r="AW158" s="96"/>
      <c r="AX158" s="96"/>
    </row>
    <row r="159" spans="5:50" hidden="1">
      <c r="E159" s="24"/>
      <c r="G159" s="24"/>
      <c r="AA159" s="141">
        <f>IF(E22="BE",M320*B22/D22,0)</f>
        <v>0</v>
      </c>
      <c r="AB159" s="141"/>
      <c r="AC159" s="141"/>
      <c r="AD159" s="141"/>
      <c r="AE159" s="141">
        <f>IF(E27="BE",M320*B27/D27,0)</f>
        <v>0</v>
      </c>
      <c r="AF159" s="142">
        <f>IF(E32="BE",M320*B32/D32,0)</f>
        <v>0</v>
      </c>
      <c r="AG159" s="141">
        <f>IF(E37="BE",M320*B37/D37,0)</f>
        <v>0</v>
      </c>
      <c r="AH159" s="141">
        <f>IF(E42="BE",M320*B42/D42,0)</f>
        <v>0</v>
      </c>
      <c r="AI159" s="141">
        <f>IF(E47="BE",M320*B47/D47,0)</f>
        <v>0</v>
      </c>
      <c r="AJ159" s="141">
        <f>IF(E52="BE",M320*B52/D52,0)</f>
        <v>0</v>
      </c>
      <c r="AK159" s="141">
        <f>IF(E57="BE",M320*B57/D57,0)</f>
        <v>0</v>
      </c>
      <c r="AL159" s="141">
        <f>IF(E62="BE",M320*B62/D62,0)</f>
        <v>0</v>
      </c>
      <c r="AM159" s="66"/>
      <c r="AN159" s="66"/>
      <c r="AO159" s="66"/>
      <c r="AP159" s="95">
        <f>IF(AND(E22="VG",B23&gt;=20,B23&lt;=29),AP130,0)</f>
        <v>0</v>
      </c>
      <c r="AQ159" s="96">
        <f>IF(AND(E27="VG",B28&gt;=20,B28&lt;=29),AQ130,0)</f>
        <v>0</v>
      </c>
      <c r="AR159" s="97">
        <f>IF(AND(E32="VG",B33&gt;=20,B33&lt;=29),AR130,0)</f>
        <v>0</v>
      </c>
      <c r="AS159" s="96">
        <f>IF(AND(E37="VG",B38&gt;=20,B38&lt;=29),AS130,0)</f>
        <v>0</v>
      </c>
      <c r="AT159" s="96">
        <f>IF(AND(E42="VG",B43&gt;=20,B43&lt;=29),AT130,0)</f>
        <v>0</v>
      </c>
      <c r="AU159" s="96">
        <f>IF(AND(E47="VG",B48&gt;=20,B48&lt;=29),AU130,0)</f>
        <v>0</v>
      </c>
      <c r="AV159" s="96">
        <f>IF(AND(E52="VG",B53&gt;=20,B53&lt;=29),AV130,0)</f>
        <v>0</v>
      </c>
      <c r="AW159" s="96">
        <f>IF(AND(E57="VG",B58&gt;=20,B58&lt;=29),AW130,0)</f>
        <v>0</v>
      </c>
      <c r="AX159" s="96">
        <f>IF(AND(E62="VG",B63&gt;=20,B63&lt;=29),AX130,0)</f>
        <v>0</v>
      </c>
    </row>
    <row r="160" spans="5:50" hidden="1">
      <c r="E160" s="24"/>
      <c r="G160" s="24"/>
      <c r="AA160" s="141"/>
      <c r="AB160" s="141"/>
      <c r="AC160" s="141"/>
      <c r="AD160" s="141"/>
      <c r="AE160" s="141"/>
      <c r="AF160" s="142"/>
      <c r="AG160" s="141"/>
      <c r="AH160" s="141"/>
      <c r="AI160" s="141"/>
      <c r="AJ160" s="141"/>
      <c r="AK160" s="141"/>
      <c r="AL160" s="141"/>
      <c r="AM160" s="66"/>
      <c r="AN160" s="66"/>
      <c r="AO160" s="66"/>
      <c r="AP160" s="95"/>
      <c r="AQ160" s="96"/>
      <c r="AR160" s="97"/>
      <c r="AS160" s="96"/>
      <c r="AT160" s="96"/>
      <c r="AU160" s="96"/>
      <c r="AV160" s="96"/>
      <c r="AW160" s="96"/>
      <c r="AX160" s="96"/>
    </row>
    <row r="161" spans="5:50" hidden="1">
      <c r="E161" s="24"/>
      <c r="G161" s="24"/>
      <c r="AA161" s="141">
        <f>IF(E22="VE",E5*B22/D22,0)</f>
        <v>0</v>
      </c>
      <c r="AB161" s="141"/>
      <c r="AC161" s="141"/>
      <c r="AD161" s="141"/>
      <c r="AE161" s="141">
        <f>IF(E27="VE",E5*B27/D27,0)</f>
        <v>0</v>
      </c>
      <c r="AF161" s="142">
        <f>IF(E32="VE",E5*B32/D32,0)</f>
        <v>0</v>
      </c>
      <c r="AG161" s="141">
        <f>IF(E37="VE",E5*B37/D37,0)</f>
        <v>0</v>
      </c>
      <c r="AH161" s="141">
        <f>IF(E42="VE",E5*B42/D42,0)</f>
        <v>0</v>
      </c>
      <c r="AI161" s="141">
        <f>IF(E47="VE",E5*B47/D47,0)</f>
        <v>0</v>
      </c>
      <c r="AJ161" s="141">
        <f>IF(E52="VE",E5*B52/D52,0)</f>
        <v>0</v>
      </c>
      <c r="AK161" s="141">
        <f>IF(E57="VE",E5*B57/D57,0)</f>
        <v>0</v>
      </c>
      <c r="AL161" s="141">
        <f>IF(E62="VE",E5*B62/D62,0)</f>
        <v>0</v>
      </c>
      <c r="AM161" s="66"/>
      <c r="AN161" s="66"/>
      <c r="AO161" s="66"/>
      <c r="AP161" s="95">
        <f>IF(AND(E22="VG",B23&gt;=30,B23&lt;=39),AP132,0)</f>
        <v>0</v>
      </c>
      <c r="AQ161" s="96">
        <f>IF(AND(E27="VG",B28&gt;=30,B28&lt;=39),AQ132,0)</f>
        <v>0</v>
      </c>
      <c r="AR161" s="97">
        <f>IF(AND(E32="VG",B33&gt;=30,B33&lt;=39),AR132,0)</f>
        <v>0</v>
      </c>
      <c r="AS161" s="96">
        <f>IF(AND(E37="VG",B38&gt;=30,B38&lt;=39),AS132,0)</f>
        <v>0</v>
      </c>
      <c r="AT161" s="96">
        <f>IF(AND(E42="VG",B43&gt;=30,B43&lt;=39),AT132,0)</f>
        <v>0</v>
      </c>
      <c r="AU161" s="96">
        <f>IF(AND(E47="VG",B48&gt;=30,B48&lt;=39),AU132,0)</f>
        <v>0</v>
      </c>
      <c r="AV161" s="96">
        <f>IF(AND(E52="VG",B53&gt;=30,B53&lt;=39),AV132,0)</f>
        <v>0</v>
      </c>
      <c r="AW161" s="96">
        <f>IF(AND(E57="VG",B58&gt;=30,B58&lt;=39),AW132,0)</f>
        <v>0</v>
      </c>
      <c r="AX161" s="96">
        <f>IF(AND(E62="VG",B63&gt;=30,B63&lt;=39),AX132,0)</f>
        <v>0</v>
      </c>
    </row>
    <row r="162" spans="5:50" hidden="1">
      <c r="E162" s="24"/>
      <c r="G162" s="24"/>
      <c r="AA162" s="141"/>
      <c r="AB162" s="141"/>
      <c r="AC162" s="141"/>
      <c r="AD162" s="141"/>
      <c r="AE162" s="141"/>
      <c r="AF162" s="142"/>
      <c r="AG162" s="141"/>
      <c r="AH162" s="141"/>
      <c r="AI162" s="141"/>
      <c r="AJ162" s="141"/>
      <c r="AK162" s="141"/>
      <c r="AL162" s="141"/>
      <c r="AM162" s="66"/>
      <c r="AN162" s="66"/>
      <c r="AO162" s="66"/>
      <c r="AP162" s="95"/>
      <c r="AQ162" s="96"/>
      <c r="AR162" s="97"/>
      <c r="AS162" s="96"/>
      <c r="AT162" s="96"/>
      <c r="AU162" s="96"/>
      <c r="AV162" s="96"/>
      <c r="AW162" s="96"/>
      <c r="AX162" s="96"/>
    </row>
    <row r="163" spans="5:50" hidden="1">
      <c r="E163" s="24"/>
      <c r="G163" s="24"/>
      <c r="AA163" s="141">
        <f>IF(E22="EVG",M298*B22/D22,0)</f>
        <v>0</v>
      </c>
      <c r="AB163" s="141"/>
      <c r="AC163" s="141"/>
      <c r="AD163" s="141"/>
      <c r="AE163" s="141">
        <f>IF(E27="EVG",M300*B27/D27,0)</f>
        <v>0</v>
      </c>
      <c r="AF163" s="142">
        <f>IF(E32="EVG",M302*B32/D32,0)</f>
        <v>0</v>
      </c>
      <c r="AG163" s="141">
        <f>IF(E37="EVG",M304*B37/D37,0)</f>
        <v>0</v>
      </c>
      <c r="AH163" s="141">
        <f>IF(E42="EVG",M306*B42/D42,0)</f>
        <v>0</v>
      </c>
      <c r="AI163" s="141">
        <f>IF(E47="EVG",M308*B47/D47,0)</f>
        <v>0</v>
      </c>
      <c r="AJ163" s="141">
        <f>IF(E52="EVG",M310*B52/D52,0)</f>
        <v>0</v>
      </c>
      <c r="AK163" s="141">
        <f>IF(E57="EVG",M312*B57/D57,0)</f>
        <v>0</v>
      </c>
      <c r="AL163" s="141">
        <f>IF(E62="EVG",M314*B62/D62,0)</f>
        <v>0</v>
      </c>
      <c r="AM163" s="159">
        <f>SUM(AA163:AL163)</f>
        <v>0</v>
      </c>
      <c r="AN163" s="66"/>
      <c r="AO163" s="66"/>
      <c r="AP163" s="95"/>
      <c r="AQ163" s="96"/>
      <c r="AR163" s="97"/>
      <c r="AS163" s="96"/>
      <c r="AT163" s="96"/>
      <c r="AU163" s="96"/>
      <c r="AV163" s="96"/>
      <c r="AW163" s="96"/>
      <c r="AX163" s="96"/>
    </row>
    <row r="164" spans="5:50" hidden="1">
      <c r="E164" s="24"/>
      <c r="G164" s="24"/>
      <c r="AA164" s="141"/>
      <c r="AB164" s="141"/>
      <c r="AC164" s="141"/>
      <c r="AD164" s="141"/>
      <c r="AE164" s="141"/>
      <c r="AF164" s="142"/>
      <c r="AG164" s="141"/>
      <c r="AH164" s="141"/>
      <c r="AI164" s="141"/>
      <c r="AJ164" s="141"/>
      <c r="AK164" s="141"/>
      <c r="AL164" s="141"/>
      <c r="AM164" s="66"/>
      <c r="AN164" s="66"/>
      <c r="AO164" s="66"/>
      <c r="AP164" s="95"/>
      <c r="AQ164" s="96"/>
      <c r="AR164" s="97"/>
      <c r="AS164" s="96"/>
      <c r="AT164" s="96"/>
      <c r="AU164" s="96"/>
      <c r="AV164" s="96"/>
      <c r="AW164" s="96"/>
      <c r="AX164" s="96"/>
    </row>
    <row r="165" spans="5:50" hidden="1">
      <c r="E165" s="24"/>
      <c r="G165" s="24"/>
      <c r="AA165" s="141">
        <f>SUM(AA157:AA163)</f>
        <v>0</v>
      </c>
      <c r="AB165" s="141"/>
      <c r="AC165" s="141"/>
      <c r="AD165" s="141"/>
      <c r="AE165" s="141">
        <f t="shared" ref="AE165:AK165" si="3">SUM(AE157:AE163)</f>
        <v>0</v>
      </c>
      <c r="AF165" s="141">
        <f t="shared" si="3"/>
        <v>0</v>
      </c>
      <c r="AG165" s="141">
        <f t="shared" si="3"/>
        <v>0</v>
      </c>
      <c r="AH165" s="141">
        <f t="shared" si="3"/>
        <v>0</v>
      </c>
      <c r="AI165" s="141">
        <f t="shared" si="3"/>
        <v>0</v>
      </c>
      <c r="AJ165" s="141">
        <f t="shared" si="3"/>
        <v>0</v>
      </c>
      <c r="AK165" s="141">
        <f t="shared" si="3"/>
        <v>0</v>
      </c>
      <c r="AL165" s="141">
        <f>SUM(AL157:AL163)</f>
        <v>0</v>
      </c>
      <c r="AM165" s="66"/>
      <c r="AN165" s="66"/>
      <c r="AO165" s="66"/>
      <c r="AP165" s="95">
        <f>IF(AND(E22="VG",B23&gt;=40,B23&lt;=49),AP134,0)</f>
        <v>0</v>
      </c>
      <c r="AQ165" s="96">
        <f>IF(AND(E27="VG",B28&gt;=40,B28&lt;=49),AQ134,0)</f>
        <v>0</v>
      </c>
      <c r="AR165" s="97">
        <f>IF(AND(E32="VG",B33&gt;=40,B33&lt;=49),AR134,0)</f>
        <v>0</v>
      </c>
      <c r="AS165" s="96">
        <f>IF(AND(E37="VG",B38&gt;=40,B38&lt;=49),AS134,0)</f>
        <v>0</v>
      </c>
      <c r="AT165" s="96">
        <f>IF(AND(E42="VG",B43&gt;=40,B43&lt;=49),AT134,0)</f>
        <v>0</v>
      </c>
      <c r="AU165" s="96">
        <f>IF(AND(E47="VG",B48&gt;=40,B48&lt;=49),AU134,0)</f>
        <v>0</v>
      </c>
      <c r="AV165" s="96">
        <f>IF(AND(E52="VG",B53&gt;=40,B53&lt;=49),AV134,0)</f>
        <v>0</v>
      </c>
      <c r="AW165" s="96">
        <f>IF(AND(E57="VG",B58&gt;=40,B58&lt;=49),AW134,0)</f>
        <v>0</v>
      </c>
      <c r="AX165" s="96">
        <f>IF(AND(E62="VG",B63&gt;=40,B63&lt;=49),AX134,0)</f>
        <v>0</v>
      </c>
    </row>
    <row r="166" spans="5:50" hidden="1">
      <c r="E166" s="24"/>
      <c r="G166" s="24"/>
      <c r="AA166" s="66"/>
      <c r="AB166" s="66"/>
      <c r="AC166" s="66"/>
      <c r="AD166" s="66"/>
      <c r="AE166" s="66"/>
      <c r="AF166" s="66"/>
      <c r="AG166" s="66"/>
      <c r="AH166" s="66"/>
      <c r="AI166" s="66"/>
      <c r="AJ166" s="66"/>
      <c r="AK166" s="66"/>
      <c r="AL166" s="66"/>
      <c r="AM166" s="66"/>
      <c r="AN166" s="66"/>
      <c r="AO166" s="66"/>
      <c r="AP166" s="95"/>
      <c r="AQ166" s="96"/>
      <c r="AR166" s="97"/>
      <c r="AS166" s="96"/>
      <c r="AT166" s="96"/>
      <c r="AU166" s="96"/>
      <c r="AV166" s="96"/>
      <c r="AW166" s="96"/>
      <c r="AX166" s="96"/>
    </row>
    <row r="167" spans="5:50" hidden="1">
      <c r="E167" s="24"/>
      <c r="G167" s="24"/>
      <c r="AA167" s="66"/>
      <c r="AB167" s="66"/>
      <c r="AC167" s="66"/>
      <c r="AD167" s="66"/>
      <c r="AE167" s="66"/>
      <c r="AF167" s="66"/>
      <c r="AG167" s="66"/>
      <c r="AH167" s="66"/>
      <c r="AI167" s="66"/>
      <c r="AJ167" s="66"/>
      <c r="AK167" s="66"/>
      <c r="AL167" s="66"/>
      <c r="AM167" s="66"/>
      <c r="AN167" s="66"/>
      <c r="AO167" s="66"/>
      <c r="AP167" s="95">
        <f>IF(AND(E22="VG",B23&gt;=50,B23&lt;=54),AP136,0)</f>
        <v>0</v>
      </c>
      <c r="AQ167" s="96">
        <f>IF(AND(E27="VG",B28&gt;=50,B28&lt;=54),AQ136,0)</f>
        <v>0</v>
      </c>
      <c r="AR167" s="97">
        <f>IF(AND(E32="VG",B33&gt;=50,B33&lt;=54),AR136,0)</f>
        <v>0</v>
      </c>
      <c r="AS167" s="96">
        <f>IF(AND(E37="VG",B38&gt;=50,B38&lt;=54),AS136,0)</f>
        <v>0</v>
      </c>
      <c r="AT167" s="96">
        <f>IF(AND(E42="VG",B43&gt;=50,B43&lt;=54),AT136,0)</f>
        <v>0</v>
      </c>
      <c r="AU167" s="96">
        <f>IF(AND(E47="VG",B48&gt;=50,B48&lt;=54),AU136,0)</f>
        <v>0</v>
      </c>
      <c r="AV167" s="96">
        <f>IF(AND(E52="VG",B53&gt;=50,B53&lt;=54),AV136,0)</f>
        <v>0</v>
      </c>
      <c r="AW167" s="96">
        <f>IF(AND(E57="VG",B58&gt;=50,B58&lt;=54),AW136,0)</f>
        <v>0</v>
      </c>
      <c r="AX167" s="96">
        <f>IF(AND(E62="VG",B63&gt;=50,B63&lt;=54),AX136,0)</f>
        <v>0</v>
      </c>
    </row>
    <row r="168" spans="5:50" hidden="1">
      <c r="E168" s="24"/>
      <c r="G168" s="24"/>
      <c r="AA168" s="66"/>
      <c r="AB168" s="66"/>
      <c r="AC168" s="66"/>
      <c r="AD168" s="66"/>
      <c r="AE168" s="66"/>
      <c r="AF168" s="66"/>
      <c r="AG168" s="66"/>
      <c r="AH168" s="66"/>
      <c r="AI168" s="66"/>
      <c r="AJ168" s="66"/>
      <c r="AK168" s="66"/>
      <c r="AL168" s="66"/>
      <c r="AM168" s="66"/>
      <c r="AN168" s="66"/>
      <c r="AO168" s="66"/>
      <c r="AP168" s="95"/>
      <c r="AQ168" s="96"/>
      <c r="AR168" s="97"/>
      <c r="AS168" s="96"/>
      <c r="AT168" s="96"/>
      <c r="AU168" s="96"/>
      <c r="AV168" s="96"/>
      <c r="AW168" s="96"/>
      <c r="AX168" s="96"/>
    </row>
    <row r="169" spans="5:50" hidden="1">
      <c r="E169" s="24"/>
      <c r="G169" s="24"/>
      <c r="AA169" s="66"/>
      <c r="AB169" s="66"/>
      <c r="AC169" s="66"/>
      <c r="AD169" s="66"/>
      <c r="AE169" s="66"/>
      <c r="AF169" s="66"/>
      <c r="AG169" s="66"/>
      <c r="AH169" s="66"/>
      <c r="AI169" s="66"/>
      <c r="AJ169" s="66"/>
      <c r="AK169" s="66"/>
      <c r="AL169" s="66"/>
      <c r="AM169" s="66"/>
      <c r="AN169" s="66"/>
      <c r="AO169" s="66"/>
      <c r="AP169" s="95">
        <f>IF(AND(E22="VG",B23&gt;=55,B23&lt;=59),AP138,0)</f>
        <v>0</v>
      </c>
      <c r="AQ169" s="96">
        <f>IF(AND(E27="VG",B28&gt;=55,B28&lt;=59),AQ138,0)</f>
        <v>0</v>
      </c>
      <c r="AR169" s="97">
        <f>IF(AND(E32="VG",B33&gt;=55,B33&lt;=59),AR138,0)</f>
        <v>0</v>
      </c>
      <c r="AS169" s="96">
        <f>IF(AND(E37="VG",B38&gt;=55,B38&lt;=59),AS138,0)</f>
        <v>0</v>
      </c>
      <c r="AT169" s="96">
        <f>IF(AND(E42="VG",B43&gt;=55,B43&lt;=59),AT138,0)</f>
        <v>0</v>
      </c>
      <c r="AU169" s="96">
        <f>IF(AND(E47="VG",B48&gt;=55,B48&lt;=59),AU138,0)</f>
        <v>0</v>
      </c>
      <c r="AV169" s="96">
        <f>IF(AND(E52="VG",B53&gt;=55,B53&lt;=59),AV138,0)</f>
        <v>0</v>
      </c>
      <c r="AW169" s="96">
        <f>IF(AND(E57="VG",B58&gt;=55,B58&lt;=59),AW138,0)</f>
        <v>0</v>
      </c>
      <c r="AX169" s="96">
        <f>IF(AND(E62="VG",B63&gt;=55,B63&lt;=59),AX138,0)</f>
        <v>0</v>
      </c>
    </row>
    <row r="170" spans="5:50" hidden="1">
      <c r="E170" s="24"/>
      <c r="G170" s="24"/>
      <c r="AA170" s="66"/>
      <c r="AB170" s="66"/>
      <c r="AC170" s="66"/>
      <c r="AD170" s="66"/>
      <c r="AE170" s="66"/>
      <c r="AF170" s="66"/>
      <c r="AG170" s="66"/>
      <c r="AH170" s="66"/>
      <c r="AI170" s="66"/>
      <c r="AJ170" s="66"/>
      <c r="AK170" s="66"/>
      <c r="AL170" s="66"/>
      <c r="AM170" s="66"/>
      <c r="AN170" s="66"/>
      <c r="AO170" s="66"/>
      <c r="AP170" s="96"/>
      <c r="AQ170" s="96"/>
      <c r="AR170" s="97"/>
      <c r="AS170" s="96"/>
      <c r="AT170" s="96"/>
      <c r="AU170" s="96"/>
      <c r="AV170" s="96"/>
      <c r="AW170" s="96"/>
      <c r="AX170" s="96"/>
    </row>
    <row r="171" spans="5:50" hidden="1">
      <c r="E171" s="24"/>
      <c r="G171" s="24"/>
      <c r="AA171" s="66"/>
      <c r="AB171" s="66"/>
      <c r="AC171" s="66"/>
      <c r="AD171" s="66"/>
      <c r="AE171" s="66"/>
      <c r="AF171" s="66"/>
      <c r="AG171" s="66"/>
      <c r="AH171" s="66"/>
      <c r="AI171" s="66"/>
      <c r="AJ171" s="66"/>
      <c r="AK171" s="66"/>
      <c r="AL171" s="66"/>
      <c r="AM171" s="66"/>
      <c r="AN171" s="66"/>
      <c r="AO171" s="66"/>
      <c r="AP171" s="95">
        <f>IF(AND(E22="VG",B23&gt;=60,B23&lt;=64),AP140,0)</f>
        <v>0</v>
      </c>
      <c r="AQ171" s="96">
        <f>IF(AND(E27="VG",B28&gt;=60,B28&lt;=64),AQ140,0)</f>
        <v>0</v>
      </c>
      <c r="AR171" s="97">
        <f>IF(AND(E32="VG",B33&gt;=60,B33&lt;=64),AR140,0)</f>
        <v>0</v>
      </c>
      <c r="AS171" s="96">
        <f>IF(AND(E37="VG",B38&gt;=60,B38&lt;=64),AS140,0)</f>
        <v>0</v>
      </c>
      <c r="AT171" s="96">
        <f>IF(AND(E42="VG",B43&gt;=60,B43&lt;=64),AT140,0)</f>
        <v>0</v>
      </c>
      <c r="AU171" s="96">
        <f>IF(AND(E47="VG",B48&gt;=60,B48&lt;=64),AU140,0)</f>
        <v>0</v>
      </c>
      <c r="AV171" s="96">
        <f>IF(AND(E52="VG",B53&gt;=60,B53&lt;=64),AV140,0)</f>
        <v>0</v>
      </c>
      <c r="AW171" s="96">
        <f>IF(AND(E57="VG",B58&gt;=60,B58&lt;=64),AW140,0)</f>
        <v>0</v>
      </c>
      <c r="AX171" s="96">
        <f>IF(AND(E62="VG",B63&gt;=60,B63&lt;=64),AX140,0)</f>
        <v>0</v>
      </c>
    </row>
    <row r="172" spans="5:50" hidden="1">
      <c r="E172" s="24"/>
      <c r="G172" s="24"/>
      <c r="AA172" s="66"/>
      <c r="AB172" s="66"/>
      <c r="AC172" s="66"/>
      <c r="AD172" s="66"/>
      <c r="AE172" s="66"/>
      <c r="AF172" s="66"/>
      <c r="AG172" s="66"/>
      <c r="AH172" s="66"/>
      <c r="AI172" s="66"/>
      <c r="AJ172" s="66"/>
      <c r="AK172" s="66"/>
      <c r="AL172" s="66"/>
      <c r="AM172" s="66"/>
      <c r="AN172" s="66"/>
      <c r="AO172" s="66"/>
      <c r="AP172" s="95"/>
      <c r="AQ172" s="96"/>
      <c r="AR172" s="97"/>
      <c r="AS172" s="96"/>
      <c r="AT172" s="96"/>
      <c r="AU172" s="96"/>
      <c r="AV172" s="96"/>
      <c r="AW172" s="96"/>
      <c r="AX172" s="96"/>
    </row>
    <row r="173" spans="5:50" hidden="1">
      <c r="E173" s="24"/>
      <c r="G173" s="24"/>
      <c r="AA173" s="66"/>
      <c r="AB173" s="66"/>
      <c r="AC173" s="66"/>
      <c r="AD173" s="66"/>
      <c r="AE173" s="66"/>
      <c r="AF173" s="66"/>
      <c r="AG173" s="66"/>
      <c r="AH173" s="66"/>
      <c r="AI173" s="66"/>
      <c r="AJ173" s="66"/>
      <c r="AK173" s="66"/>
      <c r="AL173" s="66"/>
      <c r="AM173" s="66"/>
      <c r="AN173" s="66"/>
      <c r="AO173" s="66"/>
      <c r="AP173" s="95">
        <f>IF(AND(E22="VG",B23&gt;=65,B23&lt;=69),AP142,0)</f>
        <v>0</v>
      </c>
      <c r="AQ173" s="96">
        <f>IF(AND(E27="VG",B28&gt;=65,B28&lt;=69),AQ142,0)</f>
        <v>0</v>
      </c>
      <c r="AR173" s="97">
        <f>IF(AND(E32="VG",B33&gt;=65,B33&lt;=69),AR142,0)</f>
        <v>0</v>
      </c>
      <c r="AS173" s="96">
        <f>IF(AND(E37="VG",B38&gt;=65,B38&lt;=69),AS142,0)</f>
        <v>0</v>
      </c>
      <c r="AT173" s="96">
        <f>IF(AND(E42="VG",B43&gt;=65,B43&lt;=69),AT142,0)</f>
        <v>0</v>
      </c>
      <c r="AU173" s="96">
        <f>IF(AND(E47="VG",B48&gt;=65,B48&lt;=69),AU142,0)</f>
        <v>0</v>
      </c>
      <c r="AV173" s="96">
        <f>IF(AND(E52="VG",B53&gt;=65,B53&lt;=69),AV142,0)</f>
        <v>0</v>
      </c>
      <c r="AW173" s="96">
        <f>IF(AND(E57="VG",B58&gt;=65,B58&lt;=69),AW142,0)</f>
        <v>0</v>
      </c>
      <c r="AX173" s="96">
        <f>IF(AND(E62="VG",B63&gt;=65,B63&lt;=69),AX142,0)</f>
        <v>0</v>
      </c>
    </row>
    <row r="174" spans="5:50" hidden="1">
      <c r="E174" s="24"/>
      <c r="G174" s="24"/>
      <c r="AA174" s="66"/>
      <c r="AB174" s="66"/>
      <c r="AC174" s="66"/>
      <c r="AD174" s="66"/>
      <c r="AE174" s="66"/>
      <c r="AF174" s="66"/>
      <c r="AG174" s="66"/>
      <c r="AH174" s="66"/>
      <c r="AI174" s="66"/>
      <c r="AJ174" s="66"/>
      <c r="AK174" s="66"/>
      <c r="AL174" s="66"/>
      <c r="AM174" s="66"/>
      <c r="AN174" s="66"/>
      <c r="AO174" s="66"/>
      <c r="AP174" s="95"/>
      <c r="AQ174" s="96"/>
      <c r="AR174" s="97"/>
      <c r="AS174" s="96"/>
      <c r="AT174" s="96"/>
      <c r="AU174" s="96"/>
      <c r="AV174" s="96"/>
      <c r="AW174" s="96"/>
      <c r="AX174" s="96"/>
    </row>
    <row r="175" spans="5:50" hidden="1">
      <c r="E175" s="24"/>
      <c r="G175" s="24"/>
      <c r="AA175" s="66"/>
      <c r="AB175" s="66"/>
      <c r="AC175" s="66"/>
      <c r="AD175" s="66"/>
      <c r="AE175" s="66"/>
      <c r="AF175" s="66"/>
      <c r="AG175" s="66"/>
      <c r="AH175" s="66"/>
      <c r="AI175" s="66"/>
      <c r="AJ175" s="66"/>
      <c r="AK175" s="66"/>
      <c r="AL175" s="66"/>
      <c r="AM175" s="66"/>
      <c r="AN175" s="66"/>
      <c r="AO175" s="66"/>
      <c r="AP175" s="95">
        <f>IF(AND(E22="VG",B23&gt;=70,B23&lt;=74),AP144,0)</f>
        <v>0</v>
      </c>
      <c r="AQ175" s="96">
        <f>IF(AND(E27="VG",B28&gt;=70,B28&lt;=74),AQ144,0)</f>
        <v>0</v>
      </c>
      <c r="AR175" s="97">
        <f>IF(AND(E32="VG",B33&gt;=70,B33&lt;=74),AR144,0)</f>
        <v>0</v>
      </c>
      <c r="AS175" s="96">
        <f>IF(AND(E37="VG",B38&gt;=70,B38&lt;=74),AS144,0)</f>
        <v>0</v>
      </c>
      <c r="AT175" s="96">
        <f>IF(AND(E42="VG",B43&gt;=70,B43&lt;=74),AT144,0)</f>
        <v>0</v>
      </c>
      <c r="AU175" s="96">
        <f>IF(AND(E47="VG",B48&gt;=70,B48&lt;=74),AU144,0)</f>
        <v>0</v>
      </c>
      <c r="AV175" s="96">
        <f>IF(AND(E52="VG",B53&gt;=70,B53&lt;=74),AV144,0)</f>
        <v>0</v>
      </c>
      <c r="AW175" s="96">
        <f>IF(AND(E57="VG",B58&gt;=70,B58&lt;=74),AW144,0)</f>
        <v>0</v>
      </c>
      <c r="AX175" s="96">
        <f>IF(AND(E62="VG",B63&gt;=70,B63&lt;=74),AX144,0)</f>
        <v>0</v>
      </c>
    </row>
    <row r="176" spans="5:50" hidden="1">
      <c r="E176" s="24"/>
      <c r="G176" s="24"/>
      <c r="AA176" s="66"/>
      <c r="AB176" s="66"/>
      <c r="AC176" s="66"/>
      <c r="AD176" s="66"/>
      <c r="AE176" s="66"/>
      <c r="AF176" s="66"/>
      <c r="AG176" s="66"/>
      <c r="AH176" s="66"/>
      <c r="AI176" s="66"/>
      <c r="AJ176" s="66"/>
      <c r="AK176" s="66"/>
      <c r="AL176" s="66"/>
      <c r="AM176" s="66"/>
      <c r="AN176" s="66"/>
      <c r="AO176" s="66"/>
      <c r="AP176" s="95"/>
      <c r="AQ176" s="96"/>
      <c r="AR176" s="97"/>
      <c r="AS176" s="96"/>
      <c r="AT176" s="96"/>
      <c r="AU176" s="96"/>
      <c r="AV176" s="96"/>
      <c r="AW176" s="96"/>
      <c r="AX176" s="96"/>
    </row>
    <row r="177" spans="1:50" hidden="1">
      <c r="E177" s="24"/>
      <c r="G177" s="24"/>
      <c r="AA177" s="66"/>
      <c r="AB177" s="66"/>
      <c r="AC177" s="66"/>
      <c r="AD177" s="66"/>
      <c r="AE177" s="66"/>
      <c r="AF177" s="66"/>
      <c r="AG177" s="66"/>
      <c r="AH177" s="66"/>
      <c r="AI177" s="66"/>
      <c r="AJ177" s="66"/>
      <c r="AK177" s="66"/>
      <c r="AL177" s="66"/>
      <c r="AM177" s="66"/>
      <c r="AN177" s="66"/>
      <c r="AO177" s="66"/>
      <c r="AP177" s="95">
        <f>IF(AND(E22="VG",B23&gt;=75,B23&lt;=79),AP146,0)</f>
        <v>0</v>
      </c>
      <c r="AQ177" s="96">
        <f>IF(AND(E27="VG",B28&gt;=75,B28&lt;=79),AQ146,0)</f>
        <v>0</v>
      </c>
      <c r="AR177" s="97">
        <f>IF(AND(E32="VG",B33&gt;=75,B33&lt;=79),AR146,0)</f>
        <v>0</v>
      </c>
      <c r="AS177" s="96">
        <f>IF(AND(E37="VG",B38&gt;=75,B38&lt;=79),AS146,0)</f>
        <v>0</v>
      </c>
      <c r="AT177" s="96">
        <f>IF(AND(E42="VG",B43&gt;=75,B43&lt;=79),AT146,0)</f>
        <v>0</v>
      </c>
      <c r="AU177" s="96">
        <f>IF(AND(E47="VG",B48&gt;=75,B48&lt;=79),AU146,0)</f>
        <v>0</v>
      </c>
      <c r="AV177" s="96">
        <f>IF(AND(E52="VG",B53&gt;=75,B53&lt;=79),AV146,0)</f>
        <v>0</v>
      </c>
      <c r="AW177" s="96">
        <f>IF(AND(E57="VG",B58&gt;=75,B58&lt;=79),AW146,0)</f>
        <v>0</v>
      </c>
      <c r="AX177" s="96">
        <f>IF(AND(E62="VG",B63&gt;=75,B63&lt;=79),AX146,0)</f>
        <v>0</v>
      </c>
    </row>
    <row r="178" spans="1:50" hidden="1">
      <c r="E178" s="24"/>
      <c r="G178" s="24"/>
      <c r="AA178" s="66"/>
      <c r="AB178" s="66"/>
      <c r="AC178" s="66"/>
      <c r="AD178" s="66"/>
      <c r="AE178" s="66"/>
      <c r="AF178" s="66"/>
      <c r="AG178" s="66"/>
      <c r="AH178" s="66"/>
      <c r="AI178" s="66"/>
      <c r="AJ178" s="66"/>
      <c r="AK178" s="66"/>
      <c r="AL178" s="66"/>
      <c r="AM178" s="66"/>
      <c r="AN178" s="66"/>
      <c r="AO178" s="66"/>
      <c r="AP178" s="95"/>
      <c r="AQ178" s="96"/>
      <c r="AR178" s="97"/>
      <c r="AS178" s="96"/>
      <c r="AT178" s="96"/>
      <c r="AU178" s="96"/>
      <c r="AV178" s="96"/>
      <c r="AW178" s="96"/>
      <c r="AX178" s="96"/>
    </row>
    <row r="179" spans="1:50" hidden="1">
      <c r="E179" s="24"/>
      <c r="G179" s="24"/>
      <c r="AA179" s="66"/>
      <c r="AB179" s="66"/>
      <c r="AC179" s="66"/>
      <c r="AD179" s="66"/>
      <c r="AE179" s="66"/>
      <c r="AF179" s="66"/>
      <c r="AG179" s="66"/>
      <c r="AH179" s="66"/>
      <c r="AI179" s="66"/>
      <c r="AJ179" s="66"/>
      <c r="AK179" s="66"/>
      <c r="AL179" s="66"/>
      <c r="AM179" s="66"/>
      <c r="AN179" s="66"/>
      <c r="AO179" s="66"/>
      <c r="AP179" s="95">
        <f>IF(AND(E22="VG",B23&gt;=80),AP148,0)</f>
        <v>0</v>
      </c>
      <c r="AQ179" s="96">
        <f>IF(AND(E27="VG",B28&gt;=80),AQ148,0)</f>
        <v>0</v>
      </c>
      <c r="AR179" s="97">
        <f>IF(AND(E32="VG",B33&gt;=80),AR148,0)</f>
        <v>0</v>
      </c>
      <c r="AS179" s="96">
        <f>IF(AND(E37="VG",B38&gt;=80),AS148,0)</f>
        <v>0</v>
      </c>
      <c r="AT179" s="96">
        <f>IF(AND(E42="VG",B43&gt;=80),AT148,0)</f>
        <v>0</v>
      </c>
      <c r="AU179" s="96">
        <f>IF(AND(E47="VG",B48&gt;=80),AU148,0)</f>
        <v>0</v>
      </c>
      <c r="AV179" s="96">
        <f>IF(AND(E52="VG",B53&gt;=80),AV148,0)</f>
        <v>0</v>
      </c>
      <c r="AW179" s="96">
        <f>IF(AND(E57="VG",B58&gt;=80),AW148,0)</f>
        <v>0</v>
      </c>
      <c r="AX179" s="96">
        <f>IF(AND(E62="VG",B63&gt;=80),AX148,0)</f>
        <v>0</v>
      </c>
    </row>
    <row r="180" spans="1:50" ht="13.5" hidden="1" thickBot="1">
      <c r="E180" s="24"/>
      <c r="G180" s="24"/>
      <c r="AA180" s="66"/>
      <c r="AB180" s="66"/>
      <c r="AC180" s="66"/>
      <c r="AD180" s="66"/>
      <c r="AE180" s="66"/>
      <c r="AF180" s="66"/>
      <c r="AG180" s="66"/>
      <c r="AH180" s="66"/>
      <c r="AI180" s="66"/>
      <c r="AJ180" s="66"/>
      <c r="AK180" s="66"/>
      <c r="AL180" s="66"/>
      <c r="AM180" s="66"/>
      <c r="AN180" s="66"/>
      <c r="AO180" s="66"/>
      <c r="AP180" s="95"/>
      <c r="AQ180" s="96"/>
      <c r="AR180" s="97"/>
      <c r="AS180" s="96"/>
      <c r="AT180" s="96"/>
      <c r="AU180" s="96"/>
      <c r="AV180" s="96"/>
      <c r="AW180" s="96"/>
      <c r="AX180" s="96"/>
    </row>
    <row r="181" spans="1:50" ht="13.5" hidden="1" thickBot="1">
      <c r="E181" s="24"/>
      <c r="G181" s="24"/>
      <c r="AA181" s="66"/>
      <c r="AB181" s="66"/>
      <c r="AC181" s="66"/>
      <c r="AD181" s="66"/>
      <c r="AE181" s="66"/>
      <c r="AF181" s="66"/>
      <c r="AG181" s="66"/>
      <c r="AH181" s="66"/>
      <c r="AI181" s="66"/>
      <c r="AJ181" s="66"/>
      <c r="AK181" s="66"/>
      <c r="AL181" s="66"/>
      <c r="AM181" s="66"/>
      <c r="AN181" s="66"/>
      <c r="AO181" s="66"/>
      <c r="AP181" s="143">
        <f t="shared" ref="AP181:AU181" si="4">SUM(AP157:AP179)</f>
        <v>0</v>
      </c>
      <c r="AQ181" s="144">
        <f t="shared" si="4"/>
        <v>0</v>
      </c>
      <c r="AR181" s="145">
        <f t="shared" si="4"/>
        <v>0</v>
      </c>
      <c r="AS181" s="144">
        <f t="shared" si="4"/>
        <v>0</v>
      </c>
      <c r="AT181" s="144">
        <f t="shared" si="4"/>
        <v>0</v>
      </c>
      <c r="AU181" s="144">
        <f t="shared" si="4"/>
        <v>0</v>
      </c>
      <c r="AV181" s="144">
        <f>SUM(AU157:AU179)</f>
        <v>0</v>
      </c>
      <c r="AW181" s="144">
        <f>SUM(AW157:AW179)</f>
        <v>0</v>
      </c>
      <c r="AX181" s="144">
        <f>SUM(AX157:AX179)</f>
        <v>0</v>
      </c>
    </row>
    <row r="182" spans="1:50" hidden="1">
      <c r="E182" s="24"/>
      <c r="G182" s="24"/>
      <c r="AA182" s="66"/>
      <c r="AB182" s="66"/>
      <c r="AC182" s="66"/>
      <c r="AD182" s="66"/>
      <c r="AE182" s="66"/>
      <c r="AF182" s="66"/>
      <c r="AG182" s="66"/>
      <c r="AH182" s="66"/>
      <c r="AI182" s="66"/>
      <c r="AJ182" s="66"/>
      <c r="AK182" s="66"/>
      <c r="AL182" s="66"/>
      <c r="AM182" s="66"/>
      <c r="AN182" s="66"/>
      <c r="AO182" s="66"/>
      <c r="AP182" s="95"/>
      <c r="AQ182" s="96"/>
      <c r="AR182" s="97"/>
      <c r="AS182" s="96"/>
      <c r="AT182" s="96"/>
      <c r="AU182" s="96"/>
      <c r="AV182" s="96"/>
      <c r="AW182" s="96"/>
      <c r="AX182" s="96"/>
    </row>
    <row r="183" spans="1:50" hidden="1">
      <c r="E183" s="24"/>
      <c r="G183" s="24"/>
      <c r="AA183" s="66"/>
      <c r="AB183" s="66"/>
      <c r="AC183" s="66"/>
      <c r="AD183" s="66"/>
      <c r="AE183" s="66"/>
      <c r="AF183" s="66"/>
      <c r="AG183" s="66"/>
      <c r="AH183" s="66"/>
      <c r="AI183" s="66"/>
      <c r="AJ183" s="66"/>
      <c r="AK183" s="66"/>
      <c r="AL183" s="66"/>
      <c r="AM183" s="66"/>
      <c r="AN183" s="66"/>
      <c r="AO183" s="66"/>
      <c r="AP183" s="95">
        <f>SUM(AP181:AX181)</f>
        <v>0</v>
      </c>
      <c r="AQ183" s="96"/>
      <c r="AR183" s="97"/>
      <c r="AS183" s="96"/>
      <c r="AT183" s="96"/>
      <c r="AU183" s="96"/>
      <c r="AV183" s="96"/>
      <c r="AW183" s="96"/>
      <c r="AX183" s="96"/>
    </row>
    <row r="184" spans="1:50" hidden="1">
      <c r="E184" s="24"/>
      <c r="G184" s="24"/>
    </row>
    <row r="185" spans="1:50" hidden="1">
      <c r="E185" s="24"/>
      <c r="G185" s="24"/>
    </row>
    <row r="186" spans="1:50" hidden="1">
      <c r="E186" s="24"/>
      <c r="G186" s="24"/>
    </row>
    <row r="187" spans="1:50" hidden="1">
      <c r="E187" s="24"/>
      <c r="G187" s="24"/>
    </row>
    <row r="188" spans="1:50" hidden="1">
      <c r="E188" s="24"/>
      <c r="G188" s="24"/>
    </row>
    <row r="189" spans="1:50" hidden="1">
      <c r="E189" s="24"/>
      <c r="G189" s="24"/>
    </row>
    <row r="190" spans="1:50" hidden="1">
      <c r="E190" s="24"/>
      <c r="G190" s="24"/>
      <c r="J190" s="7">
        <f>IF(AND(E16="bouwgrond",F20="echtgeno(o)t(e)"),H205,0)</f>
        <v>0</v>
      </c>
    </row>
    <row r="191" spans="1:50" hidden="1">
      <c r="E191" s="24"/>
      <c r="G191" s="24"/>
      <c r="J191" s="7">
        <f>IF(AND(E16="andere",F20="echtgeno(o)t(e)"),G205,0)</f>
        <v>0</v>
      </c>
    </row>
    <row r="192" spans="1:50" hidden="1">
      <c r="A192" s="35"/>
      <c r="B192" s="35"/>
      <c r="C192" s="35"/>
      <c r="D192" s="35"/>
      <c r="E192" s="36"/>
      <c r="F192" s="37"/>
      <c r="G192" s="36"/>
      <c r="H192" s="36"/>
      <c r="I192" s="38"/>
      <c r="J192" s="39">
        <f>IF(AND(E16="bouwgrond",F20="rechte lijn"),H205,0)</f>
        <v>0</v>
      </c>
      <c r="K192" s="38"/>
      <c r="L192" s="40" t="s">
        <v>74</v>
      </c>
    </row>
    <row r="193" spans="1:20" hidden="1">
      <c r="A193" s="36" t="s">
        <v>10</v>
      </c>
      <c r="B193" s="36"/>
      <c r="C193" s="36"/>
      <c r="D193" s="36"/>
      <c r="E193" s="36"/>
      <c r="F193" s="36">
        <f>G20</f>
        <v>0</v>
      </c>
      <c r="G193" s="41"/>
      <c r="H193" s="36"/>
      <c r="I193" s="36"/>
      <c r="J193" s="39">
        <f>IF(AND(E16="andere",F20="rechte lijn"),G205,0)</f>
        <v>0</v>
      </c>
      <c r="K193" s="36"/>
      <c r="L193" s="40" t="s">
        <v>64</v>
      </c>
    </row>
    <row r="194" spans="1:20" hidden="1">
      <c r="A194" s="36"/>
      <c r="B194" s="36"/>
      <c r="C194" s="36"/>
      <c r="D194" s="36"/>
      <c r="E194" s="36"/>
      <c r="F194" s="36"/>
      <c r="G194" s="36"/>
      <c r="H194" s="36"/>
      <c r="I194" s="36"/>
      <c r="J194" s="39">
        <f>IF(AND(E16="bouwgrond",F20="broer/zuster"),H215,0)</f>
        <v>0</v>
      </c>
      <c r="K194" s="36"/>
      <c r="L194" s="36" t="s">
        <v>35</v>
      </c>
      <c r="M194" s="7" t="s">
        <v>63</v>
      </c>
      <c r="N194" s="7" t="s">
        <v>77</v>
      </c>
    </row>
    <row r="195" spans="1:20" hidden="1">
      <c r="A195" s="37" t="s">
        <v>11</v>
      </c>
      <c r="B195" s="37"/>
      <c r="C195" s="37"/>
      <c r="D195" s="37"/>
      <c r="E195" s="36"/>
      <c r="F195" s="36"/>
      <c r="G195" s="38" t="s">
        <v>12</v>
      </c>
      <c r="H195" s="38" t="s">
        <v>13</v>
      </c>
      <c r="I195" s="36"/>
      <c r="J195" s="39">
        <f>IF(AND(E16="andere",F20="broer/zuster"),G215,0)</f>
        <v>0</v>
      </c>
      <c r="K195" s="36"/>
      <c r="L195" s="36" t="s">
        <v>53</v>
      </c>
    </row>
    <row r="196" spans="1:20" hidden="1">
      <c r="A196" s="36">
        <v>0</v>
      </c>
      <c r="B196" s="36"/>
      <c r="C196" s="36"/>
      <c r="D196" s="36"/>
      <c r="E196" s="36">
        <v>12500</v>
      </c>
      <c r="F196" s="36">
        <f>IF(AND(F193&gt;A196, F193&lt;=E196),F193,0)</f>
        <v>0</v>
      </c>
      <c r="G196" s="36">
        <f>0+(3/100)*(-A196+F196)</f>
        <v>0</v>
      </c>
      <c r="H196" s="36">
        <f>0+(1/100)*(-A196+F196)</f>
        <v>0</v>
      </c>
      <c r="I196" s="36"/>
      <c r="J196" s="39">
        <f>IF(AND(E16="bouwgrond",F20="oom-tante/neef-nicht"),J215,0)</f>
        <v>0</v>
      </c>
      <c r="K196" s="36"/>
      <c r="L196" s="36" t="s">
        <v>36</v>
      </c>
      <c r="M196" s="7" t="s">
        <v>78</v>
      </c>
      <c r="N196" s="7">
        <f>IF(I20=3,J201*12%,0)</f>
        <v>0</v>
      </c>
      <c r="O196" s="7">
        <f>IF(N196&gt;372,372,N196)</f>
        <v>0</v>
      </c>
      <c r="Q196" s="7" t="s">
        <v>79</v>
      </c>
      <c r="R196" s="7">
        <f>J201*6%</f>
        <v>0</v>
      </c>
      <c r="S196" s="7">
        <f>IF(R196&gt;186,186,R196)</f>
        <v>0</v>
      </c>
      <c r="T196" s="7">
        <f>IF(I20=3,S196,0)</f>
        <v>0</v>
      </c>
    </row>
    <row r="197" spans="1:20" hidden="1">
      <c r="A197" s="36">
        <f t="shared" ref="A197:A204" si="5">E196</f>
        <v>12500</v>
      </c>
      <c r="B197" s="36"/>
      <c r="C197" s="36"/>
      <c r="D197" s="36"/>
      <c r="E197" s="36">
        <v>25000</v>
      </c>
      <c r="F197" s="36">
        <f>IF(AND(F193&gt;A197, F193&lt;=E197),F193,0)</f>
        <v>0</v>
      </c>
      <c r="G197" s="36">
        <f>(12500/100*3)+(4/100)*(-A197+F197)</f>
        <v>-125</v>
      </c>
      <c r="H197" s="36">
        <f>(12500/100*1)+(2/100)*(-A197+F197)</f>
        <v>-125</v>
      </c>
      <c r="I197" s="36"/>
      <c r="J197" s="39">
        <f>IF(AND(E16="andere",F20="oom-tante/neef-nicht"),I215,0)</f>
        <v>0</v>
      </c>
      <c r="K197" s="36"/>
      <c r="L197" s="7" t="s">
        <v>63</v>
      </c>
      <c r="N197" s="7">
        <f>IF(I20=4,J201*16%,0)</f>
        <v>0</v>
      </c>
      <c r="O197" s="7">
        <f>IF(N197&gt;496,496,N197)</f>
        <v>0</v>
      </c>
      <c r="Q197" s="7" t="s">
        <v>80</v>
      </c>
      <c r="R197" s="7">
        <f>J201*8%</f>
        <v>0</v>
      </c>
      <c r="S197" s="7">
        <f>IF(R197&gt;248,248,R197)</f>
        <v>0</v>
      </c>
      <c r="T197" s="7">
        <f>IF(I20=4,S197,0)</f>
        <v>0</v>
      </c>
    </row>
    <row r="198" spans="1:20" hidden="1">
      <c r="A198" s="36">
        <f t="shared" si="5"/>
        <v>25000</v>
      </c>
      <c r="B198" s="36"/>
      <c r="C198" s="36"/>
      <c r="D198" s="36"/>
      <c r="E198" s="36">
        <v>50000</v>
      </c>
      <c r="F198" s="36">
        <f>IF(AND(F193&gt;A198, F193&lt;=E198),F193,0)</f>
        <v>0</v>
      </c>
      <c r="G198" s="36">
        <f>(12500/100*3)+(12500/100*4)+((5/100)*(-A198+F198))</f>
        <v>-375</v>
      </c>
      <c r="H198" s="36">
        <f>(12500/100*1)+(12500/100*2)+((3/100)*(-A198+F198))</f>
        <v>-375</v>
      </c>
      <c r="I198" s="36"/>
      <c r="J198" s="39">
        <f>IF(AND(E16="bouwgrond",F20="vreemden"),L215,0)</f>
        <v>0</v>
      </c>
      <c r="K198" s="36"/>
      <c r="L198" s="36" t="s">
        <v>37</v>
      </c>
      <c r="N198" s="7">
        <f>IF(I20=5,J201*20%,0)</f>
        <v>0</v>
      </c>
      <c r="O198" s="7">
        <f>IF(N198&gt;620,620,N198)</f>
        <v>0</v>
      </c>
      <c r="R198" s="7">
        <f>J201*10%</f>
        <v>0</v>
      </c>
      <c r="S198" s="7">
        <f>IF(R198&gt;310,310,R198)</f>
        <v>0</v>
      </c>
      <c r="T198" s="7">
        <f>IF(I20=5,S198,0)</f>
        <v>0</v>
      </c>
    </row>
    <row r="199" spans="1:20" hidden="1">
      <c r="A199" s="36">
        <f t="shared" si="5"/>
        <v>50000</v>
      </c>
      <c r="B199" s="36"/>
      <c r="C199" s="36"/>
      <c r="D199" s="36"/>
      <c r="E199" s="36">
        <v>100000</v>
      </c>
      <c r="F199" s="36">
        <f>IF(AND(F193&gt;A199, F193&lt;=E199),F193,0)</f>
        <v>0</v>
      </c>
      <c r="G199" s="36">
        <f>(12500/100*3)+(12500/100*4)+(25000/100*5)+((7/100)*(-A199+F199))</f>
        <v>-1375.0000000000005</v>
      </c>
      <c r="H199" s="36">
        <f>(12500/100*1)+(12500/100*2)+(25000/100*3)+((5/100)*(-A199+F199))</f>
        <v>-1375</v>
      </c>
      <c r="I199" s="36"/>
      <c r="J199" s="39">
        <f>IF(AND(E16="andere",F20="vreemden"),K215,0)</f>
        <v>0</v>
      </c>
      <c r="K199" s="36"/>
      <c r="L199" s="36" t="s">
        <v>38</v>
      </c>
      <c r="N199" s="7">
        <f>IF(I20=6,J201*24%,0)</f>
        <v>0</v>
      </c>
      <c r="O199" s="7">
        <f>IF(N199&gt;744,744,N199)</f>
        <v>0</v>
      </c>
      <c r="R199" s="7">
        <f>J201*12%</f>
        <v>0</v>
      </c>
      <c r="S199" s="7">
        <f>IF(R199&gt;372,372,R199)</f>
        <v>0</v>
      </c>
      <c r="T199" s="7">
        <f>IF(I20=6,S199,0)</f>
        <v>0</v>
      </c>
    </row>
    <row r="200" spans="1:20" hidden="1">
      <c r="A200" s="36">
        <f t="shared" si="5"/>
        <v>100000</v>
      </c>
      <c r="B200" s="36"/>
      <c r="C200" s="36"/>
      <c r="D200" s="36"/>
      <c r="E200" s="36">
        <v>150000</v>
      </c>
      <c r="F200" s="36">
        <f>IF(AND(F193&gt;A200, F193&lt;=E200),F193,0)</f>
        <v>0</v>
      </c>
      <c r="G200" s="36">
        <f>(12500/100*3)+(12500/100*4)+(25000/100*5)+(50000/100*7)+((10/100)*(-A200+F200))</f>
        <v>-4375</v>
      </c>
      <c r="H200" s="36">
        <f>(12500/100*1)+(12500/100*2)+(25000/100*3)+(50000/100*5)+((8/100)*(-A200+F200))</f>
        <v>-4375</v>
      </c>
      <c r="I200" s="36"/>
      <c r="J200" s="36"/>
      <c r="K200" s="36"/>
      <c r="L200" s="36" t="s">
        <v>39</v>
      </c>
      <c r="N200" s="7">
        <f>IF(I20=7,J201*28%,0)</f>
        <v>0</v>
      </c>
      <c r="O200" s="7">
        <f>IF(N200&gt;868,868,N200)</f>
        <v>0</v>
      </c>
      <c r="R200" s="7">
        <f>J201*14%</f>
        <v>0</v>
      </c>
      <c r="S200" s="7">
        <f>IF(R200&gt;434,434,R200)</f>
        <v>0</v>
      </c>
      <c r="T200" s="7">
        <f>IF(I20=7,S200,0)</f>
        <v>0</v>
      </c>
    </row>
    <row r="201" spans="1:20" hidden="1">
      <c r="A201" s="36">
        <f t="shared" si="5"/>
        <v>150000</v>
      </c>
      <c r="B201" s="36"/>
      <c r="C201" s="36"/>
      <c r="D201" s="36"/>
      <c r="E201" s="36">
        <v>200000</v>
      </c>
      <c r="F201" s="36">
        <f>IF(AND(F193&gt;A201, F193&lt;=E201),F193,0)</f>
        <v>0</v>
      </c>
      <c r="G201" s="36">
        <f>(12500/100*3)+(12500/100*4)+(25000/100*5)+(50000/100*7)+(50000/100*10)+((14/100)*(-A201+F201))</f>
        <v>-10375.000000000004</v>
      </c>
      <c r="H201" s="36">
        <f>(12500/100*1)+(12500/100*2)+(25000/100*3)+(50000/100*5)+(50000/100*8)+((14/100)*(-A201+F201))</f>
        <v>-13375.000000000004</v>
      </c>
      <c r="I201" s="36"/>
      <c r="J201" s="36">
        <f>SUM(J190:J199)</f>
        <v>0</v>
      </c>
      <c r="K201" s="36"/>
      <c r="L201" s="36" t="s">
        <v>41</v>
      </c>
      <c r="N201" s="7">
        <f>IF(I20=8,J201*32%,0)</f>
        <v>0</v>
      </c>
      <c r="O201" s="7">
        <f>IF(N201&gt;992,992,N201)</f>
        <v>0</v>
      </c>
      <c r="R201" s="7">
        <f>J201*16%</f>
        <v>0</v>
      </c>
      <c r="S201" s="7">
        <f>IF(R201&gt;496,496,R201)</f>
        <v>0</v>
      </c>
      <c r="T201" s="7">
        <f>IF(I20=8,S201,0)</f>
        <v>0</v>
      </c>
    </row>
    <row r="202" spans="1:20" hidden="1">
      <c r="A202" s="36">
        <f t="shared" si="5"/>
        <v>200000</v>
      </c>
      <c r="B202" s="36"/>
      <c r="C202" s="36"/>
      <c r="D202" s="36"/>
      <c r="E202" s="36">
        <v>250000</v>
      </c>
      <c r="F202" s="36">
        <f>IF(AND(F193&gt;A202, F193&lt;=E202),F193,0)</f>
        <v>0</v>
      </c>
      <c r="G202" s="36">
        <f>(12500/100*3)+(12500/100*4)+(25000/100*5)+(50000/100*7)+(50000/100*10)+(50000/100*14)+((18/100)*(-A202+F202))</f>
        <v>-18375</v>
      </c>
      <c r="H202" s="36">
        <f>(12500/100*1)+(12500/100*2)+(25000/100*3)+(50000/100*5)+(50000/100*8)+(50000/100*14)+((18/100)*(-A202+F202))</f>
        <v>-21375</v>
      </c>
      <c r="I202" s="36"/>
      <c r="J202" s="36"/>
      <c r="K202" s="36"/>
      <c r="L202" s="36"/>
      <c r="N202" s="7">
        <f>IF(I20=9,J201*36%,0)</f>
        <v>0</v>
      </c>
      <c r="O202" s="7">
        <f>IF(N202&gt;1116,1116,N202)</f>
        <v>0</v>
      </c>
      <c r="R202" s="7">
        <f>J201*18%</f>
        <v>0</v>
      </c>
      <c r="S202" s="7">
        <f>IF(R202&gt;558,558,R202)</f>
        <v>0</v>
      </c>
      <c r="T202" s="7">
        <f>IF(I20=9,S202,0)</f>
        <v>0</v>
      </c>
    </row>
    <row r="203" spans="1:20" hidden="1">
      <c r="A203" s="36">
        <f t="shared" si="5"/>
        <v>250000</v>
      </c>
      <c r="B203" s="36"/>
      <c r="C203" s="36"/>
      <c r="D203" s="36"/>
      <c r="E203" s="36">
        <v>500000</v>
      </c>
      <c r="F203" s="36">
        <f>IF(AND(F193&gt;A203, F193&lt;=E203),F193,0)</f>
        <v>0</v>
      </c>
      <c r="G203" s="36">
        <f>(12500/100*3)+(12500/100*4)+(25000/100*5)+(50000/100*7)+(50000/100*10)+(50000/100*14)+(50000/100*18)+((24/100)*(-A203+F203))</f>
        <v>-33375</v>
      </c>
      <c r="H203" s="36">
        <f>(12500/100*1)+(12500/100*2)+(25000/100*3)+(50000/100*5)+(50000/100*8)+(50000/100*14)+(50000/100*18)+((24/100)*(-A203+F203))</f>
        <v>-36375</v>
      </c>
      <c r="I203" s="36"/>
      <c r="J203" s="36"/>
      <c r="K203" s="36"/>
      <c r="L203" s="36" t="s">
        <v>42</v>
      </c>
      <c r="N203" s="7">
        <f>IF(I20=10,J201*40%,0)</f>
        <v>0</v>
      </c>
      <c r="O203" s="7">
        <f>IF(N203&gt;1240,1240,N203)</f>
        <v>0</v>
      </c>
      <c r="R203" s="7">
        <f>J201*20%</f>
        <v>0</v>
      </c>
      <c r="S203" s="7">
        <f>IF(R203&gt;620,620,R203)</f>
        <v>0</v>
      </c>
      <c r="T203" s="7">
        <f>IF(I20=10,S203,0)</f>
        <v>0</v>
      </c>
    </row>
    <row r="204" spans="1:20" hidden="1">
      <c r="A204" s="36">
        <f t="shared" si="5"/>
        <v>500000</v>
      </c>
      <c r="B204" s="36"/>
      <c r="C204" s="36"/>
      <c r="D204" s="36"/>
      <c r="E204" s="36">
        <v>999999999</v>
      </c>
      <c r="F204" s="36">
        <f>IF(AND(F193&gt;A204, F193&lt;=E204),F193,0)</f>
        <v>0</v>
      </c>
      <c r="G204" s="36">
        <f>(12500/100*3)+(12500/100*4)+(25000/100*5)+(50000/100*7)+(50000/100*10)+(50000/100*14)+(50000/100*18)+(250000/100*24)+((30/100)*(-A204+F204))</f>
        <v>-63375</v>
      </c>
      <c r="H204" s="36">
        <f>(12500/100*1)+(12500/100*2)+(25000/100*3)+(50000/100*5)+(50000/100*8)+(50000/100*14)+(50000/100*18)+(250000/100*24)+((30/100)*(-A204+F204))</f>
        <v>-66375</v>
      </c>
      <c r="I204" s="36"/>
      <c r="J204" s="36"/>
      <c r="K204" s="36"/>
      <c r="L204" s="36" t="s">
        <v>54</v>
      </c>
    </row>
    <row r="205" spans="1:20" hidden="1">
      <c r="A205" s="42" t="s">
        <v>14</v>
      </c>
      <c r="B205" s="42"/>
      <c r="C205" s="42"/>
      <c r="D205" s="42"/>
      <c r="E205" s="36"/>
      <c r="F205" s="36"/>
      <c r="G205" s="36">
        <f>VLOOKUP(F193,F196:G204,2,FALSE)</f>
        <v>0</v>
      </c>
      <c r="H205" s="36">
        <f>VLOOKUP(F193,F196:H204,3,FALSE)</f>
        <v>0</v>
      </c>
      <c r="I205" s="36"/>
      <c r="J205" s="36"/>
      <c r="K205" s="36"/>
      <c r="L205" s="43" t="s">
        <v>62</v>
      </c>
      <c r="O205" s="7">
        <f>SUM(O196:O204)</f>
        <v>0</v>
      </c>
      <c r="T205" s="7">
        <f>SUM(T196:T204)</f>
        <v>0</v>
      </c>
    </row>
    <row r="206" spans="1:20" hidden="1">
      <c r="A206" s="36"/>
      <c r="B206" s="36"/>
      <c r="C206" s="36"/>
      <c r="D206" s="36"/>
      <c r="E206" s="36"/>
      <c r="F206" s="36"/>
      <c r="G206" s="36"/>
      <c r="H206" s="36"/>
      <c r="I206" s="36"/>
      <c r="J206" s="36"/>
      <c r="K206" s="36"/>
      <c r="L206" s="43" t="s">
        <v>75</v>
      </c>
      <c r="O206" s="29"/>
    </row>
    <row r="207" spans="1:20" hidden="1">
      <c r="A207" s="36"/>
      <c r="B207" s="36"/>
      <c r="C207" s="36"/>
      <c r="D207" s="36"/>
      <c r="E207" s="36"/>
      <c r="F207" s="36"/>
      <c r="G207" s="36"/>
      <c r="H207" s="36"/>
      <c r="I207" s="36"/>
      <c r="J207" s="36"/>
      <c r="K207" s="36"/>
      <c r="L207" s="43" t="s">
        <v>66</v>
      </c>
      <c r="O207" s="29"/>
    </row>
    <row r="208" spans="1:20" hidden="1">
      <c r="A208" s="37" t="s">
        <v>15</v>
      </c>
      <c r="B208" s="37"/>
      <c r="C208" s="37"/>
      <c r="D208" s="37"/>
      <c r="E208" s="36"/>
      <c r="F208" s="36"/>
      <c r="G208" s="38" t="s">
        <v>16</v>
      </c>
      <c r="H208" s="38" t="s">
        <v>17</v>
      </c>
      <c r="I208" s="35" t="s">
        <v>18</v>
      </c>
      <c r="J208" s="35" t="s">
        <v>19</v>
      </c>
      <c r="K208" s="35" t="s">
        <v>20</v>
      </c>
      <c r="L208" s="35" t="s">
        <v>21</v>
      </c>
      <c r="O208" s="29"/>
    </row>
    <row r="209" spans="1:29" hidden="1">
      <c r="A209" s="36">
        <v>0</v>
      </c>
      <c r="B209" s="36"/>
      <c r="C209" s="36"/>
      <c r="D209" s="36"/>
      <c r="E209" s="36">
        <v>12500</v>
      </c>
      <c r="F209" s="36">
        <f>IF(AND(F193&gt;A209, F193&lt;=E209),F193,0)</f>
        <v>0</v>
      </c>
      <c r="G209" s="36">
        <f>0+(20/100)*(-A209+F209)</f>
        <v>0</v>
      </c>
      <c r="H209" s="36">
        <f>0+(10/100)*(-A209+F209)</f>
        <v>0</v>
      </c>
      <c r="I209" s="36">
        <f>0+(25/100)*(-A209+F209)</f>
        <v>0</v>
      </c>
      <c r="J209" s="36">
        <f>0+(10/100)*(-A209+F209)</f>
        <v>0</v>
      </c>
      <c r="K209" s="36">
        <f>0+(30/100)*(-A209+F209)</f>
        <v>0</v>
      </c>
      <c r="L209" s="36">
        <f>0+(10/100)*(-A209+F209)</f>
        <v>0</v>
      </c>
      <c r="M209" s="7" t="s">
        <v>81</v>
      </c>
      <c r="N209" s="16">
        <f>J201-O205</f>
        <v>0</v>
      </c>
      <c r="O209" s="29"/>
      <c r="P209" s="7" t="s">
        <v>82</v>
      </c>
      <c r="Q209" s="44">
        <f>J201-T205</f>
        <v>0</v>
      </c>
    </row>
    <row r="210" spans="1:29" hidden="1">
      <c r="A210" s="36">
        <f>E209</f>
        <v>12500</v>
      </c>
      <c r="B210" s="36"/>
      <c r="C210" s="36"/>
      <c r="D210" s="36"/>
      <c r="E210" s="36">
        <v>25000</v>
      </c>
      <c r="F210" s="36">
        <f>IF(AND(F193&gt;A210, F193&lt;=E210),F193,0)</f>
        <v>0</v>
      </c>
      <c r="G210" s="36">
        <f>(12500/100*20)+((25/100)*(-A210+F210))</f>
        <v>-625</v>
      </c>
      <c r="H210" s="36">
        <f>(12500/100*10)+((10/100)*(-A210+F210))</f>
        <v>0</v>
      </c>
      <c r="I210" s="36">
        <f>(12500/100*25)+((30/100)*(-A210+F210))</f>
        <v>-625</v>
      </c>
      <c r="J210" s="36">
        <f>(12500/100*10)+((10/100)*(-A210+F210))</f>
        <v>0</v>
      </c>
      <c r="K210" s="36">
        <f>(12500/100*30)+((35/100)*(-A210+F210))</f>
        <v>-625</v>
      </c>
      <c r="L210" s="36">
        <f>(12500/100*10)+((10/100)*(-A210+F210))</f>
        <v>0</v>
      </c>
    </row>
    <row r="211" spans="1:29" hidden="1">
      <c r="A211" s="36">
        <f>E210</f>
        <v>25000</v>
      </c>
      <c r="B211" s="36"/>
      <c r="C211" s="36"/>
      <c r="D211" s="36"/>
      <c r="E211" s="36">
        <v>75000</v>
      </c>
      <c r="F211" s="36">
        <f>IF(AND(F193&gt;A211, F193&lt;=E211),F193,0)</f>
        <v>0</v>
      </c>
      <c r="G211" s="36">
        <f>(12500/100*20)+(12500/100*25)+((35/100)*(-A211+F211))</f>
        <v>-3125</v>
      </c>
      <c r="H211" s="36">
        <f>(12500/100*10)+(12500/100*10)+((10/100)*(-A211+F211))</f>
        <v>0</v>
      </c>
      <c r="I211" s="36">
        <f>(12500/100*25)+(12500/100*30)+((40/100)*(-A211+F211))</f>
        <v>-3125</v>
      </c>
      <c r="J211" s="36">
        <f>(12500/100*10)+(12500/100*10)+((10/100)*(-A211+F211))</f>
        <v>0</v>
      </c>
      <c r="K211" s="36">
        <f>(12500/100*30)+(12500/100*35)+((50/100)*(-A211+F211))</f>
        <v>-4375</v>
      </c>
      <c r="L211" s="36">
        <f>(12500/100*10)+(12500/100*10)+((10/100)*(-A211+F211))</f>
        <v>0</v>
      </c>
      <c r="O211" s="7">
        <f>(IF(F20="echtgeno(o)t(e)",N209,Q209))</f>
        <v>0</v>
      </c>
    </row>
    <row r="212" spans="1:29" hidden="1">
      <c r="A212" s="36">
        <f>E211</f>
        <v>75000</v>
      </c>
      <c r="B212" s="36"/>
      <c r="C212" s="36"/>
      <c r="D212" s="36"/>
      <c r="E212" s="36">
        <v>150000</v>
      </c>
      <c r="F212" s="36">
        <f>IF(AND(F193&gt;A212, F193&lt;=E212),F193,0)</f>
        <v>0</v>
      </c>
      <c r="G212" s="36">
        <f>(12500/100*20)+(12500/100*25)+(50000/100*35)+((50/100)*(-A212+F212))</f>
        <v>-14375</v>
      </c>
      <c r="H212" s="36">
        <f>(12500/100*10)+(12500/100*10)+(50000/100*10)+((10/100)*(-A212+F212))</f>
        <v>0</v>
      </c>
      <c r="I212" s="36">
        <f>(12500/100*25)+(12500/100*30)+(50000/100*40)+((55/100)*(-A212+F212))</f>
        <v>-14375</v>
      </c>
      <c r="J212" s="36">
        <f>(12500/100*10)+(12500/100*10)+(50000/100*10)+((10/100)*(-A212+F212))</f>
        <v>0</v>
      </c>
      <c r="K212" s="36">
        <f>(12500/100*30)+(12500/100*35)+(50000/100*50)+((65/100)*(-A212+F212))</f>
        <v>-15625</v>
      </c>
      <c r="L212" s="36">
        <f>(12500/100*10)+(12500/100*10)+(50000/100*10)+((10/100)*(-A212+F212))</f>
        <v>0</v>
      </c>
    </row>
    <row r="213" spans="1:29" hidden="1">
      <c r="A213" s="36">
        <v>150000</v>
      </c>
      <c r="B213" s="36"/>
      <c r="C213" s="36"/>
      <c r="D213" s="36"/>
      <c r="E213" s="36">
        <v>175000</v>
      </c>
      <c r="F213" s="36">
        <f>IF(AND(F193&gt;A213, F193&lt;=E213),F193,0)</f>
        <v>0</v>
      </c>
      <c r="G213" s="36">
        <f>(12500/100*20)+(12500/100*25)+(50000/100*35)+(75000/100*50)+((50/100)*(-A213+F213))</f>
        <v>-14375</v>
      </c>
      <c r="H213" s="36">
        <f>(12500/100*10)+(12500/100*10)+(50000/100*10)+(75000/100*10)+((50/100)*(-A213+F213))</f>
        <v>-60000</v>
      </c>
      <c r="I213" s="36">
        <f>(12500/100*25)+(12500/100*30)+(50000/100*40)+(75000/100*55)+((55/100)*(-A213+F213))</f>
        <v>-14375</v>
      </c>
      <c r="J213" s="36">
        <f>(12500/100*10)+(12500/100*10)+(50000/100*10)+(75000/100*10)+((55/100)*(-A213+F213))</f>
        <v>-67500</v>
      </c>
      <c r="K213" s="36">
        <f>(12500/100*30)+(12500/100*35)+(50000/100*50)+(75000/100*65)+((65/100)*(-A213+F213))</f>
        <v>-15625</v>
      </c>
      <c r="L213" s="36">
        <f>(12500/100*10)+(12500/100*10)+(50000/100*10)+(75000/100*10)+((65/100)*(-A213+F213))</f>
        <v>-82500</v>
      </c>
    </row>
    <row r="214" spans="1:29" hidden="1">
      <c r="A214" s="36">
        <v>175000</v>
      </c>
      <c r="B214" s="36"/>
      <c r="C214" s="36"/>
      <c r="D214" s="36"/>
      <c r="E214" s="36">
        <v>999999999</v>
      </c>
      <c r="F214" s="36">
        <f>IF(AND(F193&gt;A214, F193&lt;=E214),F193,0)</f>
        <v>0</v>
      </c>
      <c r="G214" s="36">
        <f>(12500/100*20)+(12500/100*25)+(50000/100*35)+(75000/100*50)+(25000/100*50)+((65/100)*(-A214+F214))</f>
        <v>-40625</v>
      </c>
      <c r="H214" s="36">
        <f>(12500/100*10)+(12500/100*10)+(50000/100*10)+(75000/100*10)+(25000/100*50)+((65/100)*(-A214+F214))</f>
        <v>-86250</v>
      </c>
      <c r="I214" s="36">
        <f>(12500/100*25)+(12500/100*30)+(50000/100*40)+(75000/100*55)+(25000/100*55)+((70/100)*(-A214+F214))</f>
        <v>-40624.999999999985</v>
      </c>
      <c r="J214" s="36">
        <f>(12500/100*10)+(12500/100*10)+(50000/100*10)+(75000/100*10)+(25000/100*55)+((70/100)*(-A214+F214))</f>
        <v>-93749.999999999985</v>
      </c>
      <c r="K214" s="36">
        <f>(12500/100*30)+(12500/100*35)+(50000/100*50)+(75000/100*65)+(25000/100*65)+((80/100)*(-A214+F214))</f>
        <v>-41875</v>
      </c>
      <c r="L214" s="36">
        <f>(12500/100*10)+(12500/100*10)+(50000/100*10)+(75000/100*10)+(25000/100*65)+((80/100)*(-A214+F214))</f>
        <v>-108750</v>
      </c>
    </row>
    <row r="215" spans="1:29" hidden="1">
      <c r="A215" s="42" t="s">
        <v>14</v>
      </c>
      <c r="B215" s="42"/>
      <c r="C215" s="42"/>
      <c r="D215" s="42"/>
      <c r="E215" s="36"/>
      <c r="F215" s="36"/>
      <c r="G215" s="36">
        <f>VLOOKUP(F193,F209:G214,2,FALSE)</f>
        <v>0</v>
      </c>
      <c r="H215" s="36">
        <f>VLOOKUP(F193,F209:H214,3,FALSE)</f>
        <v>0</v>
      </c>
      <c r="I215" s="36">
        <f>VLOOKUP(F193,F209:I214,4,FALSE)</f>
        <v>0</v>
      </c>
      <c r="J215" s="36">
        <f>VLOOKUP(F193,F209:J214,5,FALSE)</f>
        <v>0</v>
      </c>
      <c r="K215" s="36">
        <f>VLOOKUP(F193,F209:K214,6,FALSE)</f>
        <v>0</v>
      </c>
      <c r="L215" s="36">
        <f>VLOOKUP(F193,F209:L214,7,FALSE)</f>
        <v>0</v>
      </c>
    </row>
    <row r="216" spans="1:29" hidden="1"/>
    <row r="217" spans="1:29" hidden="1">
      <c r="A217" s="132" t="s">
        <v>124</v>
      </c>
      <c r="B217" s="132"/>
      <c r="C217" s="132"/>
      <c r="D217" s="132"/>
      <c r="E217" s="148">
        <f>E5-F15</f>
        <v>0</v>
      </c>
      <c r="F217" s="24"/>
      <c r="G217" s="24"/>
      <c r="H217" s="45"/>
      <c r="I217" s="24"/>
      <c r="J217" s="46"/>
      <c r="L217" s="46"/>
      <c r="N217" s="46"/>
      <c r="P217" s="46"/>
      <c r="R217" s="46"/>
      <c r="T217" s="46"/>
      <c r="V217" s="46"/>
      <c r="X217" s="46"/>
      <c r="Z217" s="46"/>
      <c r="AB217" s="46"/>
    </row>
    <row r="218" spans="1:29" ht="18" hidden="1">
      <c r="E218" s="24"/>
      <c r="F218" s="24"/>
      <c r="G218" s="24"/>
      <c r="H218" s="164" t="s">
        <v>22</v>
      </c>
      <c r="I218" s="164"/>
      <c r="J218" s="163" t="s">
        <v>23</v>
      </c>
      <c r="K218" s="163"/>
      <c r="L218" s="163" t="s">
        <v>24</v>
      </c>
      <c r="M218" s="163"/>
      <c r="N218" s="163" t="s">
        <v>25</v>
      </c>
      <c r="O218" s="163"/>
      <c r="P218" s="163" t="s">
        <v>26</v>
      </c>
      <c r="Q218" s="163"/>
      <c r="R218" s="163" t="s">
        <v>27</v>
      </c>
      <c r="S218" s="163"/>
      <c r="T218" s="163" t="s">
        <v>28</v>
      </c>
      <c r="U218" s="163"/>
      <c r="V218" s="163" t="s">
        <v>29</v>
      </c>
      <c r="W218" s="163"/>
      <c r="X218" s="163" t="s">
        <v>30</v>
      </c>
      <c r="Y218" s="163"/>
      <c r="Z218" s="163" t="s">
        <v>31</v>
      </c>
      <c r="AA218" s="163"/>
      <c r="AB218" s="163" t="s">
        <v>32</v>
      </c>
      <c r="AC218" s="163"/>
    </row>
    <row r="219" spans="1:29" hidden="1">
      <c r="E219" s="24">
        <v>0</v>
      </c>
      <c r="F219" s="24">
        <v>7500</v>
      </c>
      <c r="G219" s="24"/>
      <c r="H219" s="46">
        <v>2.8500000000000001E-3</v>
      </c>
      <c r="I219" s="36">
        <f>IF((IF(F219-(E217-E219)&gt;E219,(E217-E219)*H219,(F219-E219)*H219))&lt;0,0,(IF(F219-(E217-E219)&gt;E219,(E217-E219)*H219,(F219-E219)*H219)))</f>
        <v>0</v>
      </c>
      <c r="J219" s="46">
        <v>3.9899999999999996E-3</v>
      </c>
      <c r="K219" s="36">
        <f>IF((IF(F219-(E217-E219)&gt;E219,(E217-E219)*J219,(F219-E219)*J219))&lt;0,0,(IF(F219-(E217-E219)&gt;E219,(E217-E219)*J219,(F219-E219)*J219)))</f>
        <v>0</v>
      </c>
      <c r="L219" s="46">
        <v>5.7000000000000002E-3</v>
      </c>
      <c r="M219" s="36">
        <f>IF((IF(F219-(E217-E219)&gt;E219,(E217-E219)*L219,(F219-E219)*L219))&lt;0,0,(IF(F219-(E217-E219)&gt;E219,(E217-E219)*L219,(F219-E219)*L219)))</f>
        <v>0</v>
      </c>
      <c r="N219" s="46">
        <v>8.5500000000000003E-3</v>
      </c>
      <c r="O219" s="36">
        <f>IF((IF(F219-(E217-E219)&gt;E219,(E217-E219)*N219,(F219-E219)*N219))&lt;0,0,(IF(F219-(E217-E219)&gt;E219,(E217-E219)*N219,(F219-E219)*N219)))</f>
        <v>0</v>
      </c>
      <c r="P219" s="46">
        <v>1.14E-2</v>
      </c>
      <c r="Q219" s="36">
        <f>IF((IF(F219-(E217-E219)&gt;E219,(E217-E219)*P219,(F219-E219)*P219))&lt;0,0,(IF(F219-(E217-E219)&gt;E219,(E217-E219)*P219,(F219-E219)*P219)))</f>
        <v>0</v>
      </c>
      <c r="R219" s="46">
        <v>1.4250000000000001E-2</v>
      </c>
      <c r="S219" s="36">
        <f>IF((IF(F219-(E217-E219)&gt;E219,(E217-E219)*R219,(F219-E219)*R219))&lt;0,0,(IF(F219-(E217-E219)&gt;E219,(E217-E219)*R219,(F219-E219)*R219)))</f>
        <v>0</v>
      </c>
      <c r="T219" s="46">
        <v>1.7100000000000001E-2</v>
      </c>
      <c r="U219" s="36">
        <f>IF((IF(F219-(E217-E219)&gt;E219,(E217-E219)*T219,(F219-E219)*T219))&lt;0,0,(IF(F219-(E217-E219)&gt;E219,(E217-E219)*T219,(F219-E219)*T219)))</f>
        <v>0</v>
      </c>
      <c r="V219" s="46">
        <v>2.8500000000000001E-2</v>
      </c>
      <c r="W219" s="36">
        <f>IF((IF(F219-(E217-E219)&gt;E219,(E217-E219)*V219,(F219-E219)*V219))&lt;0,0,(IF(F219-(E217-E219)&gt;E219,(E217-E219)*V219,(F219-E219)*V219)))</f>
        <v>0</v>
      </c>
      <c r="X219" s="46">
        <v>3.4200000000000001E-2</v>
      </c>
      <c r="Y219" s="36">
        <f>IF((IF(F219-(E217-E219)&gt;E219,(E217-E219)*X219,(F219-E219)*X219))&lt;0,0,(IF(F219-(E217-E219)&gt;E219,(E217-E219)*X219,(F219-E219)*X219)))</f>
        <v>0</v>
      </c>
      <c r="Z219" s="46">
        <v>4.5600000000000002E-2</v>
      </c>
      <c r="AA219" s="36">
        <f>IF((IF(F219-(E217-E219)&gt;E219,(E217-E219)*Z219,(F219-E219)*Z219))&lt;0,0,(IF(F219-(E217-E219)&gt;E219,(E217-E219)*Z219,(F219-E219)*Z219)))</f>
        <v>0</v>
      </c>
      <c r="AB219" s="46">
        <v>5.7000000000000002E-2</v>
      </c>
      <c r="AC219" s="36">
        <f>IF((IF(F219-(E217-E219)&gt;E219,(E217-E219)*AB219,(F219-E219)*AB219))&lt;0,0,(IF(F219-(E217-E219)&gt;E219,(E217-E219)*AB219,(F219-E219)*AB219)))</f>
        <v>0</v>
      </c>
    </row>
    <row r="220" spans="1:29" hidden="1">
      <c r="E220" s="24">
        <v>7500</v>
      </c>
      <c r="F220" s="24">
        <v>17500</v>
      </c>
      <c r="G220" s="24"/>
      <c r="H220" s="46">
        <v>2.2799999999999999E-3</v>
      </c>
      <c r="I220" s="36">
        <f>IF((IF(F220-(E217-E220)&gt;E220,(E217-E220)*H220,(F220-E220)*H220))&lt;0,0,(IF(F220-(E217-E220)&gt;E220,(E217-E220)*H220,(F220-E220)*H220)))</f>
        <v>0</v>
      </c>
      <c r="J220" s="46">
        <v>3.4199999999999999E-3</v>
      </c>
      <c r="K220" s="36">
        <f>IF((IF(F220-(E217-E220)&gt;E220,(E217-E220)*J220,(F220-E220)*J220))&lt;0,0,(IF(F220-(E217-E220)&gt;E220,(E217-E220)*J220,(F220-E220)*J220)))</f>
        <v>0</v>
      </c>
      <c r="L220" s="46">
        <v>4.5599999999999998E-3</v>
      </c>
      <c r="M220" s="36">
        <f>IF((IF(F220-(E217-E220)&gt;E220,(E217-E220)*L220,(F220-E220)*L220))&lt;0,0,(IF(F220-(E217-E220)&gt;E220,(E217-E220)*L220,(F220-E220)*L220)))</f>
        <v>0</v>
      </c>
      <c r="N220" s="46">
        <v>6.8399999999999997E-3</v>
      </c>
      <c r="O220" s="36">
        <f>IF((IF(F220-(E217-E220)&gt;E220,(E217-E220)*N220,(F220-E220)*N220))&lt;0,0,(IF(F220-(E217-E220)&gt;E220,(E217-E220)*N220,(F220-E220)*N220)))</f>
        <v>0</v>
      </c>
      <c r="P220" s="46">
        <v>8.5500000000000003E-3</v>
      </c>
      <c r="Q220" s="36">
        <f>IF((IF(F220-(E217-E220)&gt;E220,(E217-E220)*P220,(F220-E220)*P220))&lt;0,0,(IF(F220-(E217-E220)&gt;E220,(E217-E220)*P220,(F220-E220)*P220)))</f>
        <v>0</v>
      </c>
      <c r="R220" s="46">
        <v>1.14E-2</v>
      </c>
      <c r="S220" s="36">
        <f>IF((IF(F220-(E217-E220)&gt;E220,(E217-E220)*R220,(F220-E220)*R220))&lt;0,0,(IF(F220-(E217-E220)&gt;E220,(E217-E220)*R220,(F220-E220)*R220)))</f>
        <v>0</v>
      </c>
      <c r="T220" s="46">
        <v>1.3679999999999999E-2</v>
      </c>
      <c r="U220" s="36">
        <f>IF((IF(F220-(E217-E220)&gt;E220,(E217-E220)*T220,(F220-E220)*T220))&lt;0,0,(IF(F220-(E217-E220)&gt;E220,(E217-E220)*T220,(F220-E220)*T220)))</f>
        <v>0</v>
      </c>
      <c r="V220" s="46">
        <v>1.7100000000000001E-2</v>
      </c>
      <c r="W220" s="36">
        <f>IF((IF(F220-(E217-E220)&gt;E220,(E217-E220)*V220,(F220-E220)*V220))&lt;0,0,(IF(F220-(E217-E220)&gt;E220,(E217-E220)*V220,(F220-E220)*V220)))</f>
        <v>0</v>
      </c>
      <c r="X220" s="46">
        <v>2.5649999999999999E-2</v>
      </c>
      <c r="Y220" s="36">
        <f>IF((IF(F220-(E217-E220)&gt;E220,(E217-E220)*X220,(F220-E220)*X220))&lt;0,0,(IF(F220-(E217-E220)&gt;E220,(E217-E220)*X220,(F220-E220)*X220)))</f>
        <v>0</v>
      </c>
      <c r="Z220" s="46">
        <v>2.8500000000000001E-2</v>
      </c>
      <c r="AA220" s="36">
        <f>IF((IF(F220-(E217-E220)&gt;E220,(E217-E220)*Z220,(F220-E220)*Z220))&lt;0,0,(IF(F220-(E217-E220)&gt;E220,(E217-E220)*Z220,(F220-E220)*Z220)))</f>
        <v>0</v>
      </c>
      <c r="AB220" s="46">
        <v>5.1299999999999998E-2</v>
      </c>
      <c r="AC220" s="36">
        <f>IF((IF(F220-(E217-E220)&gt;E220,(E217-E220)*AB220,(F220-E220)*AB220))&lt;0,0,(IF(F220-(E217-E220)&gt;E220,(E217-E220)*AB220,(F220-E220)*AB220)))</f>
        <v>0</v>
      </c>
    </row>
    <row r="221" spans="1:29" hidden="1">
      <c r="E221" s="24">
        <v>17500</v>
      </c>
      <c r="F221" s="24">
        <v>30000</v>
      </c>
      <c r="G221" s="24"/>
      <c r="H221" s="46">
        <v>1.7099999999999999E-3</v>
      </c>
      <c r="I221" s="36">
        <f>IF((IF(F221-(E217-E221)&gt;E221,(E217-E221)*H221,(F221-E221)*H221))&lt;0,0,(IF(F221-(E217-E221)&gt;E221,(E217-E221)*H221,(F221-E221)*H221)))</f>
        <v>0</v>
      </c>
      <c r="J221" s="46">
        <v>2.2799999999999999E-3</v>
      </c>
      <c r="K221" s="36">
        <f>IF((IF(F221-(E217-E221)&gt;E221,(E217-E221)*J221,(F221-E221)*J221))&lt;0,0,(IF(F221-(E217-E221)&gt;E221,(E217-E221)*J221,(F221-E221)*J221)))</f>
        <v>0</v>
      </c>
      <c r="L221" s="46">
        <v>3.4199999999999999E-3</v>
      </c>
      <c r="M221" s="36">
        <f>IF((IF(F221-(E217-E221)&gt;E221,(E217-E221)*L221,(F221-E221)*L221))&lt;0,0,(IF(F221-(E217-E221)&gt;E221,(E217-E221)*L221,(F221-E221)*L221)))</f>
        <v>0</v>
      </c>
      <c r="N221" s="46">
        <v>4.5599999999999998E-3</v>
      </c>
      <c r="O221" s="36">
        <f>IF((IF(F221-(E217-E221)&gt;E221,(E217-E221)*N221,(F221-E221)*N221))&lt;0,0,(IF(F221-(E217-E221)&gt;E221,(E217-E221)*N221,(F221-E221)*N221)))</f>
        <v>0</v>
      </c>
      <c r="P221" s="46">
        <v>5.7000000000000002E-3</v>
      </c>
      <c r="Q221" s="36">
        <f>IF((IF(F221-(E217-E221)&gt;E221,(E217-E221)*P221,(F221-E221)*P221))&lt;0,0,(IF(F221-(E217-E221)&gt;E221,(E217-E221)*P221,(F221-E221)*P221)))</f>
        <v>0</v>
      </c>
      <c r="R221" s="46">
        <v>6.8399999999999997E-3</v>
      </c>
      <c r="S221" s="36">
        <f>IF((IF(F221-(E217-E221)&gt;E221,(E217-E221)*R221,(F221-E221)*R221))&lt;0,0,(IF(F221-(E217-E221)&gt;E221,(E217-E221)*R221,(F221-E221)*R221)))</f>
        <v>0</v>
      </c>
      <c r="T221" s="46">
        <v>9.1199999999999996E-3</v>
      </c>
      <c r="U221" s="36">
        <f>IF((IF(F221-(E217-E221)&gt;E221,(E217-E221)*T221,(F221-E221)*T221))&lt;0,0,(IF(F221-(E217-E221)&gt;E221,(E217-E221)*T221,(F221-E221)*T221)))</f>
        <v>0</v>
      </c>
      <c r="V221" s="46">
        <v>1.4250000000000001E-2</v>
      </c>
      <c r="W221" s="36">
        <f>IF((IF(F221-(E217-E221)&gt;E221,(E217-E221)*V221,(F221-E221)*V221))&lt;0,0,(IF(F221-(E217-E221)&gt;E221,(E217-E221)*V221,(F221-E221)*V221)))</f>
        <v>0</v>
      </c>
      <c r="X221" s="46">
        <v>1.7100000000000001E-2</v>
      </c>
      <c r="Y221" s="36">
        <f>IF((IF(F221-(E217-E221)&gt;E221,(E217-E221)*X221,(F221-E221)*X221))&lt;0,0,(IF(F221-(E217-E221)&gt;E221,(E217-E221)*X221,(F221-E221)*X221)))</f>
        <v>0</v>
      </c>
      <c r="Z221" s="46">
        <v>2.2800000000000001E-2</v>
      </c>
      <c r="AA221" s="36">
        <f>IF((IF(F221-(E217-E221)&gt;E221,(E217-E221)*Z221,(F221-E221)*Z221))&lt;0,0,(IF(F221-(E217-E221)&gt;E221,(E217-E221)*Z221,(F221-E221)*Z221)))</f>
        <v>0</v>
      </c>
      <c r="AB221" s="46">
        <v>4.5600000000000002E-2</v>
      </c>
      <c r="AC221" s="36">
        <f>IF((IF(F221-(E217-E221)&gt;E221,(E217-E221)*AB221,(F221-E221)*AB221))&lt;0,0,(IF(F221-(E217-E221)&gt;E221,(E217-E221)*AB221,(F221-E221)*AB221)))</f>
        <v>0</v>
      </c>
    </row>
    <row r="222" spans="1:29" hidden="1">
      <c r="E222" s="24">
        <v>30000</v>
      </c>
      <c r="F222" s="24">
        <v>45495</v>
      </c>
      <c r="G222" s="24"/>
      <c r="H222" s="46">
        <v>1.14E-3</v>
      </c>
      <c r="I222" s="36">
        <f>IF((IF(F222-(E217-E222)&gt;E222,(E217-E222)*H222,(F222-E222)*H222))&lt;0,0,(IF(F222-(E217-E222)&gt;E222,(E217-E222)*H222,(F222-E222)*H222)))</f>
        <v>0</v>
      </c>
      <c r="J222" s="46">
        <v>1.7099999999999999E-3</v>
      </c>
      <c r="K222" s="36">
        <f>IF((IF(F222-(E217-E222)&gt;E222,(E217-E222)*J222,(F222-E222)*J222))&lt;0,0,(IF(F222-(E217-E222)&gt;E222,(E217-E222)*J222,(F222-E222)*J222)))</f>
        <v>0</v>
      </c>
      <c r="L222" s="46">
        <v>2.2799999999999999E-3</v>
      </c>
      <c r="M222" s="36">
        <f>IF((IF(F222-(E217-E222)&gt;E222,(E217-E222)*L222,(F222-E222)*L222))&lt;0,0,(IF(F222-(E217-E222)&gt;E222,(E217-E222)*L222,(F222-E222)*L222)))</f>
        <v>0</v>
      </c>
      <c r="N222" s="46">
        <v>3.4199999999999999E-3</v>
      </c>
      <c r="O222" s="36">
        <f>IF((IF(F222-(E217-E222)&gt;E222,(E217-E222)*N222,(F222-E222)*N222))&lt;0,0,(IF(F222-(E217-E222)&gt;E222,(E217-E222)*N222,(F222-E222)*N222)))</f>
        <v>0</v>
      </c>
      <c r="P222" s="46">
        <v>4.5599999999999998E-3</v>
      </c>
      <c r="Q222" s="36">
        <f>IF((IF(F222-(E217-E222)&gt;E222,(E217-E222)*P222,(F222-E222)*P222))&lt;0,0,(IF(F222-(E217-E222)&gt;E222,(E217-E222)*P222,(F222-E222)*P222)))</f>
        <v>0</v>
      </c>
      <c r="R222" s="46">
        <v>5.7000000000000002E-3</v>
      </c>
      <c r="S222" s="36">
        <f>IF((IF(F222-(E217-E222)&gt;E222,(E217-E222)*R222,(F222-E222)*R222))&lt;0,0,(IF(F222-(E217-E222)&gt;E222,(E217-E222)*R222,(F222-E222)*R222)))</f>
        <v>0</v>
      </c>
      <c r="T222" s="46">
        <v>6.8399999999999997E-3</v>
      </c>
      <c r="U222" s="36">
        <f>IF((IF(F222-(E217-E222)&gt;E222,(E217-E222)*T222,(F222-E222)*T222))&lt;0,0,(IF(F222-(E217-E222)&gt;E222,(E217-E222)*T222,(F222-E222)*T222)))</f>
        <v>0</v>
      </c>
      <c r="V222" s="46">
        <v>1.14E-2</v>
      </c>
      <c r="W222" s="36">
        <f>IF((IF(F222-(E217-E222)&gt;E222,(E217-E222)*V222,(F222-E222)*V222))&lt;0,0,(IF(F222-(E217-E222)&gt;E222,(E217-E222)*V222,(F222-E222)*V222)))</f>
        <v>0</v>
      </c>
      <c r="X222" s="46">
        <v>1.14E-2</v>
      </c>
      <c r="Y222" s="36">
        <f>IF((IF(F222-(E217-E222)&gt;E222,(E217-E222)*X222,(F222-E222)*X222))&lt;0,0,(IF(F222-(E217-E222)&gt;E222,(E217-E222)*X222,(F222-E222)*X222)))</f>
        <v>0</v>
      </c>
      <c r="Z222" s="46">
        <v>1.7100000000000001E-2</v>
      </c>
      <c r="AA222" s="36">
        <f>IF((IF(F222-(E217-E222)&gt;E222,(E217-E222)*Z222,(F222-E222)*Z222))&lt;0,0,(IF(F222-(E217-E222)&gt;E222,(E217-E222)*Z222,(F222-E222)*Z222)))</f>
        <v>0</v>
      </c>
      <c r="AB222" s="46">
        <v>3.9899999999999998E-2</v>
      </c>
      <c r="AC222" s="36">
        <f>IF((IF(F222-(E217-E222)&gt;E222,(E217-E222)*AB222,(F222-E222)*AB222))&lt;0,0,(IF(F222-(E217-E222)&gt;E222,(E217-E222)*AB222,(F222-E222)*AB222)))</f>
        <v>0</v>
      </c>
    </row>
    <row r="223" spans="1:29" hidden="1">
      <c r="E223" s="24">
        <v>45495</v>
      </c>
      <c r="F223" s="24">
        <v>64095</v>
      </c>
      <c r="G223" s="24"/>
      <c r="H223" s="46">
        <v>5.6999999999999998E-4</v>
      </c>
      <c r="I223" s="36">
        <f>IF((IF(F223-(E217-E223)&gt;E223,(E217-E223)*H223,(F223-E223)*H223))&lt;0,0,(IF(F223-(E217-E223)&gt;E223,(E217-E223)*H223,(F223-E223)*H223)))</f>
        <v>0</v>
      </c>
      <c r="J223" s="46">
        <v>1.14E-3</v>
      </c>
      <c r="K223" s="36">
        <f>IF((IF(F223-(E217-E223)&gt;E223,(E217-E223)*J223,(F223-E223)*J223))&lt;0,0,(IF(F223-(E217-E223)&gt;E223,(E217-E223)*J223,(F223-E223)*J223)))</f>
        <v>0</v>
      </c>
      <c r="L223" s="46">
        <v>1.14E-3</v>
      </c>
      <c r="M223" s="36">
        <f>IF((IF(F223-(E217-E223)&gt;E223,(E217-E223)*L223,(F223-E223)*L223))&lt;0,0,(IF(F223-(E217-E223)&gt;E223,(E217-E223)*L223,(F223-E223)*L223)))</f>
        <v>0</v>
      </c>
      <c r="N223" s="46">
        <v>2.2799999999999999E-3</v>
      </c>
      <c r="O223" s="36">
        <f>IF((IF(F223-(E217-E223)&gt;E223,(E217-E223)*N223,(F223-E223)*N223))&lt;0,0,(IF(F223-(E217-E223)&gt;E223,(E217-E223)*N223,(F223-E223)*N223)))</f>
        <v>0</v>
      </c>
      <c r="P223" s="46">
        <v>2.8500000000000001E-3</v>
      </c>
      <c r="Q223" s="36">
        <f>IF((IF(F223-(E217-E223)&gt;E223,(E217-E223)*P223,(F223-E223)*P223))&lt;0,0,(IF(F223-(E217-E223)&gt;E223,(E217-E223)*P223,(F223-E223)*P223)))</f>
        <v>0</v>
      </c>
      <c r="R223" s="46">
        <v>4.5599999999999998E-3</v>
      </c>
      <c r="S223" s="36">
        <f>IF((IF(F223-(E217-E223)&gt;E223,(E217-E223)*R223,(F223-E223)*R223))&lt;0,0,(IF(F223-(E217-E223)&gt;E223,(E217-E223)*R223,(F223-E223)*R223)))</f>
        <v>0</v>
      </c>
      <c r="T223" s="46">
        <v>4.5599999999999998E-3</v>
      </c>
      <c r="U223" s="36">
        <f>IF((IF(F223-(E217-E223)&gt;E223,(E217-E223)*T223,(F223-E223)*T223))&lt;0,0,(IF(F223-(E217-E223)&gt;E223,(E217-E223)*T223,(F223-E223)*T223)))</f>
        <v>0</v>
      </c>
      <c r="V223" s="46">
        <v>8.5500000000000003E-3</v>
      </c>
      <c r="W223" s="36">
        <f>IF((IF(F223-(E217-E223)&gt;E223,(E217-E223)*V223,(F223-E223)*V223))&lt;0,0,(IF(F223-(E217-E223)&gt;E223,(E217-E223)*V223,(F223-E223)*V223)))</f>
        <v>0</v>
      </c>
      <c r="X223" s="46">
        <v>8.5500000000000003E-3</v>
      </c>
      <c r="Y223" s="36">
        <f>IF((IF(F223-(E217-E223)&gt;E223,(E217-E223)*X223,(F223-E223)*X223))&lt;0,0,(IF(F223-(E217-E223)&gt;E223,(E217-E223)*X223,(F223-E223)*X223)))</f>
        <v>0</v>
      </c>
      <c r="Z223" s="46">
        <v>1.14E-2</v>
      </c>
      <c r="AA223" s="36">
        <f>IF((IF(F223-(E217-E223)&gt;E223,(E217-E223)*Z223,(F223-E223)*Z223))&lt;0,0,(IF(F223-(E217-E223)&gt;E223,(E217-E223)*Z223,(F223-E223)*Z223)))</f>
        <v>0</v>
      </c>
      <c r="AB223" s="46">
        <v>2.8500000000000001E-2</v>
      </c>
      <c r="AC223" s="36">
        <f>IF((IF(F223-(E217-E223)&gt;E223,(E217-E223)*AB223,(F223-E223)*AB223))&lt;0,0,(IF(F223-(E217-E223)&gt;E223,(E217-E223)*AB223,(F223-E223)*AB223)))</f>
        <v>0</v>
      </c>
    </row>
    <row r="224" spans="1:29" hidden="1">
      <c r="E224" s="24">
        <v>64095</v>
      </c>
      <c r="F224" s="24">
        <v>250095</v>
      </c>
      <c r="G224" s="24"/>
      <c r="H224" s="46">
        <v>2.2800000000000001E-4</v>
      </c>
      <c r="I224" s="36">
        <f>IF((IF(F224-(E217-E224)&gt;E224,(E217-E224)*H224,(F224-E224)*H224))&lt;0,0,(IF(F224-(E217-E224)&gt;E224,(E217-E224)*H224,(F224-E224)*H224)))</f>
        <v>0</v>
      </c>
      <c r="J224" s="46">
        <v>5.6999999999999998E-4</v>
      </c>
      <c r="K224" s="36">
        <f>IF((IF(F224-(E217-E224)&gt;E224,(E217-E224)*J224,(F224-E224)*J224))&lt;0,0,(IF(F224-(E217-E224)&gt;E224,(E217-E224)*J224,(F224-E224)*J224)))</f>
        <v>0</v>
      </c>
      <c r="L224" s="46">
        <v>5.6999999999999998E-4</v>
      </c>
      <c r="M224" s="36">
        <f>IF((IF(F224-(E217-E224)&gt;E224,(E217-E224)*L224,(F224-E224)*L224))&lt;0,0,(IF(F224-(E217-E224)&gt;E224,(E217-E224)*L224,(F224-E224)*L224)))</f>
        <v>0</v>
      </c>
      <c r="N224" s="46">
        <v>1.14E-3</v>
      </c>
      <c r="O224" s="36">
        <f>IF((IF(F224-(E217-E224)&gt;E224,(E217-E224)*N224,(F224-E224)*N224))&lt;0,0,(IF(F224-(E217-E224)&gt;E224,(E217-E224)*N224,(F224-E224)*N224)))</f>
        <v>0</v>
      </c>
      <c r="P224" s="46">
        <v>1.14E-3</v>
      </c>
      <c r="Q224" s="36">
        <f>IF((IF(F224-(E217-E224)&gt;E224,(E217-E224)*P224,(F224-E224)*P224))&lt;0,0,(IF(F224-(E217-E224)&gt;E224,(E217-E224)*P224,(F224-E224)*P224)))</f>
        <v>0</v>
      </c>
      <c r="R224" s="46">
        <v>2.2799999999999999E-3</v>
      </c>
      <c r="S224" s="36">
        <f>IF((IF(F224-(E217-E224)&gt;E224,(E217-E224)*R224,(F224-E224)*R224))&lt;0,0,(IF(F224-(E217-E224)&gt;E224,(E217-E224)*R224,(F224-E224)*R224)))</f>
        <v>0</v>
      </c>
      <c r="T224" s="46">
        <v>2.2799999999999999E-3</v>
      </c>
      <c r="U224" s="36">
        <f>IF((IF(F224-(E217-E224)&gt;E224,(E217-E224)*T224,(F224-E224)*T224))&lt;0,0,(IF(F224-(E217-E224)&gt;E224,(E217-E224)*T224,(F224-E224)*T224)))</f>
        <v>0</v>
      </c>
      <c r="V224" s="46">
        <v>5.7000000000000002E-3</v>
      </c>
      <c r="W224" s="36">
        <f>IF((IF(F224-(E217-E224)&gt;E224,(E217-E224)*V224,(F224-E224)*V224))&lt;0,0,(IF(F224-(E217-E224)&gt;E224,(E217-E224)*V224,(F224-E224)*V224)))</f>
        <v>0</v>
      </c>
      <c r="X224" s="46">
        <v>5.7000000000000002E-3</v>
      </c>
      <c r="Y224" s="36">
        <f>IF((IF(F224-(E217-E224)&gt;E224,(E217-E224)*X224,(F224-E224)*X224))&lt;0,0,(IF(F224-(E217-E224)&gt;E224,(E217-E224)*X224,(F224-E224)*X224)))</f>
        <v>0</v>
      </c>
      <c r="Z224" s="46">
        <v>5.7000000000000002E-3</v>
      </c>
      <c r="AA224" s="36">
        <f>IF((IF(F224-(E217-E224)&gt;E224,(E217-E224)*Z224,(F224-E224)*Z224))&lt;0,0,(IF(F224-(E217-E224)&gt;E224,(E217-E224)*Z224,(F224-E224)*Z224)))</f>
        <v>0</v>
      </c>
      <c r="AB224" s="46">
        <v>1.3679999999999999E-2</v>
      </c>
      <c r="AC224" s="36">
        <f>IF((IF(F224-(E217-E224)&gt;E224,(E217-E224)*AB224,(F224-E224)*AB224))&lt;0,0,(IF(F224-(E217-E224)&gt;E224,(E217-E224)*AB224,(F224-E224)*AB224)))</f>
        <v>0</v>
      </c>
    </row>
    <row r="225" spans="1:29" hidden="1">
      <c r="E225" s="24">
        <v>250095</v>
      </c>
      <c r="F225" s="24">
        <v>999999999999</v>
      </c>
      <c r="G225" s="24"/>
      <c r="H225" s="46">
        <v>1.1400000000000001E-4</v>
      </c>
      <c r="I225" s="36">
        <f>IF((IF(F225-(E217-E225)&gt;E225,(E217-E225)*H225,(F225-E225)*H225))&lt;0,0,(IF(F225-(E217-E225)&gt;E225,(E217-E225)*H225,(F225-E225)*H225)))</f>
        <v>0</v>
      </c>
      <c r="J225" s="46">
        <v>2.2800000000000001E-4</v>
      </c>
      <c r="K225" s="36">
        <f>IF((IF(F225-(E217-E225)&gt;E225,(E217-E225)*J225,(F225-E225)*J225))&lt;0,0,(IF(F225-(E217-E225)&gt;E225,(E217-E225)*J225,(F225-E225)*J225)))</f>
        <v>0</v>
      </c>
      <c r="L225" s="46">
        <v>2.2800000000000001E-4</v>
      </c>
      <c r="M225" s="36">
        <f>IF((IF(F225-(E217-E225)&gt;E225,(E217-E225)*L225,(F225-E225)*L225))&lt;0,0,(IF(F225-(E217-E225)&gt;E225,(E217-E225)*L225,(F225-E225)*L225)))</f>
        <v>0</v>
      </c>
      <c r="N225" s="46">
        <v>3.4200000000000002E-4</v>
      </c>
      <c r="O225" s="36">
        <f>IF((IF(F225-(E217-E225)&gt;E225,(E217-E225)*N225,(F225-E225)*N225))&lt;0,0,(IF(F225-(E217-E225)&gt;E225,(E217-E225)*N225,(F225-E225)*N225)))</f>
        <v>0</v>
      </c>
      <c r="P225" s="46">
        <v>3.4200000000000002E-4</v>
      </c>
      <c r="Q225" s="36">
        <f>IF((IF(F225-(E217-E225)&gt;E225,(E217-E225)*P225,(F225-E225)*P225))&lt;0,0,(IF(F225-(E217-E225)&gt;E225,(E217-E225)*P225,(F225-E225)*P225)))</f>
        <v>0</v>
      </c>
      <c r="R225" s="46">
        <v>4.5600000000000003E-4</v>
      </c>
      <c r="S225" s="36">
        <f>IF((IF(F225-(E217-E225)&gt;E225,(E217-E225)*R225,(F225-E225)*R225))&lt;0,0,(IF(F225-(E217-E225)&gt;E225,(E217-E225)*R225,(F225-E225)*R225)))</f>
        <v>0</v>
      </c>
      <c r="T225" s="46">
        <v>4.5600000000000003E-4</v>
      </c>
      <c r="U225" s="36">
        <f>IF((IF(F225-(E217-E225)&gt;E225,(E217-E225)*T225,(F225-E225)*T225))&lt;0,0,(IF(F225-(E217-E225)&gt;E225,(E217-E225)*T225,(F225-E225)*T225)))</f>
        <v>0</v>
      </c>
      <c r="V225" s="46">
        <v>5.6999999999999998E-4</v>
      </c>
      <c r="W225" s="36">
        <f>IF((IF(F225-(E217-E225)&gt;E225,(E217-E225)*V225,(F225-E225)*V225))&lt;0,0,(IF(F225-(E217-E225)&gt;E225,(E217-E225)*V225,(F225-E225)*V225)))</f>
        <v>0</v>
      </c>
      <c r="X225" s="46">
        <v>5.6999999999999998E-4</v>
      </c>
      <c r="Y225" s="36">
        <f>IF((IF(F225-(E217-E225)&gt;E225,(E217-E225)*X225,(F225-E225)*X225))&lt;0,0,(IF(F225-(E217-E225)&gt;E225,(E217-E225)*X225,(F225-E225)*X225)))</f>
        <v>0</v>
      </c>
      <c r="Z225" s="46">
        <v>5.6999999999999998E-4</v>
      </c>
      <c r="AA225" s="36">
        <f>IF((IF(F225-(E217-E225)&gt;E225,(E217-E225)*Z225,(F225-E225)*Z225))&lt;0,0,(IF(F225-(E217-E225)&gt;E225,(E217-E225)*Z225,(F225-E225)*Z225)))</f>
        <v>0</v>
      </c>
      <c r="AB225" s="46">
        <v>1.14E-3</v>
      </c>
      <c r="AC225" s="36">
        <f>IF((IF(F225-(E217-E225)&gt;E225,(E217-E225)*AB225,(F225-E225)*AB225))&lt;0,0,(IF(F225-(E217-E225)&gt;E225,(E217-E225)*AB225,(F225-E225)*AB225)))</f>
        <v>0</v>
      </c>
    </row>
    <row r="226" spans="1:29" hidden="1">
      <c r="E226" s="24"/>
      <c r="F226" s="24"/>
      <c r="G226" s="24"/>
      <c r="H226" s="46"/>
      <c r="I226" s="36"/>
      <c r="J226" s="46"/>
      <c r="K226" s="36"/>
      <c r="L226" s="46"/>
      <c r="M226" s="36"/>
      <c r="N226" s="46"/>
      <c r="O226" s="36"/>
      <c r="P226" s="46"/>
      <c r="Q226" s="36"/>
      <c r="R226" s="46"/>
      <c r="S226" s="36"/>
      <c r="T226" s="46"/>
      <c r="U226" s="36"/>
      <c r="V226" s="46"/>
      <c r="W226" s="36"/>
      <c r="X226" s="46"/>
      <c r="Y226" s="36"/>
      <c r="Z226" s="46"/>
      <c r="AA226" s="36"/>
      <c r="AB226" s="46"/>
      <c r="AC226" s="36"/>
    </row>
    <row r="227" spans="1:29" hidden="1">
      <c r="E227" s="24"/>
      <c r="F227" s="24"/>
      <c r="G227" s="24"/>
      <c r="H227" s="46"/>
      <c r="I227" s="36"/>
      <c r="J227" s="46"/>
      <c r="K227" s="36"/>
      <c r="L227" s="46"/>
      <c r="M227" s="36"/>
      <c r="N227" s="46"/>
      <c r="O227" s="36"/>
      <c r="P227" s="46"/>
      <c r="Q227" s="36"/>
      <c r="R227" s="46"/>
      <c r="S227" s="36"/>
      <c r="T227" s="46"/>
      <c r="U227" s="36"/>
      <c r="V227" s="46"/>
      <c r="W227" s="36"/>
      <c r="X227" s="46"/>
      <c r="Y227" s="36"/>
      <c r="Z227" s="46"/>
      <c r="AA227" s="36"/>
      <c r="AB227" s="46"/>
      <c r="AC227" s="36"/>
    </row>
    <row r="228" spans="1:29" hidden="1">
      <c r="A228" s="24"/>
      <c r="B228" s="24"/>
      <c r="C228" s="24"/>
      <c r="D228" s="24"/>
      <c r="E228" s="24"/>
      <c r="F228" s="24"/>
      <c r="G228" s="24"/>
      <c r="H228" s="45"/>
      <c r="I228" s="36">
        <f>SUM(I219:I225)</f>
        <v>0</v>
      </c>
      <c r="J228" s="45"/>
      <c r="K228" s="36">
        <f>SUM(K219:K225)</f>
        <v>0</v>
      </c>
      <c r="L228" s="45"/>
      <c r="M228" s="36">
        <f>SUM(M219:M225)</f>
        <v>0</v>
      </c>
      <c r="N228" s="45"/>
      <c r="O228" s="36">
        <f>SUM(O219:O225)</f>
        <v>0</v>
      </c>
      <c r="P228" s="45"/>
      <c r="Q228" s="36">
        <f>SUM(Q219:Q225)</f>
        <v>0</v>
      </c>
      <c r="R228" s="45"/>
      <c r="S228" s="36">
        <f>SUM(S219:S225)</f>
        <v>0</v>
      </c>
      <c r="T228" s="45"/>
      <c r="U228" s="36">
        <f>SUM(U219:U225)</f>
        <v>0</v>
      </c>
      <c r="V228" s="45"/>
      <c r="W228" s="36">
        <f>SUM(W219:W225)</f>
        <v>0</v>
      </c>
      <c r="X228" s="45"/>
      <c r="Y228" s="36">
        <f>SUM(Y219:Y225)</f>
        <v>0</v>
      </c>
      <c r="Z228" s="45"/>
      <c r="AA228" s="36">
        <f>SUM(AA219:AA225)</f>
        <v>0</v>
      </c>
      <c r="AB228" s="45"/>
      <c r="AC228" s="36">
        <f>SUM(AC219:AC225)</f>
        <v>0</v>
      </c>
    </row>
    <row r="229" spans="1:29" hidden="1">
      <c r="E229" s="24"/>
      <c r="F229" s="24"/>
      <c r="G229" s="24"/>
      <c r="H229" s="46"/>
      <c r="I229" s="36"/>
      <c r="J229" s="46"/>
      <c r="K229" s="36"/>
      <c r="L229" s="46"/>
      <c r="M229" s="36"/>
      <c r="N229" s="46"/>
      <c r="O229" s="36"/>
      <c r="P229" s="46"/>
      <c r="Q229" s="36"/>
      <c r="R229" s="46"/>
      <c r="S229" s="36"/>
      <c r="T229" s="46"/>
      <c r="U229" s="36"/>
      <c r="V229" s="46"/>
      <c r="W229" s="36"/>
      <c r="X229" s="46"/>
      <c r="Y229" s="36"/>
      <c r="Z229" s="46"/>
      <c r="AA229" s="36"/>
      <c r="AB229" s="46"/>
      <c r="AC229" s="36"/>
    </row>
    <row r="230" spans="1:29" ht="18" hidden="1">
      <c r="E230" s="24"/>
      <c r="F230" s="24"/>
      <c r="G230" s="24"/>
      <c r="H230" s="163" t="s">
        <v>33</v>
      </c>
      <c r="I230" s="163"/>
      <c r="J230" s="163" t="s">
        <v>34</v>
      </c>
      <c r="K230" s="163"/>
      <c r="L230" s="46"/>
      <c r="M230" s="36"/>
      <c r="N230" s="46"/>
      <c r="O230" s="36"/>
      <c r="P230" s="46"/>
      <c r="Q230" s="36"/>
      <c r="R230" s="46"/>
      <c r="S230" s="36"/>
      <c r="T230" s="46"/>
      <c r="U230" s="36"/>
      <c r="V230" s="46"/>
      <c r="W230" s="36"/>
      <c r="X230" s="46"/>
      <c r="Y230" s="36"/>
      <c r="Z230" s="46"/>
      <c r="AA230" s="36"/>
      <c r="AB230" s="46"/>
      <c r="AC230" s="36"/>
    </row>
    <row r="231" spans="1:29" hidden="1">
      <c r="E231" s="24">
        <v>0</v>
      </c>
      <c r="F231" s="24">
        <v>37000</v>
      </c>
      <c r="G231" s="24"/>
      <c r="H231" s="46">
        <v>5.7000000000000002E-3</v>
      </c>
      <c r="I231" s="36">
        <f>IF((IF(F231-(E217-E231)&gt;E231,(E217-E231)*H231,(F231-E231)*H231))&lt;0,0,(IF(F231-(E217-E231)&gt;E231,(E217-E231)*H231,(F231-E231)*H231)))</f>
        <v>0</v>
      </c>
      <c r="J231" s="46">
        <v>8.5500000000000003E-3</v>
      </c>
      <c r="K231" s="36">
        <f>IF((IF(F231-(E217-E231)&gt;E231,(E217-E231)*J231,(F231-E231)*J231))&lt;0,0,(IF(F231-(E217-E231)&gt;E231,(E217-E231)*J231,(F231-E231)*J231)))</f>
        <v>0</v>
      </c>
      <c r="L231" s="46"/>
      <c r="M231" s="36"/>
      <c r="N231" s="46"/>
      <c r="O231" s="36"/>
      <c r="P231" s="46"/>
      <c r="Q231" s="36"/>
      <c r="R231" s="46"/>
      <c r="S231" s="36"/>
      <c r="T231" s="46"/>
      <c r="U231" s="36"/>
      <c r="V231" s="46"/>
      <c r="W231" s="36"/>
      <c r="X231" s="46"/>
      <c r="Y231" s="36"/>
      <c r="Z231" s="46"/>
      <c r="AA231" s="36"/>
      <c r="AB231" s="46"/>
      <c r="AC231" s="36"/>
    </row>
    <row r="232" spans="1:29" hidden="1">
      <c r="E232" s="24">
        <v>37000</v>
      </c>
      <c r="F232" s="24">
        <v>99000</v>
      </c>
      <c r="G232" s="24"/>
      <c r="H232" s="46">
        <v>3.9899999999999996E-3</v>
      </c>
      <c r="I232" s="36">
        <f>IF((IF(F232-(E217-E232)&gt;E232,(E217-E232)*H232,(F232-E232)*H232))&lt;0,0,(IF(F232-(E217-E232)&gt;E232,(E217-E232)*H232,(F232-E232)*H232)))</f>
        <v>0</v>
      </c>
      <c r="J232" s="46">
        <v>5.7000000000000002E-3</v>
      </c>
      <c r="K232" s="36">
        <f>IF((IF(F232-(E217-E232)&gt;E232,(E217-E232)*J232,(F232-E232)*J232))&lt;0,0,(IF(F232-(E217-E232)&gt;E232,(E217-E232)*J232,(F232-E232)*J232)))</f>
        <v>0</v>
      </c>
      <c r="L232" s="46"/>
      <c r="M232" s="36"/>
      <c r="N232" s="46"/>
      <c r="O232" s="36"/>
      <c r="P232" s="46"/>
      <c r="Q232" s="36"/>
      <c r="R232" s="46"/>
      <c r="S232" s="36"/>
      <c r="T232" s="46"/>
      <c r="U232" s="36"/>
      <c r="V232" s="46"/>
      <c r="W232" s="36"/>
      <c r="X232" s="46"/>
      <c r="Y232" s="36"/>
      <c r="Z232" s="46"/>
      <c r="AA232" s="36"/>
      <c r="AB232" s="46"/>
      <c r="AC232" s="36"/>
    </row>
    <row r="233" spans="1:29" hidden="1">
      <c r="E233" s="24">
        <v>99000</v>
      </c>
      <c r="F233" s="24">
        <v>224000</v>
      </c>
      <c r="G233" s="24"/>
      <c r="H233" s="46">
        <v>2.8500000000000001E-3</v>
      </c>
      <c r="I233" s="36">
        <f>IF((IF(F233-(E217-E233)&gt;E233,(E217-E233)*H233,(F233-E233)*H233))&lt;0,0,(IF(F233-(E217-E233)&gt;E233,(E217-E233)*H233,(F233-E233)*H233)))</f>
        <v>0</v>
      </c>
      <c r="J233" s="46">
        <v>3.9899999999999996E-3</v>
      </c>
      <c r="K233" s="36">
        <f>IF((IF(F233-(E217-E233)&gt;E233,(E217-E233)*J233,(F233-E233)*J233))&lt;0,0,(IF(F233-(E217-E233)&gt;E233,(E217-E233)*J233,(F233-E233)*J233)))</f>
        <v>0</v>
      </c>
      <c r="L233" s="46"/>
      <c r="M233" s="36"/>
      <c r="N233" s="46"/>
      <c r="O233" s="36"/>
      <c r="P233" s="46"/>
      <c r="Q233" s="36"/>
      <c r="R233" s="46"/>
      <c r="S233" s="36"/>
      <c r="T233" s="46"/>
      <c r="U233" s="36"/>
      <c r="V233" s="46"/>
      <c r="W233" s="36"/>
      <c r="X233" s="46"/>
      <c r="Y233" s="36"/>
      <c r="Z233" s="46"/>
      <c r="AA233" s="36"/>
      <c r="AB233" s="46"/>
      <c r="AC233" s="36"/>
    </row>
    <row r="234" spans="1:29" hidden="1">
      <c r="E234" s="24">
        <v>224000</v>
      </c>
      <c r="F234" s="24">
        <v>534000</v>
      </c>
      <c r="G234" s="24"/>
      <c r="H234" s="46">
        <v>1.7099999999999999E-3</v>
      </c>
      <c r="I234" s="36">
        <f>IF((IF(F234-(E217-E234)&gt;E234,(E217-E234)*H234,(F234-E234)*H234))&lt;0,0,(IF(F234-(E217-E234)&gt;E234,(E217-E234)*H234,(F234-E234)*H234)))</f>
        <v>0</v>
      </c>
      <c r="J234" s="46">
        <v>2.2799999999999999E-3</v>
      </c>
      <c r="K234" s="36">
        <f>IF((IF(F234-(E217-E234)&gt;E234,(E217-E234)*J234,(F234-E234)*J234))&lt;0,0,(IF(F234-(E217-E234)&gt;E234,(E217-E234)*J234,(F234-E234)*J234)))</f>
        <v>0</v>
      </c>
      <c r="L234" s="46"/>
      <c r="M234" s="36"/>
      <c r="N234" s="46"/>
      <c r="O234" s="36"/>
      <c r="P234" s="46"/>
      <c r="Q234" s="36"/>
      <c r="R234" s="46"/>
      <c r="S234" s="36"/>
      <c r="T234" s="46"/>
      <c r="U234" s="36"/>
      <c r="V234" s="46"/>
      <c r="W234" s="36"/>
      <c r="X234" s="46"/>
      <c r="Y234" s="36"/>
      <c r="Z234" s="46"/>
      <c r="AA234" s="36"/>
      <c r="AB234" s="46"/>
      <c r="AC234" s="36"/>
    </row>
    <row r="235" spans="1:29" hidden="1">
      <c r="E235" s="24">
        <v>534000</v>
      </c>
      <c r="F235" s="24">
        <v>1784000</v>
      </c>
      <c r="G235" s="24"/>
      <c r="H235" s="46">
        <v>5.6999999999999998E-4</v>
      </c>
      <c r="I235" s="36">
        <f>IF((IF(F235-(E217-E235)&gt;E235,(E217-E235)*H235,(F235-E235)*H235))&lt;0,0,(IF(F235-(E217-E235)&gt;E235,(E217-E235)*H235,(F235-E235)*H235)))</f>
        <v>0</v>
      </c>
      <c r="J235" s="46">
        <v>1.14E-3</v>
      </c>
      <c r="K235" s="36">
        <f>IF((IF(F235-(E217-E235)&gt;E235,(E217-E235)*J235,(F235-E235)*J235))&lt;0,0,(IF(F235-(E217-E235)&gt;E235,(E217-E235)*J235,(F235-E235)*J235)))</f>
        <v>0</v>
      </c>
      <c r="L235" s="46"/>
      <c r="M235" s="36"/>
      <c r="N235" s="46"/>
      <c r="O235" s="36"/>
      <c r="P235" s="46"/>
      <c r="Q235" s="36"/>
      <c r="R235" s="46"/>
      <c r="S235" s="36"/>
      <c r="T235" s="46"/>
      <c r="U235" s="36"/>
      <c r="V235" s="46"/>
      <c r="W235" s="36"/>
      <c r="X235" s="46"/>
      <c r="Y235" s="36"/>
      <c r="Z235" s="46"/>
      <c r="AA235" s="36"/>
      <c r="AB235" s="46"/>
      <c r="AC235" s="36"/>
    </row>
    <row r="236" spans="1:29" hidden="1">
      <c r="E236" s="24">
        <v>1784000</v>
      </c>
      <c r="F236" s="24">
        <v>3333500</v>
      </c>
      <c r="G236" s="24"/>
      <c r="H236" s="46">
        <v>2.2800000000000001E-4</v>
      </c>
      <c r="I236" s="36">
        <f>IF((IF(F236-(E217-E236)&gt;E236,(E217-E236)*H236,(F236-E236)*H236))&lt;0,0,(IF(F236-(E217-E236)&gt;E236,(E217-E236)*H236,(F236-E236)*H236)))</f>
        <v>0</v>
      </c>
      <c r="J236" s="46">
        <v>4.5600000000000003E-4</v>
      </c>
      <c r="K236" s="36">
        <f>IF((IF(F236-(E217-E236)&gt;E236,(E217-E236)*J236,(F236-E236)*J236))&lt;0,0,(IF(F236-(E217-E236)&gt;E236,(E217-E236)*J236,(F236-E236)*J236)))</f>
        <v>0</v>
      </c>
      <c r="L236" s="46"/>
      <c r="M236" s="36"/>
      <c r="N236" s="46"/>
      <c r="O236" s="36"/>
      <c r="P236" s="46"/>
      <c r="Q236" s="36"/>
      <c r="R236" s="46"/>
      <c r="S236" s="36"/>
      <c r="T236" s="46"/>
      <c r="U236" s="36"/>
      <c r="V236" s="46"/>
      <c r="W236" s="36"/>
      <c r="X236" s="46"/>
      <c r="Y236" s="36"/>
      <c r="Z236" s="46"/>
      <c r="AA236" s="36"/>
      <c r="AB236" s="46"/>
      <c r="AC236" s="36"/>
    </row>
    <row r="237" spans="1:29" hidden="1">
      <c r="E237" s="24">
        <v>3333500</v>
      </c>
      <c r="F237" s="24">
        <v>999999999999</v>
      </c>
      <c r="G237" s="24"/>
      <c r="H237" s="46">
        <v>1.1400000000000001E-4</v>
      </c>
      <c r="I237" s="36">
        <f>IF((IF(F237-(E217-E237)&gt;E237,(E217-E237)*H237,(F237-E237)*H237))&lt;0,0,(IF(F237-(E217-E237)&gt;E237,(E217-E237)*H237,(F237-E237)*H237)))</f>
        <v>0</v>
      </c>
      <c r="J237" s="46">
        <v>2.2800000000000001E-4</v>
      </c>
      <c r="K237" s="36">
        <f>IF((IF(F237-(E217-E237)&gt;E237,(E217-E237)*J237,(F237-E237)*J237))&lt;0,0,(IF(F237-(E217-E237)&gt;E237,(E217-E237)*J237,(F237-E237)*J237)))</f>
        <v>0</v>
      </c>
      <c r="L237" s="46"/>
      <c r="M237" s="36"/>
      <c r="N237" s="46"/>
      <c r="O237" s="36"/>
      <c r="P237" s="46"/>
      <c r="Q237" s="36"/>
      <c r="R237" s="46"/>
      <c r="S237" s="36"/>
      <c r="T237" s="46"/>
      <c r="U237" s="36"/>
      <c r="V237" s="46"/>
      <c r="W237" s="36"/>
      <c r="X237" s="46"/>
      <c r="Y237" s="36"/>
      <c r="Z237" s="46"/>
      <c r="AA237" s="36"/>
      <c r="AB237" s="46"/>
      <c r="AC237" s="36"/>
    </row>
    <row r="238" spans="1:29" hidden="1">
      <c r="A238" s="24"/>
      <c r="B238" s="24"/>
      <c r="C238" s="24"/>
      <c r="D238" s="24"/>
      <c r="E238" s="24"/>
      <c r="F238" s="24"/>
      <c r="G238" s="24"/>
      <c r="H238" s="45"/>
      <c r="I238" s="36">
        <f>SUM(I231:I237)</f>
        <v>0</v>
      </c>
      <c r="J238" s="45"/>
      <c r="K238" s="36">
        <f>SUM(K231:K237)</f>
        <v>0</v>
      </c>
      <c r="L238" s="45"/>
      <c r="M238" s="24"/>
      <c r="N238" s="45"/>
      <c r="O238" s="24"/>
      <c r="P238" s="45"/>
      <c r="Q238" s="24"/>
      <c r="R238" s="45"/>
      <c r="S238" s="24"/>
      <c r="T238" s="45"/>
      <c r="U238" s="24"/>
      <c r="V238" s="45"/>
      <c r="W238" s="24"/>
      <c r="X238" s="45"/>
      <c r="Y238" s="24"/>
      <c r="Z238" s="45"/>
      <c r="AA238" s="24"/>
      <c r="AB238" s="45"/>
      <c r="AC238" s="24"/>
    </row>
    <row r="239" spans="1:29" hidden="1"/>
    <row r="240" spans="1:29" hidden="1"/>
    <row r="241" hidden="1"/>
    <row r="242" hidden="1"/>
    <row r="243" hidden="1"/>
    <row r="244" hidden="1"/>
    <row r="245" hidden="1"/>
    <row r="246" hidden="1"/>
    <row r="247" hidden="1"/>
    <row r="248" hidden="1"/>
    <row r="249" hidden="1"/>
    <row r="250" hidden="1"/>
    <row r="251" hidden="1"/>
    <row r="252" hidden="1"/>
    <row r="253" hidden="1"/>
    <row r="254" hidden="1"/>
    <row r="255" hidden="1"/>
    <row r="256" hidden="1"/>
    <row r="257" hidden="1"/>
    <row r="258" hidden="1"/>
    <row r="259" hidden="1"/>
    <row r="260" hidden="1"/>
    <row r="261" hidden="1"/>
    <row r="262" hidden="1"/>
    <row r="263" hidden="1"/>
    <row r="264" hidden="1"/>
    <row r="265" hidden="1"/>
    <row r="266" hidden="1"/>
    <row r="267" hidden="1"/>
    <row r="268" hidden="1"/>
    <row r="269" hidden="1"/>
    <row r="270" hidden="1"/>
    <row r="271" hidden="1"/>
    <row r="272" hidden="1"/>
    <row r="273" spans="1:14" hidden="1"/>
    <row r="274" spans="1:14" hidden="1"/>
    <row r="275" spans="1:14" hidden="1"/>
    <row r="276" spans="1:14" hidden="1"/>
    <row r="277" spans="1:14" hidden="1"/>
    <row r="278" spans="1:14" hidden="1">
      <c r="A278" s="66"/>
      <c r="B278" s="66"/>
      <c r="C278" s="66"/>
      <c r="D278" s="66"/>
      <c r="E278" s="36"/>
      <c r="F278" s="66"/>
      <c r="G278" s="71" t="s">
        <v>97</v>
      </c>
      <c r="H278" s="132"/>
      <c r="I278" s="72"/>
      <c r="J278" s="72"/>
      <c r="K278" s="66"/>
      <c r="L278" s="66"/>
      <c r="M278" s="66"/>
      <c r="N278" s="66"/>
    </row>
    <row r="279" spans="1:14" hidden="1">
      <c r="A279" s="73" t="s">
        <v>98</v>
      </c>
      <c r="B279" s="74"/>
      <c r="C279" s="74"/>
      <c r="D279" s="76">
        <f t="shared" ref="D279:D289" si="6">IF(AND(F279&gt;0,E279&gt;0,F279&gt;=E279),E279,F279)</f>
        <v>0</v>
      </c>
      <c r="E279" s="75">
        <f>IF(AND(E9="ja",E7*18&gt;E5*80%),E5*80%*F13,F279)</f>
        <v>0</v>
      </c>
      <c r="F279" s="76">
        <f>IF(AND(E9="ja",F11&lt;20),E7*18*F13,0)</f>
        <v>0</v>
      </c>
      <c r="G279" s="36">
        <f>IF(AND(E9="ja",E7*18&gt;E5*80%),E5*80%,H279)</f>
        <v>0</v>
      </c>
      <c r="H279" s="36">
        <f>IF(AND(E9="ja",F11&lt;20),E7*18,0)</f>
        <v>0</v>
      </c>
      <c r="I279" s="76">
        <f t="shared" ref="I279:I289" si="7">IF(AND(H279&gt;0,G279&gt;0,H279&gt;=G279),G279,H279)</f>
        <v>0</v>
      </c>
      <c r="J279" s="77"/>
      <c r="K279" s="38"/>
      <c r="L279" s="38"/>
      <c r="M279" s="38"/>
    </row>
    <row r="280" spans="1:14" hidden="1">
      <c r="A280" s="74"/>
      <c r="B280" s="74"/>
      <c r="C280" s="74"/>
      <c r="D280" s="76">
        <f t="shared" si="6"/>
        <v>0</v>
      </c>
      <c r="E280" s="75">
        <f>IF(AND(E9="ja",E7*17&gt;E5*80%),E5*80%*F13,F280)</f>
        <v>0</v>
      </c>
      <c r="F280" s="75">
        <f>IF(AND(E9="ja",F11&gt;=20,F11&lt;=29),E7*17*F13,0)</f>
        <v>0</v>
      </c>
      <c r="G280" s="41">
        <f>IF(AND(E9="ja",E7*17&gt;E5*80%),E5*80%,H280)</f>
        <v>0</v>
      </c>
      <c r="H280" s="36">
        <f>IF(AND(E9="ja",F11&gt;=20,F11&lt;=29),E7*17,0)</f>
        <v>0</v>
      </c>
      <c r="I280" s="76">
        <f t="shared" si="7"/>
        <v>0</v>
      </c>
      <c r="J280" s="77"/>
      <c r="K280" s="36"/>
      <c r="L280" s="36"/>
      <c r="M280" s="36"/>
    </row>
    <row r="281" spans="1:14" hidden="1">
      <c r="A281" s="74"/>
      <c r="B281" s="74"/>
      <c r="C281" s="74"/>
      <c r="D281" s="76">
        <f t="shared" si="6"/>
        <v>0</v>
      </c>
      <c r="E281" s="75">
        <f>IF(AND(E9="ja",E7*16&gt;E5*80%),E5*80%*F13,F281)</f>
        <v>0</v>
      </c>
      <c r="F281" s="75">
        <f>IF(AND(E9="ja",F11&gt;=30,F11&lt;=39),E7*16*F13,0)</f>
        <v>0</v>
      </c>
      <c r="G281" s="36">
        <f>IF(AND(E9="ja",E7*16&gt;E5*80%),E5*80%,H281)</f>
        <v>0</v>
      </c>
      <c r="H281" s="36">
        <f>IF(AND(E9="ja",F11&gt;=30,F11&lt;=39),E7*16,0)</f>
        <v>0</v>
      </c>
      <c r="I281" s="76">
        <f t="shared" si="7"/>
        <v>0</v>
      </c>
      <c r="J281" s="77"/>
      <c r="K281" s="36"/>
      <c r="L281" s="36"/>
      <c r="M281" s="36"/>
    </row>
    <row r="282" spans="1:14" hidden="1">
      <c r="A282" s="74"/>
      <c r="B282" s="74"/>
      <c r="C282" s="74"/>
      <c r="D282" s="76">
        <f t="shared" si="6"/>
        <v>0</v>
      </c>
      <c r="E282" s="75">
        <f>IF(AND(E9="ja",E7*14&gt;E5*80%),E5*80%*F13,F282)</f>
        <v>0</v>
      </c>
      <c r="F282" s="75">
        <f>IF(AND(E9="ja",F11&gt;=40,F11&lt;=49),E7*14*F13,0)</f>
        <v>0</v>
      </c>
      <c r="G282" s="78">
        <f>IF(AND(E9="ja",E7*14&gt;E5*80%),E5*80%,H282)</f>
        <v>0</v>
      </c>
      <c r="H282" s="78">
        <f>IF(AND(E9="ja",F11&gt;=40,F11&lt;=49),E7*14,0)</f>
        <v>0</v>
      </c>
      <c r="I282" s="76">
        <f t="shared" si="7"/>
        <v>0</v>
      </c>
      <c r="J282" s="77"/>
      <c r="K282" s="36"/>
      <c r="L282" s="36"/>
      <c r="M282" s="36"/>
    </row>
    <row r="283" spans="1:14" hidden="1">
      <c r="A283" s="74"/>
      <c r="B283" s="74"/>
      <c r="C283" s="74"/>
      <c r="D283" s="76">
        <f t="shared" si="6"/>
        <v>0</v>
      </c>
      <c r="E283" s="75">
        <f>IF(AND(E9="ja",E7*13&gt;E5*80%),E5*80%*F13,F283)</f>
        <v>0</v>
      </c>
      <c r="F283" s="75">
        <f>IF(AND(E9="ja",F11&gt;=50,F11&lt;=54),E7*13*F13,0)</f>
        <v>0</v>
      </c>
      <c r="G283" s="36">
        <f>IF(AND(E9="ja",E7*13&gt;E5*80%),E5*80%,H283)</f>
        <v>0</v>
      </c>
      <c r="H283" s="36">
        <f>IF(AND(E9="ja",F11&gt;=50,F11&lt;=54),E7*13,0)</f>
        <v>0</v>
      </c>
      <c r="I283" s="76">
        <f t="shared" si="7"/>
        <v>0</v>
      </c>
      <c r="J283" s="77"/>
      <c r="K283" s="36"/>
      <c r="L283" s="36"/>
      <c r="M283" s="36"/>
    </row>
    <row r="284" spans="1:14" hidden="1">
      <c r="A284" s="74"/>
      <c r="B284" s="74"/>
      <c r="C284" s="74"/>
      <c r="D284" s="76">
        <f t="shared" si="6"/>
        <v>0</v>
      </c>
      <c r="E284" s="75">
        <f>IF(AND(E9="ja",E7*11&gt;E5*80%),E5*80%*F13,F284)</f>
        <v>0</v>
      </c>
      <c r="F284" s="75">
        <f>IF(AND(E9="ja",F11&gt;=55,F11&lt;=59),E7*11*F13,0)</f>
        <v>0</v>
      </c>
      <c r="G284" s="36">
        <f>IF(AND(E9="ja",E7*11&gt;E5*80%),E5*80%,H284)</f>
        <v>0</v>
      </c>
      <c r="H284" s="36">
        <f>IF(AND(E9="ja",F11&gt;=55,F11&lt;=59),E7*11,0)</f>
        <v>0</v>
      </c>
      <c r="I284" s="76">
        <f t="shared" si="7"/>
        <v>0</v>
      </c>
      <c r="J284" s="77"/>
      <c r="K284" s="36"/>
      <c r="L284" s="36"/>
      <c r="M284" s="36"/>
    </row>
    <row r="285" spans="1:14" hidden="1">
      <c r="A285" s="74"/>
      <c r="B285" s="74"/>
      <c r="C285" s="74"/>
      <c r="D285" s="76">
        <f t="shared" si="6"/>
        <v>0</v>
      </c>
      <c r="E285" s="75">
        <f>IF(AND(E9="ja",E7*9.5&gt;E5*80%),E5*80%*F13,F285)</f>
        <v>0</v>
      </c>
      <c r="F285" s="75">
        <f>IF(AND(E9="ja",F11&gt;=60,F11&lt;=64),E7*9.5*F13,0)</f>
        <v>0</v>
      </c>
      <c r="G285" s="36">
        <f>IF(AND(E9="ja",E7*9.5&gt;E5*80%),E5*80%,H285)</f>
        <v>0</v>
      </c>
      <c r="H285" s="36">
        <f>IF(AND(E9="ja",F11&gt;=60,F11&lt;=64),E7*9.5,0)</f>
        <v>0</v>
      </c>
      <c r="I285" s="76">
        <f t="shared" si="7"/>
        <v>0</v>
      </c>
      <c r="J285" s="77"/>
      <c r="K285" s="36"/>
      <c r="L285" s="36"/>
      <c r="M285" s="36"/>
    </row>
    <row r="286" spans="1:14" hidden="1">
      <c r="A286" s="74"/>
      <c r="B286" s="74"/>
      <c r="C286" s="74"/>
      <c r="D286" s="76">
        <f t="shared" si="6"/>
        <v>0</v>
      </c>
      <c r="E286" s="75">
        <f>IF(AND(E9="ja",E7*8&gt;E5*80%),E5*80%*F13,F286)</f>
        <v>0</v>
      </c>
      <c r="F286" s="75">
        <f>IF(AND(E9="ja",F11&gt;=65,F11&lt;=69),E7*8*F13,0)</f>
        <v>0</v>
      </c>
      <c r="G286" s="36">
        <f>IF(AND(E9="ja",E7*8&gt;E5*80%),E5*80%,H286)</f>
        <v>0</v>
      </c>
      <c r="H286" s="36">
        <f>IF(AND(E9="ja",F11&gt;=65,F11&lt;=69),E7*8,0)</f>
        <v>0</v>
      </c>
      <c r="I286" s="76">
        <f t="shared" si="7"/>
        <v>0</v>
      </c>
      <c r="J286" s="77"/>
      <c r="K286" s="36"/>
      <c r="L286" s="36"/>
      <c r="M286" s="36"/>
    </row>
    <row r="287" spans="1:14" hidden="1">
      <c r="A287" s="74"/>
      <c r="B287" s="74"/>
      <c r="C287" s="74"/>
      <c r="D287" s="76">
        <f t="shared" si="6"/>
        <v>0</v>
      </c>
      <c r="E287" s="75">
        <f>IF(AND(E9="ja",E7*6&gt;E5*80%),E5*80%*F13,F287)</f>
        <v>0</v>
      </c>
      <c r="F287" s="75">
        <f>IF(AND(E9="ja",F11&gt;=70,F11&lt;=74),E7*6*F13,0)</f>
        <v>0</v>
      </c>
      <c r="G287" s="36">
        <f>IF(AND(E9="ja",E7*6&gt;E5*80%),E5*80%,H287)</f>
        <v>0</v>
      </c>
      <c r="H287" s="36">
        <f>IF(AND(E9="ja",F11&gt;=70,F11&lt;=74),E7*6,0)</f>
        <v>0</v>
      </c>
      <c r="I287" s="76">
        <f t="shared" si="7"/>
        <v>0</v>
      </c>
      <c r="J287" s="36"/>
      <c r="K287" s="36"/>
      <c r="L287" s="36"/>
      <c r="M287" s="36"/>
    </row>
    <row r="288" spans="1:14" hidden="1">
      <c r="A288" s="74"/>
      <c r="B288" s="74"/>
      <c r="C288" s="74"/>
      <c r="D288" s="76">
        <f t="shared" si="6"/>
        <v>0</v>
      </c>
      <c r="E288" s="75">
        <f>IF(AND(E9="ja",E7*4&gt;E5*80%),E5*80%*F13,F288)</f>
        <v>0</v>
      </c>
      <c r="F288" s="75">
        <f>IF(AND(E9="ja",F11&gt;=75,F11&lt;=80),E7*4*F13,0)</f>
        <v>0</v>
      </c>
      <c r="G288" s="36">
        <f>IF(AND(E9="ja",E7*4&gt;E5*80%),E5*80%,H288)</f>
        <v>0</v>
      </c>
      <c r="H288" s="36">
        <f>IF(AND(E9="ja",F11&gt;=75,F11&lt;=80),E7*4,0)</f>
        <v>0</v>
      </c>
      <c r="I288" s="76">
        <f t="shared" si="7"/>
        <v>0</v>
      </c>
      <c r="J288" s="36"/>
      <c r="K288" s="36"/>
      <c r="L288" s="36"/>
      <c r="M288" s="36"/>
    </row>
    <row r="289" spans="1:14" hidden="1">
      <c r="A289" s="74"/>
      <c r="B289" s="74"/>
      <c r="C289" s="74"/>
      <c r="D289" s="76">
        <f t="shared" si="6"/>
        <v>0</v>
      </c>
      <c r="E289" s="75">
        <f>IF(AND(E9="ja",E7*2&gt;E5*80%),E5*80%*F13,F289)</f>
        <v>0</v>
      </c>
      <c r="F289" s="75">
        <f>IF(AND(E9="ja",F11&gt;=80),E7*2*F13,0)</f>
        <v>0</v>
      </c>
      <c r="G289" s="36">
        <f>IF(AND(E9="ja",E7*2&gt;E5*80%),E5*80%,H289)</f>
        <v>0</v>
      </c>
      <c r="H289" s="36">
        <f>IF(AND(E9="ja",F11&gt;=80),E7*2,0)</f>
        <v>0</v>
      </c>
      <c r="I289" s="76">
        <f t="shared" si="7"/>
        <v>0</v>
      </c>
      <c r="J289" s="36"/>
      <c r="K289" s="36"/>
      <c r="L289" s="36"/>
      <c r="M289" s="36"/>
    </row>
    <row r="290" spans="1:14" hidden="1">
      <c r="A290" s="74"/>
      <c r="B290" s="74"/>
      <c r="C290" s="74"/>
      <c r="D290" s="75"/>
      <c r="E290" s="75"/>
      <c r="F290" s="75"/>
      <c r="G290" s="36"/>
      <c r="H290" s="36"/>
      <c r="I290" s="36"/>
      <c r="J290" s="36"/>
      <c r="K290" s="36"/>
      <c r="L290" s="36"/>
      <c r="M290" s="36"/>
    </row>
    <row r="291" spans="1:14" hidden="1">
      <c r="A291" s="74"/>
      <c r="B291" s="74"/>
      <c r="C291" s="74"/>
      <c r="D291" s="79">
        <f>SUM(D279:D290)</f>
        <v>0</v>
      </c>
      <c r="E291" s="75"/>
      <c r="F291" s="75"/>
      <c r="G291" s="84"/>
      <c r="H291" s="36"/>
      <c r="I291" s="80">
        <f>SUM(I279:I290)</f>
        <v>0</v>
      </c>
      <c r="J291" s="36"/>
      <c r="K291" s="36"/>
      <c r="L291" s="36"/>
      <c r="M291" s="36"/>
    </row>
    <row r="292" spans="1:14" hidden="1">
      <c r="A292" s="66"/>
      <c r="B292" s="66"/>
      <c r="C292" s="66"/>
      <c r="D292" s="66"/>
      <c r="E292" s="36"/>
      <c r="F292" s="36"/>
      <c r="G292" s="36"/>
      <c r="H292" s="36"/>
      <c r="I292" s="36"/>
      <c r="J292" s="36"/>
      <c r="K292" s="36"/>
      <c r="L292" s="36"/>
      <c r="M292" s="36"/>
    </row>
    <row r="293" spans="1:14" hidden="1">
      <c r="A293" s="66"/>
      <c r="B293" s="66"/>
      <c r="C293" s="66"/>
      <c r="D293" s="66"/>
      <c r="E293" s="36"/>
      <c r="F293" s="36"/>
      <c r="G293" s="36"/>
      <c r="H293" s="36"/>
      <c r="I293" s="36"/>
      <c r="J293" s="36"/>
      <c r="K293" s="36"/>
      <c r="L293" s="36"/>
      <c r="M293" s="36"/>
    </row>
    <row r="294" spans="1:14" hidden="1">
      <c r="A294" s="66"/>
      <c r="B294" s="66"/>
      <c r="C294" s="66"/>
      <c r="D294" s="66"/>
      <c r="E294" s="36"/>
      <c r="F294" s="36"/>
      <c r="G294" s="36"/>
      <c r="H294" s="36"/>
      <c r="I294" s="36"/>
      <c r="J294" s="36"/>
      <c r="K294" s="36"/>
      <c r="L294" s="36"/>
      <c r="M294" s="36"/>
    </row>
    <row r="295" spans="1:14" hidden="1">
      <c r="A295" s="81">
        <v>1</v>
      </c>
      <c r="B295" s="66"/>
      <c r="C295" s="82" t="s">
        <v>99</v>
      </c>
      <c r="D295" s="66"/>
      <c r="E295" s="152" t="e">
        <f>D291/F13</f>
        <v>#DIV/0!</v>
      </c>
      <c r="F295" s="36"/>
      <c r="G295" s="38"/>
      <c r="H295" s="38"/>
      <c r="I295" s="35"/>
      <c r="J295" s="35"/>
      <c r="K295" s="35"/>
      <c r="L295" s="35"/>
      <c r="M295" s="35"/>
    </row>
    <row r="296" spans="1:14" hidden="1">
      <c r="A296" s="66"/>
      <c r="B296" s="66"/>
      <c r="C296" s="66"/>
      <c r="D296" s="66"/>
      <c r="E296" s="36"/>
      <c r="F296" s="36"/>
      <c r="G296" s="36"/>
      <c r="H296" s="36"/>
      <c r="I296" s="36"/>
      <c r="J296" s="36"/>
      <c r="K296" s="36"/>
      <c r="L296" s="36"/>
      <c r="M296" s="36"/>
    </row>
    <row r="297" spans="1:14" hidden="1">
      <c r="A297" s="66"/>
      <c r="B297" s="66"/>
      <c r="C297" s="66"/>
      <c r="D297" s="66"/>
      <c r="E297" s="36"/>
      <c r="F297" s="36"/>
      <c r="G297" s="36"/>
      <c r="H297" s="36"/>
      <c r="I297" s="36"/>
      <c r="J297" s="36"/>
      <c r="K297" s="36"/>
      <c r="L297" s="36"/>
      <c r="M297" s="36"/>
    </row>
    <row r="298" spans="1:14" hidden="1">
      <c r="A298" s="83" t="s">
        <v>100</v>
      </c>
      <c r="B298" s="66"/>
      <c r="C298" s="82" t="s">
        <v>99</v>
      </c>
      <c r="D298" s="66"/>
      <c r="E298" s="84" t="e">
        <f>Blad1!P181-E295</f>
        <v>#DIV/0!</v>
      </c>
      <c r="F298" s="85" t="e">
        <f>IF(E298&gt;0,E298,0)</f>
        <v>#DIV/0!</v>
      </c>
      <c r="G298" s="156" t="e">
        <f>IF(F298=0,"",F298)</f>
        <v>#DIV/0!</v>
      </c>
      <c r="H298" s="83" t="s">
        <v>101</v>
      </c>
      <c r="I298" s="66"/>
      <c r="J298" s="82" t="s">
        <v>99</v>
      </c>
      <c r="K298" s="66"/>
      <c r="L298" s="84" t="e">
        <f>Blad1!AP181-E295</f>
        <v>#DIV/0!</v>
      </c>
      <c r="M298" s="85" t="e">
        <f>IF(L298&gt;0,L298,0)</f>
        <v>#DIV/0!</v>
      </c>
      <c r="N298" s="156" t="e">
        <f>IF(M298=0,"",M298)</f>
        <v>#DIV/0!</v>
      </c>
    </row>
    <row r="299" spans="1:14" hidden="1">
      <c r="A299" s="66"/>
      <c r="B299" s="66"/>
      <c r="C299" s="66"/>
      <c r="D299" s="66"/>
      <c r="E299" s="36"/>
      <c r="F299" s="36"/>
      <c r="G299" s="156"/>
      <c r="H299" s="66"/>
      <c r="I299" s="66"/>
      <c r="J299" s="66"/>
      <c r="K299" s="66"/>
      <c r="L299" s="36"/>
      <c r="M299" s="36"/>
    </row>
    <row r="300" spans="1:14" hidden="1">
      <c r="A300" s="83" t="s">
        <v>102</v>
      </c>
      <c r="B300" s="66"/>
      <c r="C300" s="82" t="s">
        <v>99</v>
      </c>
      <c r="D300" s="66"/>
      <c r="E300" s="36" t="e">
        <f>Blad1!Q181-E295</f>
        <v>#DIV/0!</v>
      </c>
      <c r="F300" s="85" t="e">
        <f>IF(E300&gt;0,E300,0)</f>
        <v>#DIV/0!</v>
      </c>
      <c r="G300" s="156" t="e">
        <f>IF(F300=0,"",F300)</f>
        <v>#DIV/0!</v>
      </c>
      <c r="H300" s="83" t="s">
        <v>103</v>
      </c>
      <c r="I300" s="66"/>
      <c r="J300" s="82" t="s">
        <v>99</v>
      </c>
      <c r="K300" s="66"/>
      <c r="L300" s="36" t="e">
        <f>Blad1!AQ181-E295</f>
        <v>#DIV/0!</v>
      </c>
      <c r="M300" s="85" t="e">
        <f>IF(L300&gt;0,L300,0)</f>
        <v>#DIV/0!</v>
      </c>
      <c r="N300" s="156" t="e">
        <f>IF(M300=0,"",M300)</f>
        <v>#DIV/0!</v>
      </c>
    </row>
    <row r="301" spans="1:14" hidden="1">
      <c r="A301" s="66"/>
      <c r="B301" s="66"/>
      <c r="C301" s="66"/>
      <c r="D301" s="66"/>
      <c r="E301" s="36"/>
      <c r="F301" s="36"/>
      <c r="G301" s="156"/>
      <c r="H301" s="66"/>
      <c r="I301" s="66"/>
      <c r="J301" s="66"/>
      <c r="K301" s="66"/>
      <c r="L301" s="36"/>
      <c r="M301" s="36"/>
    </row>
    <row r="302" spans="1:14" hidden="1">
      <c r="A302" s="83" t="s">
        <v>104</v>
      </c>
      <c r="B302" s="66"/>
      <c r="C302" s="82" t="s">
        <v>99</v>
      </c>
      <c r="D302" s="66"/>
      <c r="E302" s="36" t="e">
        <f>Blad1!R181-E295</f>
        <v>#DIV/0!</v>
      </c>
      <c r="F302" s="85" t="e">
        <f>IF(E302&gt;0,E302,0)</f>
        <v>#DIV/0!</v>
      </c>
      <c r="G302" s="156" t="e">
        <f>IF(F302=0,"",F302)</f>
        <v>#DIV/0!</v>
      </c>
      <c r="H302" s="83" t="s">
        <v>105</v>
      </c>
      <c r="I302" s="66"/>
      <c r="J302" s="82" t="s">
        <v>99</v>
      </c>
      <c r="K302" s="66"/>
      <c r="L302" s="36" t="e">
        <f>Blad1!AR181-E295</f>
        <v>#DIV/0!</v>
      </c>
      <c r="M302" s="85" t="e">
        <f>IF(L302&gt;0,L302,0)</f>
        <v>#DIV/0!</v>
      </c>
      <c r="N302" s="156" t="e">
        <f>IF(M302=0,"",M302)</f>
        <v>#DIV/0!</v>
      </c>
    </row>
    <row r="303" spans="1:14" hidden="1">
      <c r="A303" s="66"/>
      <c r="B303" s="66"/>
      <c r="C303" s="66"/>
      <c r="D303" s="66"/>
      <c r="E303" s="36"/>
      <c r="F303" s="36"/>
      <c r="G303" s="156"/>
      <c r="H303" s="66"/>
      <c r="I303" s="66"/>
      <c r="J303" s="66"/>
      <c r="K303" s="66"/>
      <c r="L303" s="36"/>
      <c r="M303" s="36"/>
    </row>
    <row r="304" spans="1:14" hidden="1">
      <c r="A304" s="83" t="s">
        <v>106</v>
      </c>
      <c r="B304" s="66"/>
      <c r="C304" s="82" t="s">
        <v>99</v>
      </c>
      <c r="D304" s="66"/>
      <c r="E304" s="86" t="e">
        <f>Blad1!S181-E295</f>
        <v>#DIV/0!</v>
      </c>
      <c r="F304" s="85" t="e">
        <f>IF(E304&gt;0,E304,0)</f>
        <v>#DIV/0!</v>
      </c>
      <c r="G304" s="156" t="e">
        <f>IF(F304=0,"",F304)</f>
        <v>#DIV/0!</v>
      </c>
      <c r="H304" s="83" t="s">
        <v>107</v>
      </c>
      <c r="I304" s="66"/>
      <c r="J304" s="82" t="s">
        <v>99</v>
      </c>
      <c r="K304" s="66"/>
      <c r="L304" s="86" t="e">
        <f>Blad1!AS181-E295</f>
        <v>#DIV/0!</v>
      </c>
      <c r="M304" s="85" t="e">
        <f>IF(L304&gt;0,L304,0)</f>
        <v>#DIV/0!</v>
      </c>
      <c r="N304" s="156" t="e">
        <f>IF(M304=0,"",M304)</f>
        <v>#DIV/0!</v>
      </c>
    </row>
    <row r="305" spans="1:14" hidden="1">
      <c r="A305" s="66"/>
      <c r="B305" s="66"/>
      <c r="C305" s="66"/>
      <c r="D305" s="66"/>
      <c r="E305" s="36"/>
      <c r="F305" s="36"/>
      <c r="G305" s="156"/>
      <c r="H305" s="66"/>
      <c r="I305" s="66"/>
      <c r="J305" s="66"/>
      <c r="K305" s="66"/>
      <c r="L305" s="36"/>
      <c r="M305" s="36"/>
    </row>
    <row r="306" spans="1:14" hidden="1">
      <c r="A306" s="83" t="s">
        <v>108</v>
      </c>
      <c r="B306" s="66"/>
      <c r="C306" s="82" t="s">
        <v>99</v>
      </c>
      <c r="D306" s="66"/>
      <c r="E306" s="36" t="e">
        <f>Blad1!T181-E295</f>
        <v>#DIV/0!</v>
      </c>
      <c r="F306" s="85" t="e">
        <f>IF(E306&gt;0,E306,0)</f>
        <v>#DIV/0!</v>
      </c>
      <c r="G306" s="156" t="e">
        <f>IF(F306=0,"",F306)</f>
        <v>#DIV/0!</v>
      </c>
      <c r="H306" s="83" t="s">
        <v>109</v>
      </c>
      <c r="I306" s="66"/>
      <c r="J306" s="82" t="s">
        <v>99</v>
      </c>
      <c r="K306" s="66"/>
      <c r="L306" s="36" t="e">
        <f>Blad1!AT181-E295</f>
        <v>#DIV/0!</v>
      </c>
      <c r="M306" s="85" t="e">
        <f>IF(L306&gt;0,L306,0)</f>
        <v>#DIV/0!</v>
      </c>
      <c r="N306" s="156" t="e">
        <f>IF(M306=0,"",M306)</f>
        <v>#DIV/0!</v>
      </c>
    </row>
    <row r="307" spans="1:14" hidden="1">
      <c r="A307" s="66"/>
      <c r="B307" s="66"/>
      <c r="C307" s="66"/>
      <c r="D307" s="66"/>
      <c r="E307" s="36"/>
      <c r="F307" s="36"/>
      <c r="G307" s="156"/>
      <c r="H307" s="66"/>
      <c r="I307" s="66"/>
      <c r="J307" s="66"/>
      <c r="K307" s="66"/>
      <c r="L307" s="36"/>
      <c r="M307" s="36"/>
    </row>
    <row r="308" spans="1:14" hidden="1">
      <c r="A308" s="83" t="s">
        <v>110</v>
      </c>
      <c r="B308" s="66"/>
      <c r="C308" s="82" t="s">
        <v>99</v>
      </c>
      <c r="D308" s="66"/>
      <c r="E308" s="36" t="e">
        <f>Blad1!U181-E295</f>
        <v>#DIV/0!</v>
      </c>
      <c r="F308" s="85" t="e">
        <f>IF(E308&gt;0,E308,0)</f>
        <v>#DIV/0!</v>
      </c>
      <c r="G308" s="156" t="e">
        <f>IF(F308=0,"",F308)</f>
        <v>#DIV/0!</v>
      </c>
      <c r="H308" s="83" t="s">
        <v>111</v>
      </c>
      <c r="I308" s="66"/>
      <c r="J308" s="82" t="s">
        <v>99</v>
      </c>
      <c r="K308" s="66"/>
      <c r="L308" s="36" t="e">
        <f>Blad1!AU181-E295</f>
        <v>#DIV/0!</v>
      </c>
      <c r="M308" s="85" t="e">
        <f>IF(L308&gt;0,L308,0)</f>
        <v>#DIV/0!</v>
      </c>
      <c r="N308" s="156" t="e">
        <f>IF(M308=0,"",M308)</f>
        <v>#DIV/0!</v>
      </c>
    </row>
    <row r="309" spans="1:14" hidden="1">
      <c r="A309" s="66"/>
      <c r="B309" s="66"/>
      <c r="C309" s="66"/>
      <c r="D309" s="66"/>
      <c r="E309" s="36"/>
      <c r="F309" s="36"/>
      <c r="G309" s="156"/>
      <c r="H309" s="66"/>
      <c r="I309" s="66"/>
      <c r="J309" s="66"/>
      <c r="K309" s="66"/>
      <c r="L309" s="36"/>
      <c r="M309" s="36"/>
    </row>
    <row r="310" spans="1:14" hidden="1">
      <c r="A310" s="83" t="s">
        <v>112</v>
      </c>
      <c r="B310" s="66"/>
      <c r="C310" s="82" t="s">
        <v>99</v>
      </c>
      <c r="D310" s="66"/>
      <c r="E310" s="36" t="e">
        <f>Blad1!V181-E295</f>
        <v>#DIV/0!</v>
      </c>
      <c r="F310" s="85" t="e">
        <f>IF(E310&gt;0,E310,0)</f>
        <v>#DIV/0!</v>
      </c>
      <c r="G310" s="156" t="e">
        <f>IF(F310=0,"",F310)</f>
        <v>#DIV/0!</v>
      </c>
      <c r="H310" s="83" t="s">
        <v>113</v>
      </c>
      <c r="I310" s="66"/>
      <c r="J310" s="82" t="s">
        <v>99</v>
      </c>
      <c r="K310" s="66"/>
      <c r="L310" s="36" t="e">
        <f>Blad1!AV181-E295</f>
        <v>#DIV/0!</v>
      </c>
      <c r="M310" s="85" t="e">
        <f>IF(L310&gt;0,L310,0)</f>
        <v>#DIV/0!</v>
      </c>
      <c r="N310" s="156" t="e">
        <f>IF(M310=0,"",M310)</f>
        <v>#DIV/0!</v>
      </c>
    </row>
    <row r="311" spans="1:14" hidden="1">
      <c r="A311" s="66"/>
      <c r="B311" s="66"/>
      <c r="C311" s="66"/>
      <c r="D311" s="66"/>
      <c r="E311" s="36"/>
      <c r="F311" s="36"/>
      <c r="G311" s="156"/>
      <c r="H311" s="66"/>
      <c r="I311" s="66"/>
      <c r="J311" s="66"/>
      <c r="K311" s="66"/>
      <c r="L311" s="36"/>
      <c r="M311" s="36"/>
    </row>
    <row r="312" spans="1:14" hidden="1">
      <c r="A312" s="83" t="s">
        <v>114</v>
      </c>
      <c r="B312" s="66"/>
      <c r="C312" s="82" t="s">
        <v>99</v>
      </c>
      <c r="D312" s="66"/>
      <c r="E312" s="36" t="e">
        <f>Blad1!W181-E295</f>
        <v>#DIV/0!</v>
      </c>
      <c r="F312" s="85" t="e">
        <f>IF(E312&gt;0,E312,0)</f>
        <v>#DIV/0!</v>
      </c>
      <c r="G312" s="156" t="e">
        <f>IF(F312=0,"",F312)</f>
        <v>#DIV/0!</v>
      </c>
      <c r="H312" s="83" t="s">
        <v>115</v>
      </c>
      <c r="I312" s="66"/>
      <c r="J312" s="82" t="s">
        <v>99</v>
      </c>
      <c r="K312" s="66"/>
      <c r="L312" s="36" t="e">
        <f>Blad1!AW181-E295</f>
        <v>#DIV/0!</v>
      </c>
      <c r="M312" s="85" t="e">
        <f>IF(L312&gt;0,L312,0)</f>
        <v>#DIV/0!</v>
      </c>
      <c r="N312" s="156" t="e">
        <f>IF(M312=0,"",M312)</f>
        <v>#DIV/0!</v>
      </c>
    </row>
    <row r="313" spans="1:14" hidden="1">
      <c r="A313" s="66"/>
      <c r="B313" s="66"/>
      <c r="C313" s="66"/>
      <c r="D313" s="66"/>
      <c r="E313" s="36"/>
      <c r="F313" s="36"/>
      <c r="G313" s="156"/>
      <c r="H313" s="66"/>
      <c r="I313" s="66"/>
      <c r="J313" s="66"/>
      <c r="K313" s="66"/>
      <c r="L313" s="36"/>
      <c r="M313" s="36"/>
    </row>
    <row r="314" spans="1:14" hidden="1">
      <c r="A314" s="83" t="s">
        <v>116</v>
      </c>
      <c r="B314" s="66"/>
      <c r="C314" s="82" t="s">
        <v>99</v>
      </c>
      <c r="D314" s="66"/>
      <c r="E314" s="36" t="e">
        <f>Blad1!X181-E295</f>
        <v>#DIV/0!</v>
      </c>
      <c r="F314" s="85" t="e">
        <f>IF(E314&gt;0,E314,0)</f>
        <v>#DIV/0!</v>
      </c>
      <c r="G314" s="156" t="e">
        <f>IF(F314=0,"",F314)</f>
        <v>#DIV/0!</v>
      </c>
      <c r="H314" s="83" t="s">
        <v>117</v>
      </c>
      <c r="I314" s="66"/>
      <c r="J314" s="82" t="s">
        <v>99</v>
      </c>
      <c r="K314" s="66"/>
      <c r="L314" s="36" t="e">
        <f>Blad1!AX181-E295</f>
        <v>#DIV/0!</v>
      </c>
      <c r="M314" s="85" t="e">
        <f>IF(L314&gt;0,L314,0)</f>
        <v>#DIV/0!</v>
      </c>
      <c r="N314" s="156" t="e">
        <f>IF(M314=0,"",M314)</f>
        <v>#DIV/0!</v>
      </c>
    </row>
    <row r="315" spans="1:14" hidden="1">
      <c r="A315" s="66"/>
      <c r="B315" s="66"/>
      <c r="C315" s="66"/>
      <c r="D315" s="66"/>
      <c r="E315" s="36"/>
      <c r="F315" s="36"/>
      <c r="G315" s="36"/>
      <c r="H315" s="45"/>
      <c r="I315" s="36"/>
      <c r="J315" s="36"/>
      <c r="K315" s="36"/>
      <c r="L315" s="36"/>
      <c r="M315" s="36"/>
    </row>
    <row r="316" spans="1:14" hidden="1">
      <c r="A316" s="66"/>
      <c r="B316" s="66"/>
      <c r="C316" s="66"/>
      <c r="D316" s="66"/>
      <c r="E316" s="36"/>
      <c r="F316" s="36"/>
      <c r="G316" s="36"/>
      <c r="H316" s="45"/>
      <c r="I316" s="42"/>
      <c r="J316" s="36"/>
      <c r="K316" s="36"/>
      <c r="L316" s="36"/>
      <c r="M316" s="36"/>
    </row>
    <row r="317" spans="1:14" hidden="1">
      <c r="A317" s="66"/>
      <c r="B317" s="66"/>
      <c r="C317" s="66"/>
      <c r="D317" s="66"/>
      <c r="E317" s="66"/>
      <c r="F317" s="84"/>
      <c r="G317" s="66"/>
      <c r="H317" s="154">
        <f>O129+O135+AM157+AM163+F15</f>
        <v>0</v>
      </c>
      <c r="I317" s="66"/>
      <c r="J317" s="66"/>
      <c r="K317" s="66"/>
      <c r="L317" s="66"/>
      <c r="M317" s="84"/>
    </row>
    <row r="318" spans="1:14" hidden="1">
      <c r="A318" s="66"/>
      <c r="B318" s="66"/>
      <c r="C318" s="66"/>
      <c r="D318" s="66"/>
      <c r="E318" s="36"/>
      <c r="F318" s="36"/>
      <c r="G318" s="36"/>
      <c r="H318" s="45"/>
      <c r="I318" s="66"/>
      <c r="J318" s="36"/>
      <c r="K318" s="36"/>
      <c r="L318" s="36"/>
      <c r="M318" s="36"/>
    </row>
    <row r="319" spans="1:14" hidden="1">
      <c r="A319" s="66"/>
      <c r="B319" s="66"/>
      <c r="C319" s="66"/>
      <c r="D319" s="66"/>
      <c r="E319" s="36"/>
      <c r="F319" s="66"/>
      <c r="G319" s="36"/>
      <c r="H319" s="155"/>
      <c r="I319" s="66"/>
      <c r="J319" s="66"/>
      <c r="K319" s="66"/>
      <c r="L319" s="66"/>
      <c r="M319" s="66"/>
    </row>
    <row r="320" spans="1:14" hidden="1">
      <c r="F320" s="153">
        <f>E5-H317</f>
        <v>0</v>
      </c>
      <c r="M320" s="153">
        <f>E5-H317</f>
        <v>0</v>
      </c>
    </row>
    <row r="321" spans="1:20" hidden="1"/>
    <row r="322" spans="1:20" hidden="1"/>
    <row r="323" spans="1:20" hidden="1"/>
    <row r="324" spans="1:20" hidden="1"/>
    <row r="325" spans="1:20" hidden="1"/>
    <row r="326" spans="1:20" hidden="1">
      <c r="E326" s="24"/>
      <c r="G326" s="24"/>
      <c r="J326" s="7">
        <f>IF(AND(E16="bouwgrond",F25="echtgeno(o)t(e)"),H341,0)</f>
        <v>0</v>
      </c>
    </row>
    <row r="327" spans="1:20" hidden="1">
      <c r="E327" s="24"/>
      <c r="G327" s="24"/>
      <c r="J327" s="7">
        <f>IF(AND(E16="andere",F23="echtgeno(o)t(e)"),G341,0)</f>
        <v>0</v>
      </c>
    </row>
    <row r="328" spans="1:20" hidden="1">
      <c r="A328" s="35"/>
      <c r="B328" s="35"/>
      <c r="C328" s="35"/>
      <c r="D328" s="35"/>
      <c r="E328" s="36"/>
      <c r="F328" s="37"/>
      <c r="G328" s="36"/>
      <c r="H328" s="36"/>
      <c r="I328" s="38"/>
      <c r="J328" s="39">
        <f>IF(AND(E16="bouwgrond",F25="rechte lijn"),H341,0)</f>
        <v>0</v>
      </c>
      <c r="K328" s="38"/>
      <c r="L328" s="40"/>
    </row>
    <row r="329" spans="1:20" hidden="1">
      <c r="A329" s="36" t="s">
        <v>10</v>
      </c>
      <c r="B329" s="36"/>
      <c r="C329" s="36"/>
      <c r="D329" s="36"/>
      <c r="E329" s="36"/>
      <c r="F329" s="36">
        <f>G25</f>
        <v>0</v>
      </c>
      <c r="G329" s="41"/>
      <c r="H329" s="36"/>
      <c r="I329" s="36"/>
      <c r="J329" s="39">
        <f>IF(AND(E16="andere",F25="rechte lijn"),G341,0)</f>
        <v>0</v>
      </c>
      <c r="K329" s="36"/>
      <c r="L329" s="40"/>
    </row>
    <row r="330" spans="1:20" hidden="1">
      <c r="A330" s="36"/>
      <c r="B330" s="36"/>
      <c r="C330" s="36"/>
      <c r="D330" s="36"/>
      <c r="E330" s="36"/>
      <c r="F330" s="36"/>
      <c r="G330" s="36"/>
      <c r="H330" s="36"/>
      <c r="I330" s="36"/>
      <c r="J330" s="39">
        <f>IF(AND(E16="bouwgrond",F25="broer/zuster"),H351,0)</f>
        <v>0</v>
      </c>
      <c r="K330" s="36"/>
      <c r="L330" s="36"/>
      <c r="N330" s="7" t="s">
        <v>77</v>
      </c>
    </row>
    <row r="331" spans="1:20" hidden="1">
      <c r="A331" s="37" t="s">
        <v>11</v>
      </c>
      <c r="B331" s="37"/>
      <c r="C331" s="37"/>
      <c r="D331" s="37"/>
      <c r="E331" s="36"/>
      <c r="F331" s="36"/>
      <c r="G331" s="38" t="s">
        <v>12</v>
      </c>
      <c r="H331" s="38" t="s">
        <v>13</v>
      </c>
      <c r="I331" s="36"/>
      <c r="J331" s="39">
        <f>IF(AND(E16="andere",F25="broer/zuster"),G351,0)</f>
        <v>0</v>
      </c>
      <c r="K331" s="36"/>
      <c r="L331" s="36"/>
    </row>
    <row r="332" spans="1:20" hidden="1">
      <c r="A332" s="36">
        <v>0</v>
      </c>
      <c r="B332" s="36"/>
      <c r="C332" s="36"/>
      <c r="D332" s="36"/>
      <c r="E332" s="36">
        <v>12500</v>
      </c>
      <c r="F332" s="36">
        <f>IF(AND(F329&gt;A332, F329&lt;=E332),F329,0)</f>
        <v>0</v>
      </c>
      <c r="G332" s="36">
        <f>0+(3/100)*(-A332+F332)</f>
        <v>0</v>
      </c>
      <c r="H332" s="36">
        <f>0+(1/100)*(-A332+F332)</f>
        <v>0</v>
      </c>
      <c r="I332" s="36"/>
      <c r="J332" s="39">
        <f>IF(AND(E16="bouwgrond",F25="oom-tante/neef-nicht"),J351,0)</f>
        <v>0</v>
      </c>
      <c r="K332" s="36"/>
      <c r="L332" s="36"/>
      <c r="M332" s="7" t="s">
        <v>78</v>
      </c>
      <c r="N332" s="7">
        <f>IF(I25=3,J337*12%,0)</f>
        <v>0</v>
      </c>
      <c r="O332" s="7">
        <f>IF(N332&gt;372,372,N332)</f>
        <v>0</v>
      </c>
      <c r="Q332" s="7" t="s">
        <v>79</v>
      </c>
      <c r="R332" s="7">
        <f>J337*6%</f>
        <v>0</v>
      </c>
      <c r="S332" s="7">
        <f>IF(R332&gt;186,186,R332)</f>
        <v>0</v>
      </c>
      <c r="T332" s="7">
        <f>IF(I25=3,S332,0)</f>
        <v>0</v>
      </c>
    </row>
    <row r="333" spans="1:20" hidden="1">
      <c r="A333" s="36">
        <f t="shared" ref="A333:A340" si="8">E332</f>
        <v>12500</v>
      </c>
      <c r="B333" s="36"/>
      <c r="C333" s="36"/>
      <c r="D333" s="36"/>
      <c r="E333" s="36">
        <v>25000</v>
      </c>
      <c r="F333" s="36">
        <f>IF(AND(F329&gt;A333, F329&lt;=E333),F329,0)</f>
        <v>0</v>
      </c>
      <c r="G333" s="36">
        <f>(12500/100*3)+(4/100)*(-A333+F333)</f>
        <v>-125</v>
      </c>
      <c r="H333" s="36">
        <f>(12500/100*1)+(2/100)*(-A333+F333)</f>
        <v>-125</v>
      </c>
      <c r="I333" s="36"/>
      <c r="J333" s="39">
        <f>IF(AND(E16="andere",F25="oom-tante/neef-nicht"),I351,0)</f>
        <v>0</v>
      </c>
      <c r="K333" s="36"/>
      <c r="N333" s="7">
        <f>IF(I25=4,J337*16%,0)</f>
        <v>0</v>
      </c>
      <c r="O333" s="7">
        <f>IF(N333&gt;496,496,N333)</f>
        <v>0</v>
      </c>
      <c r="Q333" s="7" t="s">
        <v>80</v>
      </c>
      <c r="R333" s="7">
        <f>J337*8%</f>
        <v>0</v>
      </c>
      <c r="S333" s="7">
        <f>IF(R333&gt;248,248,R333)</f>
        <v>0</v>
      </c>
      <c r="T333" s="7">
        <f>IF(I25=4,S333,0)</f>
        <v>0</v>
      </c>
    </row>
    <row r="334" spans="1:20" hidden="1">
      <c r="A334" s="36">
        <f t="shared" si="8"/>
        <v>25000</v>
      </c>
      <c r="B334" s="36"/>
      <c r="C334" s="36"/>
      <c r="D334" s="36"/>
      <c r="E334" s="36">
        <v>50000</v>
      </c>
      <c r="F334" s="36">
        <f>IF(AND(F329&gt;A334, F329&lt;=E334),F329,0)</f>
        <v>0</v>
      </c>
      <c r="G334" s="36">
        <f>(12500/100*3)+(12500/100*4)+((5/100)*(-A334+F334))</f>
        <v>-375</v>
      </c>
      <c r="H334" s="36">
        <f>(12500/100*1)+(12500/100*2)+((3/100)*(-A334+F334))</f>
        <v>-375</v>
      </c>
      <c r="I334" s="36"/>
      <c r="J334" s="39">
        <f>IF(AND(E16="bouwgrond",F25="vreemden"),L351,0)</f>
        <v>0</v>
      </c>
      <c r="K334" s="36"/>
      <c r="L334" s="36"/>
      <c r="N334" s="7">
        <f>IF(I25=5,J337*20%,0)</f>
        <v>0</v>
      </c>
      <c r="O334" s="7">
        <f>IF(N334&gt;620,620,N334)</f>
        <v>0</v>
      </c>
      <c r="R334" s="7">
        <f>J337*10%</f>
        <v>0</v>
      </c>
      <c r="S334" s="7">
        <f>IF(R334&gt;310,310,R334)</f>
        <v>0</v>
      </c>
      <c r="T334" s="7">
        <f>IF(I25=5,S334,0)</f>
        <v>0</v>
      </c>
    </row>
    <row r="335" spans="1:20" hidden="1">
      <c r="A335" s="36">
        <f t="shared" si="8"/>
        <v>50000</v>
      </c>
      <c r="B335" s="36"/>
      <c r="C335" s="36"/>
      <c r="D335" s="36"/>
      <c r="E335" s="36">
        <v>100000</v>
      </c>
      <c r="F335" s="36">
        <f>IF(AND(F329&gt;A335, F329&lt;=E335),F329,0)</f>
        <v>0</v>
      </c>
      <c r="G335" s="36">
        <f>(12500/100*3)+(12500/100*4)+(25000/100*5)+((7/100)*(-A335+F335))</f>
        <v>-1375.0000000000005</v>
      </c>
      <c r="H335" s="36">
        <f>(12500/100*1)+(12500/100*2)+(25000/100*3)+((5/100)*(-A335+F335))</f>
        <v>-1375</v>
      </c>
      <c r="I335" s="36"/>
      <c r="J335" s="39">
        <f>IF(AND(E16="andere",F25="vreemden"),K351,0)</f>
        <v>0</v>
      </c>
      <c r="K335" s="36"/>
      <c r="L335" s="36"/>
      <c r="N335" s="7">
        <f>IF(I25=6,J337*24%,0)</f>
        <v>0</v>
      </c>
      <c r="O335" s="7">
        <f>IF(N335&gt;744,744,N335)</f>
        <v>0</v>
      </c>
      <c r="R335" s="7">
        <f>J337*12%</f>
        <v>0</v>
      </c>
      <c r="S335" s="7">
        <f>IF(R335&gt;372,372,R335)</f>
        <v>0</v>
      </c>
      <c r="T335" s="7">
        <f>IF(I25=6,S335,0)</f>
        <v>0</v>
      </c>
    </row>
    <row r="336" spans="1:20" hidden="1">
      <c r="A336" s="36">
        <f t="shared" si="8"/>
        <v>100000</v>
      </c>
      <c r="B336" s="36"/>
      <c r="C336" s="36"/>
      <c r="D336" s="36"/>
      <c r="E336" s="36">
        <v>150000</v>
      </c>
      <c r="F336" s="36">
        <f>IF(AND(F329&gt;A336, F329&lt;=E336),F329,0)</f>
        <v>0</v>
      </c>
      <c r="G336" s="36">
        <f>(12500/100*3)+(12500/100*4)+(25000/100*5)+(50000/100*7)+((10/100)*(-A336+F336))</f>
        <v>-4375</v>
      </c>
      <c r="H336" s="36">
        <f>(12500/100*1)+(12500/100*2)+(25000/100*3)+(50000/100*5)+((8/100)*(-A336+F336))</f>
        <v>-4375</v>
      </c>
      <c r="I336" s="36"/>
      <c r="J336" s="36"/>
      <c r="K336" s="36"/>
      <c r="L336" s="36"/>
      <c r="N336" s="7">
        <f>IF(I25=7,J337*28%,0)</f>
        <v>0</v>
      </c>
      <c r="O336" s="7">
        <f>IF(N336&gt;868,868,N336)</f>
        <v>0</v>
      </c>
      <c r="R336" s="7">
        <f>J337*14%</f>
        <v>0</v>
      </c>
      <c r="S336" s="7">
        <f>IF(R336&gt;434,434,R336)</f>
        <v>0</v>
      </c>
      <c r="T336" s="7">
        <f>IF(I25=7,S336,0)</f>
        <v>0</v>
      </c>
    </row>
    <row r="337" spans="1:20" hidden="1">
      <c r="A337" s="36">
        <f t="shared" si="8"/>
        <v>150000</v>
      </c>
      <c r="B337" s="36"/>
      <c r="C337" s="36"/>
      <c r="D337" s="36"/>
      <c r="E337" s="36">
        <v>200000</v>
      </c>
      <c r="F337" s="36">
        <f>IF(AND(F329&gt;A337, F329&lt;=E337),F329,0)</f>
        <v>0</v>
      </c>
      <c r="G337" s="36">
        <f>(12500/100*3)+(12500/100*4)+(25000/100*5)+(50000/100*7)+(50000/100*10)+((14/100)*(-A337+F337))</f>
        <v>-10375.000000000004</v>
      </c>
      <c r="H337" s="36">
        <f>(12500/100*1)+(12500/100*2)+(25000/100*3)+(50000/100*5)+(50000/100*8)+((14/100)*(-A337+F337))</f>
        <v>-13375.000000000004</v>
      </c>
      <c r="I337" s="36"/>
      <c r="J337" s="36">
        <f>SUM(J326:J335)</f>
        <v>0</v>
      </c>
      <c r="K337" s="36"/>
      <c r="L337" s="36"/>
      <c r="N337" s="7">
        <f>IF(I25=8,J337*32%,0)</f>
        <v>0</v>
      </c>
      <c r="O337" s="7">
        <f>IF(N337&gt;992,992,N337)</f>
        <v>0</v>
      </c>
      <c r="R337" s="7">
        <f>J337*16%</f>
        <v>0</v>
      </c>
      <c r="S337" s="7">
        <f>IF(R337&gt;496,496,R337)</f>
        <v>0</v>
      </c>
      <c r="T337" s="7">
        <f>IF(I25=8,S337,0)</f>
        <v>0</v>
      </c>
    </row>
    <row r="338" spans="1:20" hidden="1">
      <c r="A338" s="36">
        <f t="shared" si="8"/>
        <v>200000</v>
      </c>
      <c r="B338" s="36"/>
      <c r="C338" s="36"/>
      <c r="D338" s="36"/>
      <c r="E338" s="36">
        <v>250000</v>
      </c>
      <c r="F338" s="36">
        <f>IF(AND(F329&gt;A338, F329&lt;=E338),F329,0)</f>
        <v>0</v>
      </c>
      <c r="G338" s="36">
        <f>(12500/100*3)+(12500/100*4)+(25000/100*5)+(50000/100*7)+(50000/100*10)+(50000/100*14)+((18/100)*(-A338+F338))</f>
        <v>-18375</v>
      </c>
      <c r="H338" s="36">
        <f>(12500/100*1)+(12500/100*2)+(25000/100*3)+(50000/100*5)+(50000/100*8)+(50000/100*14)+((18/100)*(-A338+F338))</f>
        <v>-21375</v>
      </c>
      <c r="I338" s="36"/>
      <c r="J338" s="36"/>
      <c r="K338" s="36"/>
      <c r="L338" s="36"/>
      <c r="N338" s="7">
        <f>IF(I25=9,J337*36%,0)</f>
        <v>0</v>
      </c>
      <c r="O338" s="7">
        <f>IF(N338&gt;1116,1116,N338)</f>
        <v>0</v>
      </c>
      <c r="R338" s="7">
        <f>J337*18%</f>
        <v>0</v>
      </c>
      <c r="S338" s="7">
        <f>IF(R338&gt;558,558,R338)</f>
        <v>0</v>
      </c>
      <c r="T338" s="7">
        <f>IF(I25=9,S338,0)</f>
        <v>0</v>
      </c>
    </row>
    <row r="339" spans="1:20" hidden="1">
      <c r="A339" s="36">
        <f t="shared" si="8"/>
        <v>250000</v>
      </c>
      <c r="B339" s="36"/>
      <c r="C339" s="36"/>
      <c r="D339" s="36"/>
      <c r="E339" s="36">
        <v>500000</v>
      </c>
      <c r="F339" s="36">
        <f>IF(AND(F329&gt;A339, F329&lt;=E339),F329,0)</f>
        <v>0</v>
      </c>
      <c r="G339" s="36">
        <f>(12500/100*3)+(12500/100*4)+(25000/100*5)+(50000/100*7)+(50000/100*10)+(50000/100*14)+(50000/100*18)+((24/100)*(-A339+F339))</f>
        <v>-33375</v>
      </c>
      <c r="H339" s="36">
        <f>(12500/100*1)+(12500/100*2)+(25000/100*3)+(50000/100*5)+(50000/100*8)+(50000/100*14)+(50000/100*18)+((24/100)*(-A339+F339))</f>
        <v>-36375</v>
      </c>
      <c r="I339" s="36"/>
      <c r="J339" s="36"/>
      <c r="K339" s="36"/>
      <c r="L339" s="36"/>
      <c r="N339" s="7">
        <f>IF(I25=10,J337*40%,0)</f>
        <v>0</v>
      </c>
      <c r="O339" s="7">
        <f>IF(N339&gt;1240,1240,N339)</f>
        <v>0</v>
      </c>
      <c r="R339" s="7">
        <f>J337*20%</f>
        <v>0</v>
      </c>
      <c r="S339" s="7">
        <f>IF(R339&gt;620,620,R339)</f>
        <v>0</v>
      </c>
      <c r="T339" s="7">
        <f>IF(I25=10,S339,0)</f>
        <v>0</v>
      </c>
    </row>
    <row r="340" spans="1:20" hidden="1">
      <c r="A340" s="36">
        <f t="shared" si="8"/>
        <v>500000</v>
      </c>
      <c r="B340" s="36"/>
      <c r="C340" s="36"/>
      <c r="D340" s="36"/>
      <c r="E340" s="36">
        <v>999999999</v>
      </c>
      <c r="F340" s="36">
        <f>IF(AND(F329&gt;A340, F329&lt;=E340),F329,0)</f>
        <v>0</v>
      </c>
      <c r="G340" s="36">
        <f>(12500/100*3)+(12500/100*4)+(25000/100*5)+(50000/100*7)+(50000/100*10)+(50000/100*14)+(50000/100*18)+(250000/100*24)+((30/100)*(-A340+F340))</f>
        <v>-63375</v>
      </c>
      <c r="H340" s="36">
        <f>(12500/100*1)+(12500/100*2)+(25000/100*3)+(50000/100*5)+(50000/100*8)+(50000/100*14)+(50000/100*18)+(250000/100*24)+((30/100)*(-A340+F340))</f>
        <v>-66375</v>
      </c>
      <c r="I340" s="36"/>
      <c r="J340" s="36"/>
      <c r="K340" s="36"/>
      <c r="L340" s="36"/>
    </row>
    <row r="341" spans="1:20" hidden="1">
      <c r="A341" s="42" t="s">
        <v>14</v>
      </c>
      <c r="B341" s="42"/>
      <c r="C341" s="42"/>
      <c r="D341" s="42"/>
      <c r="E341" s="36"/>
      <c r="F341" s="36"/>
      <c r="G341" s="36">
        <f>VLOOKUP(F329,F332:G340,2,FALSE)</f>
        <v>0</v>
      </c>
      <c r="H341" s="36">
        <f>VLOOKUP(F329,F332:H340,3,FALSE)</f>
        <v>0</v>
      </c>
      <c r="I341" s="36"/>
      <c r="J341" s="36"/>
      <c r="K341" s="36"/>
      <c r="L341" s="43"/>
      <c r="O341" s="7">
        <f>SUM(O332:O340)</f>
        <v>0</v>
      </c>
      <c r="T341" s="7">
        <f>SUM(T332:T340)</f>
        <v>0</v>
      </c>
    </row>
    <row r="342" spans="1:20" hidden="1">
      <c r="A342" s="36"/>
      <c r="B342" s="36"/>
      <c r="C342" s="36"/>
      <c r="D342" s="36"/>
      <c r="E342" s="36"/>
      <c r="F342" s="36"/>
      <c r="G342" s="36"/>
      <c r="H342" s="36"/>
      <c r="I342" s="36"/>
      <c r="J342" s="36"/>
      <c r="K342" s="36"/>
      <c r="L342" s="43"/>
      <c r="O342" s="29"/>
    </row>
    <row r="343" spans="1:20" hidden="1">
      <c r="A343" s="36"/>
      <c r="B343" s="36"/>
      <c r="C343" s="36"/>
      <c r="D343" s="36"/>
      <c r="E343" s="36"/>
      <c r="F343" s="36"/>
      <c r="G343" s="36"/>
      <c r="H343" s="36"/>
      <c r="I343" s="36"/>
      <c r="J343" s="36"/>
      <c r="K343" s="36"/>
      <c r="L343" s="43"/>
      <c r="O343" s="29"/>
    </row>
    <row r="344" spans="1:20" hidden="1">
      <c r="A344" s="37" t="s">
        <v>15</v>
      </c>
      <c r="B344" s="37"/>
      <c r="C344" s="37"/>
      <c r="D344" s="37"/>
      <c r="E344" s="36"/>
      <c r="F344" s="36"/>
      <c r="G344" s="38" t="s">
        <v>16</v>
      </c>
      <c r="H344" s="38" t="s">
        <v>17</v>
      </c>
      <c r="I344" s="35" t="s">
        <v>18</v>
      </c>
      <c r="J344" s="35" t="s">
        <v>19</v>
      </c>
      <c r="K344" s="35" t="s">
        <v>20</v>
      </c>
      <c r="L344" s="35" t="s">
        <v>21</v>
      </c>
      <c r="O344" s="29"/>
    </row>
    <row r="345" spans="1:20" hidden="1">
      <c r="A345" s="36">
        <v>0</v>
      </c>
      <c r="B345" s="36"/>
      <c r="C345" s="36"/>
      <c r="D345" s="36"/>
      <c r="E345" s="36">
        <v>12500</v>
      </c>
      <c r="F345" s="36">
        <f>IF(AND(F329&gt;A345, F329&lt;=E345),F329,0)</f>
        <v>0</v>
      </c>
      <c r="G345" s="36">
        <f>0+(20/100)*(-A345+F345)</f>
        <v>0</v>
      </c>
      <c r="H345" s="36">
        <f>0+(10/100)*(-A345+F345)</f>
        <v>0</v>
      </c>
      <c r="I345" s="36">
        <f>0+(25/100)*(-A345+F345)</f>
        <v>0</v>
      </c>
      <c r="J345" s="36">
        <f>0+(10/100)*(-A345+F345)</f>
        <v>0</v>
      </c>
      <c r="K345" s="36">
        <f>0+(30/100)*(-A345+F345)</f>
        <v>0</v>
      </c>
      <c r="L345" s="36">
        <f>0+(10/100)*(-A345+F345)</f>
        <v>0</v>
      </c>
      <c r="M345" s="7" t="s">
        <v>81</v>
      </c>
      <c r="N345" s="16">
        <f>J337-O341</f>
        <v>0</v>
      </c>
      <c r="O345" s="29"/>
      <c r="P345" s="7" t="s">
        <v>82</v>
      </c>
      <c r="Q345" s="44">
        <f>J337-T341</f>
        <v>0</v>
      </c>
    </row>
    <row r="346" spans="1:20" hidden="1">
      <c r="A346" s="36">
        <f>E345</f>
        <v>12500</v>
      </c>
      <c r="B346" s="36"/>
      <c r="C346" s="36"/>
      <c r="D346" s="36"/>
      <c r="E346" s="36">
        <v>25000</v>
      </c>
      <c r="F346" s="36">
        <f>IF(AND(F329&gt;A346, F329&lt;=E346),F329,0)</f>
        <v>0</v>
      </c>
      <c r="G346" s="36">
        <f>(12500/100*20)+((25/100)*(-A346+F346))</f>
        <v>-625</v>
      </c>
      <c r="H346" s="36">
        <f>(12500/100*10)+((10/100)*(-A346+F346))</f>
        <v>0</v>
      </c>
      <c r="I346" s="36">
        <f>(12500/100*25)+((30/100)*(-A346+F346))</f>
        <v>-625</v>
      </c>
      <c r="J346" s="36">
        <f>(12500/100*10)+((10/100)*(-A346+F346))</f>
        <v>0</v>
      </c>
      <c r="K346" s="36">
        <f>(12500/100*30)+((35/100)*(-A346+F346))</f>
        <v>-625</v>
      </c>
      <c r="L346" s="36">
        <f>(12500/100*10)+((10/100)*(-A346+F346))</f>
        <v>0</v>
      </c>
    </row>
    <row r="347" spans="1:20" hidden="1">
      <c r="A347" s="36">
        <f>E346</f>
        <v>25000</v>
      </c>
      <c r="B347" s="36"/>
      <c r="C347" s="36"/>
      <c r="D347" s="36"/>
      <c r="E347" s="36">
        <v>75000</v>
      </c>
      <c r="F347" s="36">
        <f>IF(AND(F329&gt;A347, F329&lt;=E347),F329,0)</f>
        <v>0</v>
      </c>
      <c r="G347" s="36">
        <f>(12500/100*20)+(12500/100*25)+((35/100)*(-A347+F347))</f>
        <v>-3125</v>
      </c>
      <c r="H347" s="36">
        <f>(12500/100*10)+(12500/100*10)+((10/100)*(-A347+F347))</f>
        <v>0</v>
      </c>
      <c r="I347" s="36">
        <f>(12500/100*25)+(12500/100*30)+((40/100)*(-A347+F347))</f>
        <v>-3125</v>
      </c>
      <c r="J347" s="36">
        <f>(12500/100*10)+(12500/100*10)+((10/100)*(-A347+F347))</f>
        <v>0</v>
      </c>
      <c r="K347" s="36">
        <f>(12500/100*30)+(12500/100*35)+((50/100)*(-A347+F347))</f>
        <v>-4375</v>
      </c>
      <c r="L347" s="36">
        <f>(12500/100*10)+(12500/100*10)+((10/100)*(-A347+F347))</f>
        <v>0</v>
      </c>
      <c r="O347" s="7">
        <f>(IF(F25="echtgeno(o)t(e)",N345,Q345))</f>
        <v>0</v>
      </c>
    </row>
    <row r="348" spans="1:20" hidden="1">
      <c r="A348" s="36">
        <f>E347</f>
        <v>75000</v>
      </c>
      <c r="B348" s="36"/>
      <c r="C348" s="36"/>
      <c r="D348" s="36"/>
      <c r="E348" s="36">
        <v>150000</v>
      </c>
      <c r="F348" s="36">
        <f>IF(AND(F329&gt;A348, F329&lt;=E348),F329,0)</f>
        <v>0</v>
      </c>
      <c r="G348" s="36">
        <f>(12500/100*20)+(12500/100*25)+(50000/100*35)+((50/100)*(-A348+F348))</f>
        <v>-14375</v>
      </c>
      <c r="H348" s="36">
        <f>(12500/100*10)+(12500/100*10)+(50000/100*10)+((10/100)*(-A348+F348))</f>
        <v>0</v>
      </c>
      <c r="I348" s="36">
        <f>(12500/100*25)+(12500/100*30)+(50000/100*40)+((55/100)*(-A348+F348))</f>
        <v>-14375</v>
      </c>
      <c r="J348" s="36">
        <f>(12500/100*10)+(12500/100*10)+(50000/100*10)+((10/100)*(-A348+F348))</f>
        <v>0</v>
      </c>
      <c r="K348" s="36">
        <f>(12500/100*30)+(12500/100*35)+(50000/100*50)+((65/100)*(-A348+F348))</f>
        <v>-15625</v>
      </c>
      <c r="L348" s="36">
        <f>(12500/100*10)+(12500/100*10)+(50000/100*10)+((10/100)*(-A348+F348))</f>
        <v>0</v>
      </c>
    </row>
    <row r="349" spans="1:20" hidden="1">
      <c r="A349" s="36">
        <v>150000</v>
      </c>
      <c r="B349" s="36"/>
      <c r="C349" s="36"/>
      <c r="D349" s="36"/>
      <c r="E349" s="36">
        <v>175000</v>
      </c>
      <c r="F349" s="36">
        <f>IF(AND(F329&gt;A349, F329&lt;=E349),F329,0)</f>
        <v>0</v>
      </c>
      <c r="G349" s="36">
        <f>(12500/100*20)+(12500/100*25)+(50000/100*35)+(75000/100*50)+((50/100)*(-A349+F349))</f>
        <v>-14375</v>
      </c>
      <c r="H349" s="36">
        <f>(12500/100*10)+(12500/100*10)+(50000/100*10)+(75000/100*10)+((50/100)*(-A349+F349))</f>
        <v>-60000</v>
      </c>
      <c r="I349" s="36">
        <f>(12500/100*25)+(12500/100*30)+(50000/100*40)+(75000/100*55)+((55/100)*(-A349+F349))</f>
        <v>-14375</v>
      </c>
      <c r="J349" s="36">
        <f>(12500/100*10)+(12500/100*10)+(50000/100*10)+(75000/100*10)+((55/100)*(-A349+F349))</f>
        <v>-67500</v>
      </c>
      <c r="K349" s="36">
        <f>(12500/100*30)+(12500/100*35)+(50000/100*50)+(75000/100*65)+((65/100)*(-A349+F349))</f>
        <v>-15625</v>
      </c>
      <c r="L349" s="36">
        <f>(12500/100*10)+(12500/100*10)+(50000/100*10)+(75000/100*10)+((65/100)*(-A349+F349))</f>
        <v>-82500</v>
      </c>
    </row>
    <row r="350" spans="1:20" hidden="1">
      <c r="A350" s="36">
        <v>175000</v>
      </c>
      <c r="B350" s="36"/>
      <c r="C350" s="36"/>
      <c r="D350" s="36"/>
      <c r="E350" s="36">
        <v>999999999</v>
      </c>
      <c r="F350" s="36">
        <f>IF(AND(F329&gt;A350, F329&lt;=E350),F329,0)</f>
        <v>0</v>
      </c>
      <c r="G350" s="36">
        <f>(12500/100*20)+(12500/100*25)+(50000/100*35)+(75000/100*50)+(25000/100*50)+((65/100)*(-A350+F350))</f>
        <v>-40625</v>
      </c>
      <c r="H350" s="36">
        <f>(12500/100*10)+(12500/100*10)+(50000/100*10)+(75000/100*10)+(25000/100*50)+((65/100)*(-A350+F350))</f>
        <v>-86250</v>
      </c>
      <c r="I350" s="36">
        <f>(12500/100*25)+(12500/100*30)+(50000/100*40)+(75000/100*55)+(25000/100*55)+((70/100)*(-A350+F350))</f>
        <v>-40624.999999999985</v>
      </c>
      <c r="J350" s="36">
        <f>(12500/100*10)+(12500/100*10)+(50000/100*10)+(75000/100*10)+(25000/100*55)+((70/100)*(-A350+F350))</f>
        <v>-93749.999999999985</v>
      </c>
      <c r="K350" s="36">
        <f>(12500/100*30)+(12500/100*35)+(50000/100*50)+(75000/100*65)+(25000/100*65)+((80/100)*(-A350+F350))</f>
        <v>-41875</v>
      </c>
      <c r="L350" s="36">
        <f>(12500/100*10)+(12500/100*10)+(50000/100*10)+(75000/100*10)+(25000/100*65)+((80/100)*(-A350+F350))</f>
        <v>-108750</v>
      </c>
    </row>
    <row r="351" spans="1:20" hidden="1">
      <c r="A351" s="42" t="s">
        <v>14</v>
      </c>
      <c r="B351" s="42"/>
      <c r="C351" s="42"/>
      <c r="D351" s="42"/>
      <c r="E351" s="36"/>
      <c r="F351" s="36"/>
      <c r="G351" s="36">
        <f>VLOOKUP(F329,F345:G350,2,FALSE)</f>
        <v>0</v>
      </c>
      <c r="H351" s="36">
        <f>VLOOKUP(F329,F345:H350,3,FALSE)</f>
        <v>0</v>
      </c>
      <c r="I351" s="36">
        <f>VLOOKUP(F329,F345:I350,4,FALSE)</f>
        <v>0</v>
      </c>
      <c r="J351" s="36">
        <f>VLOOKUP(F329,F345:J350,5,FALSE)</f>
        <v>0</v>
      </c>
      <c r="K351" s="36">
        <f>VLOOKUP(F329,F345:K350,6,FALSE)</f>
        <v>0</v>
      </c>
      <c r="L351" s="36">
        <f>VLOOKUP(F329,F345:L350,7,FALSE)</f>
        <v>0</v>
      </c>
    </row>
    <row r="352" spans="1:20" hidden="1"/>
    <row r="353" hidden="1"/>
    <row r="354" hidden="1"/>
    <row r="355" hidden="1"/>
    <row r="356" hidden="1"/>
    <row r="357" hidden="1"/>
    <row r="358" hidden="1"/>
    <row r="359" hidden="1"/>
    <row r="360" hidden="1"/>
    <row r="361" hidden="1"/>
    <row r="362" hidden="1"/>
    <row r="363" hidden="1"/>
    <row r="364" hidden="1"/>
    <row r="365" hidden="1"/>
    <row r="366" hidden="1"/>
    <row r="367" hidden="1"/>
    <row r="368" hidden="1"/>
    <row r="369" hidden="1"/>
    <row r="370" hidden="1"/>
    <row r="371" hidden="1"/>
    <row r="372" hidden="1"/>
    <row r="373" hidden="1"/>
    <row r="374" hidden="1"/>
    <row r="375" hidden="1"/>
    <row r="376" hidden="1"/>
    <row r="377" hidden="1"/>
    <row r="378" hidden="1"/>
    <row r="379" hidden="1"/>
    <row r="380" hidden="1"/>
    <row r="381" hidden="1"/>
    <row r="382" hidden="1"/>
    <row r="383" hidden="1"/>
    <row r="384" hidden="1"/>
    <row r="385" hidden="1"/>
    <row r="386" hidden="1"/>
    <row r="387" hidden="1"/>
    <row r="388" hidden="1"/>
    <row r="389" hidden="1"/>
    <row r="390" hidden="1"/>
    <row r="391" hidden="1"/>
    <row r="392" hidden="1"/>
    <row r="393" hidden="1"/>
    <row r="394" hidden="1"/>
    <row r="395" hidden="1"/>
    <row r="396" hidden="1"/>
    <row r="397" hidden="1"/>
    <row r="398" hidden="1"/>
    <row r="399" hidden="1"/>
    <row r="400" hidden="1"/>
    <row r="401" hidden="1"/>
    <row r="402" hidden="1"/>
    <row r="403" hidden="1"/>
    <row r="404" hidden="1"/>
    <row r="405" hidden="1"/>
    <row r="406" hidden="1"/>
    <row r="407" hidden="1"/>
    <row r="408" hidden="1"/>
    <row r="409" hidden="1"/>
    <row r="410" hidden="1"/>
    <row r="411" hidden="1"/>
    <row r="412" hidden="1"/>
    <row r="413" hidden="1"/>
    <row r="414" hidden="1"/>
    <row r="415" hidden="1"/>
    <row r="416" hidden="1"/>
    <row r="417" spans="1:12" hidden="1"/>
    <row r="418" spans="1:12" hidden="1"/>
    <row r="419" spans="1:12" hidden="1"/>
    <row r="420" spans="1:12" hidden="1"/>
    <row r="421" spans="1:12" hidden="1"/>
    <row r="422" spans="1:12" hidden="1"/>
    <row r="423" spans="1:12" hidden="1"/>
    <row r="424" spans="1:12" hidden="1"/>
    <row r="425" spans="1:12" hidden="1"/>
    <row r="426" spans="1:12" hidden="1"/>
    <row r="427" spans="1:12" hidden="1"/>
    <row r="428" spans="1:12" hidden="1"/>
    <row r="429" spans="1:12" hidden="1">
      <c r="E429" s="24"/>
      <c r="G429" s="24"/>
      <c r="J429" s="7">
        <f>IF(AND(E16="bouwgrond",F30="echtgeno(o)t(e)"),H444,0)</f>
        <v>0</v>
      </c>
    </row>
    <row r="430" spans="1:12" hidden="1">
      <c r="E430" s="24"/>
      <c r="G430" s="24"/>
      <c r="J430" s="7">
        <f>IF(AND(E16="andere",F30="echtgeno(o)t(e)"),G444,0)</f>
        <v>0</v>
      </c>
    </row>
    <row r="431" spans="1:12" hidden="1">
      <c r="A431" s="35"/>
      <c r="B431" s="35"/>
      <c r="C431" s="35"/>
      <c r="D431" s="35"/>
      <c r="E431" s="36"/>
      <c r="F431" s="37"/>
      <c r="G431" s="36"/>
      <c r="H431" s="36"/>
      <c r="I431" s="38"/>
      <c r="J431" s="39">
        <f>IF(AND(E16="bouwgrond",F30="rechte lijn"),H444,0)</f>
        <v>0</v>
      </c>
      <c r="K431" s="38"/>
      <c r="L431" s="40"/>
    </row>
    <row r="432" spans="1:12" hidden="1">
      <c r="A432" s="36" t="s">
        <v>10</v>
      </c>
      <c r="B432" s="36"/>
      <c r="C432" s="36"/>
      <c r="D432" s="36"/>
      <c r="E432" s="36"/>
      <c r="F432" s="36">
        <f>G30</f>
        <v>0</v>
      </c>
      <c r="G432" s="41"/>
      <c r="H432" s="36"/>
      <c r="I432" s="36"/>
      <c r="J432" s="39">
        <f>IF(AND(E16="andere",F30="rechte lijn"),G444,0)</f>
        <v>0</v>
      </c>
      <c r="K432" s="36"/>
      <c r="L432" s="40"/>
    </row>
    <row r="433" spans="1:20" hidden="1">
      <c r="A433" s="36"/>
      <c r="B433" s="36"/>
      <c r="C433" s="36"/>
      <c r="D433" s="36"/>
      <c r="E433" s="36"/>
      <c r="F433" s="36"/>
      <c r="G433" s="36"/>
      <c r="H433" s="36"/>
      <c r="I433" s="36"/>
      <c r="J433" s="39">
        <f>IF(AND(E16="bouwgrond",F30="broer/zuster"),H454,0)</f>
        <v>0</v>
      </c>
      <c r="K433" s="36"/>
      <c r="L433" s="36"/>
      <c r="N433" s="7" t="s">
        <v>77</v>
      </c>
    </row>
    <row r="434" spans="1:20" hidden="1">
      <c r="A434" s="37" t="s">
        <v>11</v>
      </c>
      <c r="B434" s="37"/>
      <c r="C434" s="37"/>
      <c r="D434" s="37"/>
      <c r="E434" s="36"/>
      <c r="F434" s="36"/>
      <c r="G434" s="38" t="s">
        <v>12</v>
      </c>
      <c r="H434" s="38" t="s">
        <v>13</v>
      </c>
      <c r="I434" s="36"/>
      <c r="J434" s="39">
        <f>IF(AND(E16="andere",F30="broer/zuster"),G454,0)</f>
        <v>0</v>
      </c>
      <c r="K434" s="36"/>
      <c r="L434" s="36"/>
    </row>
    <row r="435" spans="1:20" hidden="1">
      <c r="A435" s="36">
        <v>0</v>
      </c>
      <c r="B435" s="36"/>
      <c r="C435" s="36"/>
      <c r="D435" s="36"/>
      <c r="E435" s="36">
        <v>12500</v>
      </c>
      <c r="F435" s="36">
        <f>IF(AND(F432&gt;A435, F432&lt;=E435),F432,0)</f>
        <v>0</v>
      </c>
      <c r="G435" s="36">
        <f>0+(3/100)*(-A435+F435)</f>
        <v>0</v>
      </c>
      <c r="H435" s="36">
        <f>0+(1/100)*(-A435+F435)</f>
        <v>0</v>
      </c>
      <c r="I435" s="36"/>
      <c r="J435" s="39">
        <f>IF(AND(E16="bouwgrond",F30="oom-tante/neef-nicht"),J454,0)</f>
        <v>0</v>
      </c>
      <c r="K435" s="36"/>
      <c r="L435" s="36"/>
      <c r="M435" s="7" t="s">
        <v>78</v>
      </c>
      <c r="N435" s="7">
        <f>IF(I30=3,J440*12%,0)</f>
        <v>0</v>
      </c>
      <c r="O435" s="7">
        <f>IF(N435&gt;372,372,N435)</f>
        <v>0</v>
      </c>
      <c r="Q435" s="7" t="s">
        <v>79</v>
      </c>
      <c r="R435" s="7">
        <f>J440*6%</f>
        <v>0</v>
      </c>
      <c r="S435" s="7">
        <f>IF(R435&gt;186,186,R435)</f>
        <v>0</v>
      </c>
      <c r="T435" s="7">
        <f>IF(I30=3,S435,0)</f>
        <v>0</v>
      </c>
    </row>
    <row r="436" spans="1:20" hidden="1">
      <c r="A436" s="36">
        <f t="shared" ref="A436:A443" si="9">E435</f>
        <v>12500</v>
      </c>
      <c r="B436" s="36"/>
      <c r="C436" s="36"/>
      <c r="D436" s="36"/>
      <c r="E436" s="36">
        <v>25000</v>
      </c>
      <c r="F436" s="36">
        <f>IF(AND(F432&gt;A436, F432&lt;=E436),F432,0)</f>
        <v>0</v>
      </c>
      <c r="G436" s="36">
        <f>(12500/100*3)+(4/100)*(-A436+F436)</f>
        <v>-125</v>
      </c>
      <c r="H436" s="36">
        <f>(12500/100*1)+(2/100)*(-A436+F436)</f>
        <v>-125</v>
      </c>
      <c r="I436" s="36"/>
      <c r="J436" s="39">
        <f>IF(AND(E16="andere",F30="oom-tante/neef-nicht"),I454,0)</f>
        <v>0</v>
      </c>
      <c r="K436" s="36"/>
      <c r="N436" s="7">
        <f>IF(I30=4,J440*16%,0)</f>
        <v>0</v>
      </c>
      <c r="O436" s="7">
        <f>IF(N436&gt;496,496,N436)</f>
        <v>0</v>
      </c>
      <c r="Q436" s="7" t="s">
        <v>80</v>
      </c>
      <c r="R436" s="7">
        <f>J440*8%</f>
        <v>0</v>
      </c>
      <c r="S436" s="7">
        <f>IF(R436&gt;248,248,R436)</f>
        <v>0</v>
      </c>
      <c r="T436" s="7">
        <f>IF(I30=4,S436,0)</f>
        <v>0</v>
      </c>
    </row>
    <row r="437" spans="1:20" hidden="1">
      <c r="A437" s="36">
        <f t="shared" si="9"/>
        <v>25000</v>
      </c>
      <c r="B437" s="36"/>
      <c r="C437" s="36"/>
      <c r="D437" s="36"/>
      <c r="E437" s="36">
        <v>50000</v>
      </c>
      <c r="F437" s="36">
        <f>IF(AND(F432&gt;A437, F432&lt;=E437),F432,0)</f>
        <v>0</v>
      </c>
      <c r="G437" s="36">
        <f>(12500/100*3)+(12500/100*4)+((5/100)*(-A437+F437))</f>
        <v>-375</v>
      </c>
      <c r="H437" s="36">
        <f>(12500/100*1)+(12500/100*2)+((3/100)*(-A437+F437))</f>
        <v>-375</v>
      </c>
      <c r="I437" s="36"/>
      <c r="J437" s="39">
        <f>IF(AND(E16="bouwgrond",F30="vreemden"),L454,0)</f>
        <v>0</v>
      </c>
      <c r="K437" s="36"/>
      <c r="L437" s="36"/>
      <c r="N437" s="7">
        <f>IF(I30=5,J440*20%,0)</f>
        <v>0</v>
      </c>
      <c r="O437" s="7">
        <f>IF(N437&gt;620,620,N437)</f>
        <v>0</v>
      </c>
      <c r="R437" s="7">
        <f>J440*10%</f>
        <v>0</v>
      </c>
      <c r="S437" s="7">
        <f>IF(R437&gt;310,310,R437)</f>
        <v>0</v>
      </c>
      <c r="T437" s="7">
        <f>IF(I30=5,S437,0)</f>
        <v>0</v>
      </c>
    </row>
    <row r="438" spans="1:20" hidden="1">
      <c r="A438" s="36">
        <f t="shared" si="9"/>
        <v>50000</v>
      </c>
      <c r="B438" s="36"/>
      <c r="C438" s="36"/>
      <c r="D438" s="36"/>
      <c r="E438" s="36">
        <v>100000</v>
      </c>
      <c r="F438" s="36">
        <f>IF(AND(F432&gt;A438, F432&lt;=E438),F432,0)</f>
        <v>0</v>
      </c>
      <c r="G438" s="36">
        <f>(12500/100*3)+(12500/100*4)+(25000/100*5)+((7/100)*(-A438+F438))</f>
        <v>-1375.0000000000005</v>
      </c>
      <c r="H438" s="36">
        <f>(12500/100*1)+(12500/100*2)+(25000/100*3)+((5/100)*(-A438+F438))</f>
        <v>-1375</v>
      </c>
      <c r="I438" s="36"/>
      <c r="J438" s="39">
        <f>IF(AND(E16="andere",F30="vreemden"),K454,0)</f>
        <v>0</v>
      </c>
      <c r="K438" s="36"/>
      <c r="L438" s="36"/>
      <c r="N438" s="7">
        <f>IF(I30=6,J440*24%,0)</f>
        <v>0</v>
      </c>
      <c r="O438" s="7">
        <f>IF(N438&gt;744,744,N438)</f>
        <v>0</v>
      </c>
      <c r="R438" s="7">
        <f>J440*12%</f>
        <v>0</v>
      </c>
      <c r="S438" s="7">
        <f>IF(R438&gt;372,372,R438)</f>
        <v>0</v>
      </c>
      <c r="T438" s="7">
        <f>IF(I30=6,S438,0)</f>
        <v>0</v>
      </c>
    </row>
    <row r="439" spans="1:20" hidden="1">
      <c r="A439" s="36">
        <f t="shared" si="9"/>
        <v>100000</v>
      </c>
      <c r="B439" s="36"/>
      <c r="C439" s="36"/>
      <c r="D439" s="36"/>
      <c r="E439" s="36">
        <v>150000</v>
      </c>
      <c r="F439" s="36">
        <f>IF(AND(F432&gt;A439, F432&lt;=E439),F432,0)</f>
        <v>0</v>
      </c>
      <c r="G439" s="36">
        <f>(12500/100*3)+(12500/100*4)+(25000/100*5)+(50000/100*7)+((10/100)*(-A439+F439))</f>
        <v>-4375</v>
      </c>
      <c r="H439" s="36">
        <f>(12500/100*1)+(12500/100*2)+(25000/100*3)+(50000/100*5)+((8/100)*(-A439+F439))</f>
        <v>-4375</v>
      </c>
      <c r="I439" s="36"/>
      <c r="J439" s="36"/>
      <c r="K439" s="36"/>
      <c r="L439" s="36"/>
      <c r="N439" s="7">
        <f>IF(I30=7,J440*28%,0)</f>
        <v>0</v>
      </c>
      <c r="O439" s="7">
        <f>IF(N439&gt;868,868,N439)</f>
        <v>0</v>
      </c>
      <c r="R439" s="7">
        <f>J440*14%</f>
        <v>0</v>
      </c>
      <c r="S439" s="7">
        <f>IF(R439&gt;434,434,R439)</f>
        <v>0</v>
      </c>
      <c r="T439" s="7">
        <f>IF(I30=7,S439,0)</f>
        <v>0</v>
      </c>
    </row>
    <row r="440" spans="1:20" hidden="1">
      <c r="A440" s="36">
        <f t="shared" si="9"/>
        <v>150000</v>
      </c>
      <c r="B440" s="36"/>
      <c r="C440" s="36"/>
      <c r="D440" s="36"/>
      <c r="E440" s="36">
        <v>200000</v>
      </c>
      <c r="F440" s="36">
        <f>IF(AND(F432&gt;A440, F432&lt;=E440),F432,0)</f>
        <v>0</v>
      </c>
      <c r="G440" s="36">
        <f>(12500/100*3)+(12500/100*4)+(25000/100*5)+(50000/100*7)+(50000/100*10)+((14/100)*(-A440+F440))</f>
        <v>-10375.000000000004</v>
      </c>
      <c r="H440" s="36">
        <f>(12500/100*1)+(12500/100*2)+(25000/100*3)+(50000/100*5)+(50000/100*8)+((14/100)*(-A440+F440))</f>
        <v>-13375.000000000004</v>
      </c>
      <c r="I440" s="36"/>
      <c r="J440" s="36">
        <f>SUM(J429:J438)</f>
        <v>0</v>
      </c>
      <c r="K440" s="36"/>
      <c r="L440" s="36"/>
      <c r="N440" s="7">
        <f>IF(I30=8,J440*32%,0)</f>
        <v>0</v>
      </c>
      <c r="O440" s="7">
        <f>IF(N440&gt;992,992,N440)</f>
        <v>0</v>
      </c>
      <c r="R440" s="7">
        <f>J440*16%</f>
        <v>0</v>
      </c>
      <c r="S440" s="7">
        <f>IF(R440&gt;496,496,R440)</f>
        <v>0</v>
      </c>
      <c r="T440" s="7">
        <f>IF(I30=8,S440,0)</f>
        <v>0</v>
      </c>
    </row>
    <row r="441" spans="1:20" hidden="1">
      <c r="A441" s="36">
        <f t="shared" si="9"/>
        <v>200000</v>
      </c>
      <c r="B441" s="36"/>
      <c r="C441" s="36"/>
      <c r="D441" s="36"/>
      <c r="E441" s="36">
        <v>250000</v>
      </c>
      <c r="F441" s="36">
        <f>IF(AND(F432&gt;A441, F432&lt;=E441),F432,0)</f>
        <v>0</v>
      </c>
      <c r="G441" s="36">
        <f>(12500/100*3)+(12500/100*4)+(25000/100*5)+(50000/100*7)+(50000/100*10)+(50000/100*14)+((18/100)*(-A441+F441))</f>
        <v>-18375</v>
      </c>
      <c r="H441" s="36">
        <f>(12500/100*1)+(12500/100*2)+(25000/100*3)+(50000/100*5)+(50000/100*8)+(50000/100*14)+((18/100)*(-A441+F441))</f>
        <v>-21375</v>
      </c>
      <c r="I441" s="36"/>
      <c r="J441" s="36"/>
      <c r="K441" s="36"/>
      <c r="L441" s="36"/>
      <c r="N441" s="7">
        <f>IF(I30=9,J440*36%,0)</f>
        <v>0</v>
      </c>
      <c r="O441" s="7">
        <f>IF(N441&gt;1116,1116,N441)</f>
        <v>0</v>
      </c>
      <c r="R441" s="7">
        <f>J440*18%</f>
        <v>0</v>
      </c>
      <c r="S441" s="7">
        <f>IF(R441&gt;558,558,R441)</f>
        <v>0</v>
      </c>
      <c r="T441" s="7">
        <f>IF(I30=9,S441,0)</f>
        <v>0</v>
      </c>
    </row>
    <row r="442" spans="1:20" hidden="1">
      <c r="A442" s="36">
        <f t="shared" si="9"/>
        <v>250000</v>
      </c>
      <c r="B442" s="36"/>
      <c r="C442" s="36"/>
      <c r="D442" s="36"/>
      <c r="E442" s="36">
        <v>500000</v>
      </c>
      <c r="F442" s="36">
        <f>IF(AND(F432&gt;A442, F432&lt;=E442),F432,0)</f>
        <v>0</v>
      </c>
      <c r="G442" s="36">
        <f>(12500/100*3)+(12500/100*4)+(25000/100*5)+(50000/100*7)+(50000/100*10)+(50000/100*14)+(50000/100*18)+((24/100)*(-A442+F442))</f>
        <v>-33375</v>
      </c>
      <c r="H442" s="36">
        <f>(12500/100*1)+(12500/100*2)+(25000/100*3)+(50000/100*5)+(50000/100*8)+(50000/100*14)+(50000/100*18)+((24/100)*(-A442+F442))</f>
        <v>-36375</v>
      </c>
      <c r="I442" s="36"/>
      <c r="J442" s="36"/>
      <c r="K442" s="36"/>
      <c r="L442" s="36"/>
      <c r="N442" s="7">
        <f>IF(I30=10,J440*40%,0)</f>
        <v>0</v>
      </c>
      <c r="O442" s="7">
        <f>IF(N442&gt;1240,1240,N442)</f>
        <v>0</v>
      </c>
      <c r="R442" s="7">
        <f>J440*20%</f>
        <v>0</v>
      </c>
      <c r="S442" s="7">
        <f>IF(R442&gt;620,620,R442)</f>
        <v>0</v>
      </c>
      <c r="T442" s="7">
        <f>IF(I30=10,S442,0)</f>
        <v>0</v>
      </c>
    </row>
    <row r="443" spans="1:20" hidden="1">
      <c r="A443" s="36">
        <f t="shared" si="9"/>
        <v>500000</v>
      </c>
      <c r="B443" s="36"/>
      <c r="C443" s="36"/>
      <c r="D443" s="36"/>
      <c r="E443" s="36">
        <v>999999999</v>
      </c>
      <c r="F443" s="36">
        <f>IF(AND(F432&gt;A443, F432&lt;=E443),F432,0)</f>
        <v>0</v>
      </c>
      <c r="G443" s="36">
        <f>(12500/100*3)+(12500/100*4)+(25000/100*5)+(50000/100*7)+(50000/100*10)+(50000/100*14)+(50000/100*18)+(250000/100*24)+((30/100)*(-A443+F443))</f>
        <v>-63375</v>
      </c>
      <c r="H443" s="36">
        <f>(12500/100*1)+(12500/100*2)+(25000/100*3)+(50000/100*5)+(50000/100*8)+(50000/100*14)+(50000/100*18)+(250000/100*24)+((30/100)*(-A443+F443))</f>
        <v>-66375</v>
      </c>
      <c r="I443" s="36"/>
      <c r="J443" s="36"/>
      <c r="K443" s="36"/>
      <c r="L443" s="36"/>
    </row>
    <row r="444" spans="1:20" hidden="1">
      <c r="A444" s="42" t="s">
        <v>14</v>
      </c>
      <c r="B444" s="42"/>
      <c r="C444" s="42"/>
      <c r="D444" s="42"/>
      <c r="E444" s="36"/>
      <c r="F444" s="36"/>
      <c r="G444" s="36">
        <f>VLOOKUP(F432,F435:G443,2,FALSE)</f>
        <v>0</v>
      </c>
      <c r="H444" s="36">
        <f>VLOOKUP(F432,F435:H443,3,FALSE)</f>
        <v>0</v>
      </c>
      <c r="I444" s="36"/>
      <c r="J444" s="36"/>
      <c r="K444" s="36"/>
      <c r="L444" s="43"/>
      <c r="O444" s="7">
        <f>SUM(O435:O443)</f>
        <v>0</v>
      </c>
      <c r="T444" s="7">
        <f>SUM(T435:T443)</f>
        <v>0</v>
      </c>
    </row>
    <row r="445" spans="1:20" hidden="1">
      <c r="A445" s="36"/>
      <c r="B445" s="36"/>
      <c r="C445" s="36"/>
      <c r="D445" s="36"/>
      <c r="E445" s="36"/>
      <c r="F445" s="36"/>
      <c r="G445" s="36"/>
      <c r="H445" s="36"/>
      <c r="I445" s="36"/>
      <c r="J445" s="36"/>
      <c r="K445" s="36"/>
      <c r="L445" s="43"/>
      <c r="O445" s="29"/>
    </row>
    <row r="446" spans="1:20" hidden="1">
      <c r="A446" s="36"/>
      <c r="B446" s="36"/>
      <c r="C446" s="36"/>
      <c r="D446" s="36"/>
      <c r="E446" s="36"/>
      <c r="F446" s="36"/>
      <c r="G446" s="36"/>
      <c r="H446" s="36"/>
      <c r="I446" s="36"/>
      <c r="J446" s="36"/>
      <c r="K446" s="36"/>
      <c r="L446" s="43"/>
      <c r="O446" s="29"/>
    </row>
    <row r="447" spans="1:20" hidden="1">
      <c r="A447" s="37" t="s">
        <v>15</v>
      </c>
      <c r="B447" s="37"/>
      <c r="C447" s="37"/>
      <c r="D447" s="37"/>
      <c r="E447" s="36"/>
      <c r="F447" s="36"/>
      <c r="G447" s="38" t="s">
        <v>16</v>
      </c>
      <c r="H447" s="38" t="s">
        <v>17</v>
      </c>
      <c r="I447" s="35" t="s">
        <v>18</v>
      </c>
      <c r="J447" s="35" t="s">
        <v>19</v>
      </c>
      <c r="K447" s="35" t="s">
        <v>20</v>
      </c>
      <c r="L447" s="35" t="s">
        <v>21</v>
      </c>
      <c r="O447" s="29"/>
    </row>
    <row r="448" spans="1:20" hidden="1">
      <c r="A448" s="36">
        <v>0</v>
      </c>
      <c r="B448" s="36"/>
      <c r="C448" s="36"/>
      <c r="D448" s="36"/>
      <c r="E448" s="36">
        <v>12500</v>
      </c>
      <c r="F448" s="36">
        <f>IF(AND(F432&gt;A448, F432&lt;=E448),F432,0)</f>
        <v>0</v>
      </c>
      <c r="G448" s="36">
        <f>0+(20/100)*(-A448+F448)</f>
        <v>0</v>
      </c>
      <c r="H448" s="36">
        <f>0+(10/100)*(-A448+F448)</f>
        <v>0</v>
      </c>
      <c r="I448" s="36">
        <f>0+(25/100)*(-A448+F448)</f>
        <v>0</v>
      </c>
      <c r="J448" s="36">
        <f>0+(10/100)*(-A448+F448)</f>
        <v>0</v>
      </c>
      <c r="K448" s="36">
        <f>0+(30/100)*(-A448+F448)</f>
        <v>0</v>
      </c>
      <c r="L448" s="36">
        <f>0+(10/100)*(-A448+F448)</f>
        <v>0</v>
      </c>
      <c r="M448" s="7" t="s">
        <v>81</v>
      </c>
      <c r="N448" s="16">
        <f>J440-O444</f>
        <v>0</v>
      </c>
      <c r="O448" s="29"/>
      <c r="P448" s="7" t="s">
        <v>82</v>
      </c>
      <c r="Q448" s="44">
        <f>J440-T444</f>
        <v>0</v>
      </c>
    </row>
    <row r="449" spans="1:15" hidden="1">
      <c r="A449" s="36">
        <f>E448</f>
        <v>12500</v>
      </c>
      <c r="B449" s="36"/>
      <c r="C449" s="36"/>
      <c r="D449" s="36"/>
      <c r="E449" s="36">
        <v>25000</v>
      </c>
      <c r="F449" s="36">
        <f>IF(AND(F432&gt;A449, F432&lt;=E449),F432,0)</f>
        <v>0</v>
      </c>
      <c r="G449" s="36">
        <f>(12500/100*20)+((25/100)*(-A449+F449))</f>
        <v>-625</v>
      </c>
      <c r="H449" s="36">
        <f>(12500/100*10)+((10/100)*(-A449+F449))</f>
        <v>0</v>
      </c>
      <c r="I449" s="36">
        <f>(12500/100*25)+((30/100)*(-A449+F449))</f>
        <v>-625</v>
      </c>
      <c r="J449" s="36">
        <f>(12500/100*10)+((10/100)*(-A449+F449))</f>
        <v>0</v>
      </c>
      <c r="K449" s="36">
        <f>(12500/100*30)+((35/100)*(-A449+F449))</f>
        <v>-625</v>
      </c>
      <c r="L449" s="36">
        <f>(12500/100*10)+((10/100)*(-A449+F449))</f>
        <v>0</v>
      </c>
    </row>
    <row r="450" spans="1:15" hidden="1">
      <c r="A450" s="36">
        <f>E449</f>
        <v>25000</v>
      </c>
      <c r="B450" s="36"/>
      <c r="C450" s="36"/>
      <c r="D450" s="36"/>
      <c r="E450" s="36">
        <v>75000</v>
      </c>
      <c r="F450" s="36">
        <f>IF(AND(F432&gt;A450, F432&lt;=E450),F432,0)</f>
        <v>0</v>
      </c>
      <c r="G450" s="36">
        <f>(12500/100*20)+(12500/100*25)+((35/100)*(-A450+F450))</f>
        <v>-3125</v>
      </c>
      <c r="H450" s="36">
        <f>(12500/100*10)+(12500/100*10)+((10/100)*(-A450+F450))</f>
        <v>0</v>
      </c>
      <c r="I450" s="36">
        <f>(12500/100*25)+(12500/100*30)+((40/100)*(-A450+F450))</f>
        <v>-3125</v>
      </c>
      <c r="J450" s="36">
        <f>(12500/100*10)+(12500/100*10)+((10/100)*(-A450+F450))</f>
        <v>0</v>
      </c>
      <c r="K450" s="36">
        <f>(12500/100*30)+(12500/100*35)+((50/100)*(-A450+F450))</f>
        <v>-4375</v>
      </c>
      <c r="L450" s="36">
        <f>(12500/100*10)+(12500/100*10)+((10/100)*(-A450+F450))</f>
        <v>0</v>
      </c>
      <c r="O450" s="7">
        <f>(IF(F30="echtgeno(o)t(e)",N448,Q448))</f>
        <v>0</v>
      </c>
    </row>
    <row r="451" spans="1:15" hidden="1">
      <c r="A451" s="36">
        <f>E450</f>
        <v>75000</v>
      </c>
      <c r="B451" s="36"/>
      <c r="C451" s="36"/>
      <c r="D451" s="36"/>
      <c r="E451" s="36">
        <v>150000</v>
      </c>
      <c r="F451" s="36">
        <f>IF(AND(F432&gt;A451, F432&lt;=E451),F432,0)</f>
        <v>0</v>
      </c>
      <c r="G451" s="36">
        <f>(12500/100*20)+(12500/100*25)+(50000/100*35)+((50/100)*(-A451+F451))</f>
        <v>-14375</v>
      </c>
      <c r="H451" s="36">
        <f>(12500/100*10)+(12500/100*10)+(50000/100*10)+((10/100)*(-A451+F451))</f>
        <v>0</v>
      </c>
      <c r="I451" s="36">
        <f>(12500/100*25)+(12500/100*30)+(50000/100*40)+((55/100)*(-A451+F451))</f>
        <v>-14375</v>
      </c>
      <c r="J451" s="36">
        <f>(12500/100*10)+(12500/100*10)+(50000/100*10)+((10/100)*(-A451+F451))</f>
        <v>0</v>
      </c>
      <c r="K451" s="36">
        <f>(12500/100*30)+(12500/100*35)+(50000/100*50)+((65/100)*(-A451+F451))</f>
        <v>-15625</v>
      </c>
      <c r="L451" s="36">
        <f>(12500/100*10)+(12500/100*10)+(50000/100*10)+((10/100)*(-A451+F451))</f>
        <v>0</v>
      </c>
    </row>
    <row r="452" spans="1:15" hidden="1">
      <c r="A452" s="36">
        <v>150000</v>
      </c>
      <c r="B452" s="36"/>
      <c r="C452" s="36"/>
      <c r="D452" s="36"/>
      <c r="E452" s="36">
        <v>175000</v>
      </c>
      <c r="F452" s="36">
        <f>IF(AND(F432&gt;A452, F432&lt;=E452),F432,0)</f>
        <v>0</v>
      </c>
      <c r="G452" s="36">
        <f>(12500/100*20)+(12500/100*25)+(50000/100*35)+(75000/100*50)+((50/100)*(-A452+F452))</f>
        <v>-14375</v>
      </c>
      <c r="H452" s="36">
        <f>(12500/100*10)+(12500/100*10)+(50000/100*10)+(75000/100*10)+((50/100)*(-A452+F452))</f>
        <v>-60000</v>
      </c>
      <c r="I452" s="36">
        <f>(12500/100*25)+(12500/100*30)+(50000/100*40)+(75000/100*55)+((55/100)*(-A452+F452))</f>
        <v>-14375</v>
      </c>
      <c r="J452" s="36">
        <f>(12500/100*10)+(12500/100*10)+(50000/100*10)+(75000/100*10)+((55/100)*(-A452+F452))</f>
        <v>-67500</v>
      </c>
      <c r="K452" s="36">
        <f>(12500/100*30)+(12500/100*35)+(50000/100*50)+(75000/100*65)+((65/100)*(-A452+F452))</f>
        <v>-15625</v>
      </c>
      <c r="L452" s="36">
        <f>(12500/100*10)+(12500/100*10)+(50000/100*10)+(75000/100*10)+((65/100)*(-A452+F452))</f>
        <v>-82500</v>
      </c>
    </row>
    <row r="453" spans="1:15" hidden="1">
      <c r="A453" s="36">
        <v>175000</v>
      </c>
      <c r="B453" s="36"/>
      <c r="C453" s="36"/>
      <c r="D453" s="36"/>
      <c r="E453" s="36">
        <v>999999999</v>
      </c>
      <c r="F453" s="36">
        <f>IF(AND(F432&gt;A453, F432&lt;=E453),F432,0)</f>
        <v>0</v>
      </c>
      <c r="G453" s="36">
        <f>(12500/100*20)+(12500/100*25)+(50000/100*35)+(75000/100*50)+(25000/100*50)+((65/100)*(-A453+F453))</f>
        <v>-40625</v>
      </c>
      <c r="H453" s="36">
        <f>(12500/100*10)+(12500/100*10)+(50000/100*10)+(75000/100*10)+(25000/100*50)+((65/100)*(-A453+F453))</f>
        <v>-86250</v>
      </c>
      <c r="I453" s="36">
        <f>(12500/100*25)+(12500/100*30)+(50000/100*40)+(75000/100*55)+(25000/100*55)+((70/100)*(-A453+F453))</f>
        <v>-40624.999999999985</v>
      </c>
      <c r="J453" s="36">
        <f>(12500/100*10)+(12500/100*10)+(50000/100*10)+(75000/100*10)+(25000/100*55)+((70/100)*(-A453+F453))</f>
        <v>-93749.999999999985</v>
      </c>
      <c r="K453" s="36">
        <f>(12500/100*30)+(12500/100*35)+(50000/100*50)+(75000/100*65)+(25000/100*65)+((80/100)*(-A453+F453))</f>
        <v>-41875</v>
      </c>
      <c r="L453" s="36">
        <f>(12500/100*10)+(12500/100*10)+(50000/100*10)+(75000/100*10)+(25000/100*65)+((80/100)*(-A453+F453))</f>
        <v>-108750</v>
      </c>
    </row>
    <row r="454" spans="1:15" hidden="1">
      <c r="A454" s="42" t="s">
        <v>14</v>
      </c>
      <c r="B454" s="42"/>
      <c r="C454" s="42"/>
      <c r="D454" s="42"/>
      <c r="E454" s="36"/>
      <c r="F454" s="36"/>
      <c r="G454" s="36">
        <f>VLOOKUP(F432,F448:G453,2,FALSE)</f>
        <v>0</v>
      </c>
      <c r="H454" s="36">
        <f>VLOOKUP(F432,F448:H453,3,FALSE)</f>
        <v>0</v>
      </c>
      <c r="I454" s="36">
        <f>VLOOKUP(F432,F448:I453,4,FALSE)</f>
        <v>0</v>
      </c>
      <c r="J454" s="36">
        <f>VLOOKUP(F432,F448:J453,5,FALSE)</f>
        <v>0</v>
      </c>
      <c r="K454" s="36">
        <f>VLOOKUP(F432,F448:K453,6,FALSE)</f>
        <v>0</v>
      </c>
      <c r="L454" s="36">
        <f>VLOOKUP(F432,F448:L453,7,FALSE)</f>
        <v>0</v>
      </c>
    </row>
    <row r="455" spans="1:15" hidden="1"/>
    <row r="456" spans="1:15" hidden="1"/>
    <row r="457" spans="1:15" hidden="1"/>
    <row r="458" spans="1:15" hidden="1"/>
    <row r="459" spans="1:15" hidden="1"/>
    <row r="460" spans="1:15" hidden="1"/>
    <row r="461" spans="1:15" hidden="1"/>
    <row r="462" spans="1:15" hidden="1"/>
    <row r="463" spans="1:15" hidden="1"/>
    <row r="464" spans="1:15" hidden="1"/>
    <row r="465" hidden="1"/>
    <row r="466" hidden="1"/>
    <row r="467" hidden="1"/>
    <row r="468" hidden="1"/>
    <row r="469" hidden="1"/>
    <row r="470" hidden="1"/>
    <row r="471" hidden="1"/>
    <row r="472" hidden="1"/>
    <row r="473" hidden="1"/>
    <row r="474" hidden="1"/>
    <row r="475" hidden="1"/>
    <row r="476" hidden="1"/>
    <row r="477" hidden="1"/>
    <row r="478" hidden="1"/>
    <row r="479" hidden="1"/>
    <row r="480"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spans="1:20" hidden="1"/>
    <row r="530" spans="1:20" hidden="1"/>
    <row r="531" spans="1:20" hidden="1"/>
    <row r="532" spans="1:20" hidden="1">
      <c r="E532" s="24"/>
      <c r="G532" s="24"/>
      <c r="J532" s="7">
        <f>IF(AND(E16="bouwgrond",F35="echtgeno(o)t(e)"),H547,0)</f>
        <v>0</v>
      </c>
    </row>
    <row r="533" spans="1:20" hidden="1">
      <c r="E533" s="24"/>
      <c r="G533" s="24"/>
      <c r="J533" s="7">
        <f>IF(AND(E16="andere",F35="echtgeno(o)t(e)"),G547,0)</f>
        <v>0</v>
      </c>
    </row>
    <row r="534" spans="1:20" hidden="1">
      <c r="A534" s="35"/>
      <c r="B534" s="35"/>
      <c r="C534" s="35"/>
      <c r="D534" s="35"/>
      <c r="E534" s="36"/>
      <c r="F534" s="37"/>
      <c r="G534" s="36"/>
      <c r="H534" s="36"/>
      <c r="I534" s="38"/>
      <c r="J534" s="39">
        <f>IF(AND(E16="bouwgrond",F35="rechte lijn"),H547,0)</f>
        <v>0</v>
      </c>
      <c r="K534" s="38"/>
      <c r="L534" s="40"/>
    </row>
    <row r="535" spans="1:20" hidden="1">
      <c r="A535" s="36" t="s">
        <v>10</v>
      </c>
      <c r="B535" s="36"/>
      <c r="C535" s="36"/>
      <c r="D535" s="36"/>
      <c r="E535" s="36"/>
      <c r="F535" s="36">
        <f>G35</f>
        <v>0</v>
      </c>
      <c r="G535" s="41"/>
      <c r="H535" s="36"/>
      <c r="I535" s="36"/>
      <c r="J535" s="39">
        <f>IF(AND(E16="andere",F35="rechte lijn"),G547,0)</f>
        <v>0</v>
      </c>
      <c r="K535" s="36"/>
      <c r="L535" s="40"/>
    </row>
    <row r="536" spans="1:20" hidden="1">
      <c r="A536" s="36"/>
      <c r="B536" s="36"/>
      <c r="C536" s="36"/>
      <c r="D536" s="36"/>
      <c r="E536" s="36"/>
      <c r="F536" s="36"/>
      <c r="G536" s="36"/>
      <c r="H536" s="36"/>
      <c r="I536" s="36"/>
      <c r="J536" s="39">
        <f>IF(AND(E16="bouwgrond",F35="broer/zuster"),H557,0)</f>
        <v>0</v>
      </c>
      <c r="K536" s="36"/>
      <c r="L536" s="36"/>
      <c r="N536" s="7" t="s">
        <v>77</v>
      </c>
    </row>
    <row r="537" spans="1:20" hidden="1">
      <c r="A537" s="37" t="s">
        <v>11</v>
      </c>
      <c r="B537" s="37"/>
      <c r="C537" s="37"/>
      <c r="D537" s="37"/>
      <c r="E537" s="36"/>
      <c r="F537" s="36"/>
      <c r="G537" s="38" t="s">
        <v>12</v>
      </c>
      <c r="H537" s="38" t="s">
        <v>13</v>
      </c>
      <c r="I537" s="36"/>
      <c r="J537" s="39">
        <f>IF(AND(E16="andere",F35="broer/zuster"),G557,0)</f>
        <v>0</v>
      </c>
      <c r="K537" s="36"/>
      <c r="L537" s="36"/>
    </row>
    <row r="538" spans="1:20" hidden="1">
      <c r="A538" s="36">
        <v>0</v>
      </c>
      <c r="B538" s="36"/>
      <c r="C538" s="36"/>
      <c r="D538" s="36"/>
      <c r="E538" s="36">
        <v>12500</v>
      </c>
      <c r="F538" s="36">
        <f>IF(AND(F535&gt;A538, F535&lt;=E538),F535,0)</f>
        <v>0</v>
      </c>
      <c r="G538" s="36">
        <f>0+(3/100)*(-A538+F538)</f>
        <v>0</v>
      </c>
      <c r="H538" s="36">
        <f>0+(1/100)*(-A538+F538)</f>
        <v>0</v>
      </c>
      <c r="I538" s="36"/>
      <c r="J538" s="39">
        <f>IF(AND(E16="bouwgrond",F35="oom-tante/neef-nicht"),J557,0)</f>
        <v>0</v>
      </c>
      <c r="K538" s="36"/>
      <c r="L538" s="36"/>
      <c r="M538" s="7" t="s">
        <v>78</v>
      </c>
      <c r="N538" s="7">
        <f>IF(I35=3,J543*12%,0)</f>
        <v>0</v>
      </c>
      <c r="O538" s="7">
        <f>IF(N538&gt;372,372,N538)</f>
        <v>0</v>
      </c>
      <c r="Q538" s="7" t="s">
        <v>79</v>
      </c>
      <c r="R538" s="7">
        <f>J543*6%</f>
        <v>0</v>
      </c>
      <c r="S538" s="7">
        <f>IF(R538&gt;186,186,R538)</f>
        <v>0</v>
      </c>
      <c r="T538" s="7">
        <f>IF(I35=3,S538,0)</f>
        <v>0</v>
      </c>
    </row>
    <row r="539" spans="1:20" hidden="1">
      <c r="A539" s="36">
        <f t="shared" ref="A539:A546" si="10">E538</f>
        <v>12500</v>
      </c>
      <c r="B539" s="36"/>
      <c r="C539" s="36"/>
      <c r="D539" s="36"/>
      <c r="E539" s="36">
        <v>25000</v>
      </c>
      <c r="F539" s="36">
        <f>IF(AND(F535&gt;A539, F535&lt;=E539),F535,0)</f>
        <v>0</v>
      </c>
      <c r="G539" s="36">
        <f>(12500/100*3)+(4/100)*(-A539+F539)</f>
        <v>-125</v>
      </c>
      <c r="H539" s="36">
        <f>(12500/100*1)+(2/100)*(-A539+F539)</f>
        <v>-125</v>
      </c>
      <c r="I539" s="36"/>
      <c r="J539" s="39">
        <f>IF(AND(E16="andere",F35="oom-tante/neef-nicht"),I557,0)</f>
        <v>0</v>
      </c>
      <c r="K539" s="36"/>
      <c r="N539" s="7">
        <f>IF(I35=4,J543*16%,0)</f>
        <v>0</v>
      </c>
      <c r="O539" s="7">
        <f>IF(N539&gt;496,496,N539)</f>
        <v>0</v>
      </c>
      <c r="Q539" s="7" t="s">
        <v>80</v>
      </c>
      <c r="R539" s="7">
        <f>J543*8%</f>
        <v>0</v>
      </c>
      <c r="S539" s="7">
        <f>IF(R539&gt;248,248,R539)</f>
        <v>0</v>
      </c>
      <c r="T539" s="7">
        <f>IF(I35=4,S539,0)</f>
        <v>0</v>
      </c>
    </row>
    <row r="540" spans="1:20" hidden="1">
      <c r="A540" s="36">
        <f t="shared" si="10"/>
        <v>25000</v>
      </c>
      <c r="B540" s="36"/>
      <c r="C540" s="36"/>
      <c r="D540" s="36"/>
      <c r="E540" s="36">
        <v>50000</v>
      </c>
      <c r="F540" s="36">
        <f>IF(AND(F535&gt;A540, F535&lt;=E540),F535,0)</f>
        <v>0</v>
      </c>
      <c r="G540" s="36">
        <f>(12500/100*3)+(12500/100*4)+((5/100)*(-A540+F540))</f>
        <v>-375</v>
      </c>
      <c r="H540" s="36">
        <f>(12500/100*1)+(12500/100*2)+((3/100)*(-A540+F540))</f>
        <v>-375</v>
      </c>
      <c r="I540" s="36"/>
      <c r="J540" s="39">
        <f>IF(AND(E16="bouwgrond",F35="vreemden"),L557,0)</f>
        <v>0</v>
      </c>
      <c r="K540" s="36"/>
      <c r="L540" s="36"/>
      <c r="N540" s="7">
        <f>IF(I35=5,J543*20%,0)</f>
        <v>0</v>
      </c>
      <c r="O540" s="7">
        <f>IF(N540&gt;620,620,N540)</f>
        <v>0</v>
      </c>
      <c r="R540" s="7">
        <f>J543*10%</f>
        <v>0</v>
      </c>
      <c r="S540" s="7">
        <f>IF(R540&gt;310,310,R540)</f>
        <v>0</v>
      </c>
      <c r="T540" s="7">
        <f>IF(I35=5,S540,0)</f>
        <v>0</v>
      </c>
    </row>
    <row r="541" spans="1:20" hidden="1">
      <c r="A541" s="36">
        <f t="shared" si="10"/>
        <v>50000</v>
      </c>
      <c r="B541" s="36"/>
      <c r="C541" s="36"/>
      <c r="D541" s="36"/>
      <c r="E541" s="36">
        <v>100000</v>
      </c>
      <c r="F541" s="36">
        <f>IF(AND(F535&gt;A541, F535&lt;=E541),F535,0)</f>
        <v>0</v>
      </c>
      <c r="G541" s="36">
        <f>(12500/100*3)+(12500/100*4)+(25000/100*5)+((7/100)*(-A541+F541))</f>
        <v>-1375.0000000000005</v>
      </c>
      <c r="H541" s="36">
        <f>(12500/100*1)+(12500/100*2)+(25000/100*3)+((5/100)*(-A541+F541))</f>
        <v>-1375</v>
      </c>
      <c r="I541" s="36"/>
      <c r="J541" s="39">
        <f>IF(AND(E16="andere",F35="vreemden"),K557,0)</f>
        <v>0</v>
      </c>
      <c r="K541" s="36"/>
      <c r="L541" s="36"/>
      <c r="N541" s="7">
        <f>IF(I35=6,J543*24%,0)</f>
        <v>0</v>
      </c>
      <c r="O541" s="7">
        <f>IF(N541&gt;744,744,N541)</f>
        <v>0</v>
      </c>
      <c r="R541" s="7">
        <f>J543*12%</f>
        <v>0</v>
      </c>
      <c r="S541" s="7">
        <f>IF(R541&gt;372,372,R541)</f>
        <v>0</v>
      </c>
      <c r="T541" s="7">
        <f>IF(I35=6,S541,0)</f>
        <v>0</v>
      </c>
    </row>
    <row r="542" spans="1:20" hidden="1">
      <c r="A542" s="36">
        <f t="shared" si="10"/>
        <v>100000</v>
      </c>
      <c r="B542" s="36"/>
      <c r="C542" s="36"/>
      <c r="D542" s="36"/>
      <c r="E542" s="36">
        <v>150000</v>
      </c>
      <c r="F542" s="36">
        <f>IF(AND(F535&gt;A542, F535&lt;=E542),F535,0)</f>
        <v>0</v>
      </c>
      <c r="G542" s="36">
        <f>(12500/100*3)+(12500/100*4)+(25000/100*5)+(50000/100*7)+((10/100)*(-A542+F542))</f>
        <v>-4375</v>
      </c>
      <c r="H542" s="36">
        <f>(12500/100*1)+(12500/100*2)+(25000/100*3)+(50000/100*5)+((8/100)*(-A542+F542))</f>
        <v>-4375</v>
      </c>
      <c r="I542" s="36"/>
      <c r="J542" s="36"/>
      <c r="K542" s="36"/>
      <c r="L542" s="36"/>
      <c r="N542" s="7">
        <f>IF(I35=7,J543*28%,0)</f>
        <v>0</v>
      </c>
      <c r="O542" s="7">
        <f>IF(N542&gt;868,868,N542)</f>
        <v>0</v>
      </c>
      <c r="R542" s="7">
        <f>J543*14%</f>
        <v>0</v>
      </c>
      <c r="S542" s="7">
        <f>IF(R542&gt;434,434,R542)</f>
        <v>0</v>
      </c>
      <c r="T542" s="7">
        <f>IF(I35=7,S542,0)</f>
        <v>0</v>
      </c>
    </row>
    <row r="543" spans="1:20" hidden="1">
      <c r="A543" s="36">
        <f t="shared" si="10"/>
        <v>150000</v>
      </c>
      <c r="B543" s="36"/>
      <c r="C543" s="36"/>
      <c r="D543" s="36"/>
      <c r="E543" s="36">
        <v>200000</v>
      </c>
      <c r="F543" s="36">
        <f>IF(AND(F535&gt;A543, F535&lt;=E543),F535,0)</f>
        <v>0</v>
      </c>
      <c r="G543" s="36">
        <f>(12500/100*3)+(12500/100*4)+(25000/100*5)+(50000/100*7)+(50000/100*10)+((14/100)*(-A543+F543))</f>
        <v>-10375.000000000004</v>
      </c>
      <c r="H543" s="36">
        <f>(12500/100*1)+(12500/100*2)+(25000/100*3)+(50000/100*5)+(50000/100*8)+((14/100)*(-A543+F543))</f>
        <v>-13375.000000000004</v>
      </c>
      <c r="I543" s="36"/>
      <c r="J543" s="36">
        <f>SUM(J532:J541)</f>
        <v>0</v>
      </c>
      <c r="K543" s="36"/>
      <c r="L543" s="36"/>
      <c r="N543" s="7">
        <f>IF(I35=8,J543*32%,0)</f>
        <v>0</v>
      </c>
      <c r="O543" s="7">
        <f>IF(N543&gt;992,992,N543)</f>
        <v>0</v>
      </c>
      <c r="R543" s="7">
        <f>J543*16%</f>
        <v>0</v>
      </c>
      <c r="S543" s="7">
        <f>IF(R543&gt;496,496,R543)</f>
        <v>0</v>
      </c>
      <c r="T543" s="7">
        <f>IF(I35=8,S543,0)</f>
        <v>0</v>
      </c>
    </row>
    <row r="544" spans="1:20" hidden="1">
      <c r="A544" s="36">
        <f t="shared" si="10"/>
        <v>200000</v>
      </c>
      <c r="B544" s="36"/>
      <c r="C544" s="36"/>
      <c r="D544" s="36"/>
      <c r="E544" s="36">
        <v>250000</v>
      </c>
      <c r="F544" s="36">
        <f>IF(AND(F535&gt;A544, F535&lt;=E544),F535,0)</f>
        <v>0</v>
      </c>
      <c r="G544" s="36">
        <f>(12500/100*3)+(12500/100*4)+(25000/100*5)+(50000/100*7)+(50000/100*10)+(50000/100*14)+((18/100)*(-A544+F544))</f>
        <v>-18375</v>
      </c>
      <c r="H544" s="36">
        <f>(12500/100*1)+(12500/100*2)+(25000/100*3)+(50000/100*5)+(50000/100*8)+(50000/100*14)+((18/100)*(-A544+F544))</f>
        <v>-21375</v>
      </c>
      <c r="I544" s="36"/>
      <c r="J544" s="36"/>
      <c r="K544" s="36"/>
      <c r="L544" s="36"/>
      <c r="N544" s="7">
        <f>IF(I35=9,J543*36%,0)</f>
        <v>0</v>
      </c>
      <c r="O544" s="7">
        <f>IF(N544&gt;1116,1116,N544)</f>
        <v>0</v>
      </c>
      <c r="R544" s="7">
        <f>J543*18%</f>
        <v>0</v>
      </c>
      <c r="S544" s="7">
        <f>IF(R544&gt;558,558,R544)</f>
        <v>0</v>
      </c>
      <c r="T544" s="7">
        <f>IF(I35=9,S544,0)</f>
        <v>0</v>
      </c>
    </row>
    <row r="545" spans="1:20" hidden="1">
      <c r="A545" s="36">
        <f t="shared" si="10"/>
        <v>250000</v>
      </c>
      <c r="B545" s="36"/>
      <c r="C545" s="36"/>
      <c r="D545" s="36"/>
      <c r="E545" s="36">
        <v>500000</v>
      </c>
      <c r="F545" s="36">
        <f>IF(AND(F535&gt;A545, F535&lt;=E545),F535,0)</f>
        <v>0</v>
      </c>
      <c r="G545" s="36">
        <f>(12500/100*3)+(12500/100*4)+(25000/100*5)+(50000/100*7)+(50000/100*10)+(50000/100*14)+(50000/100*18)+((24/100)*(-A545+F545))</f>
        <v>-33375</v>
      </c>
      <c r="H545" s="36">
        <f>(12500/100*1)+(12500/100*2)+(25000/100*3)+(50000/100*5)+(50000/100*8)+(50000/100*14)+(50000/100*18)+((24/100)*(-A545+F545))</f>
        <v>-36375</v>
      </c>
      <c r="I545" s="36"/>
      <c r="J545" s="36"/>
      <c r="K545" s="36"/>
      <c r="L545" s="36"/>
      <c r="N545" s="7">
        <f>IF(I35=10,J543*40%,0)</f>
        <v>0</v>
      </c>
      <c r="O545" s="7">
        <f>IF(N545&gt;1240,1240,N545)</f>
        <v>0</v>
      </c>
      <c r="R545" s="7">
        <f>J543*20%</f>
        <v>0</v>
      </c>
      <c r="S545" s="7">
        <f>IF(R545&gt;620,620,R545)</f>
        <v>0</v>
      </c>
      <c r="T545" s="7">
        <f>IF(I35=10,S545,0)</f>
        <v>0</v>
      </c>
    </row>
    <row r="546" spans="1:20" hidden="1">
      <c r="A546" s="36">
        <f t="shared" si="10"/>
        <v>500000</v>
      </c>
      <c r="B546" s="36"/>
      <c r="C546" s="36"/>
      <c r="D546" s="36"/>
      <c r="E546" s="36">
        <v>999999999</v>
      </c>
      <c r="F546" s="36">
        <f>IF(AND(F535&gt;A546, F535&lt;=E546),F535,0)</f>
        <v>0</v>
      </c>
      <c r="G546" s="36">
        <f>(12500/100*3)+(12500/100*4)+(25000/100*5)+(50000/100*7)+(50000/100*10)+(50000/100*14)+(50000/100*18)+(250000/100*24)+((30/100)*(-A546+F546))</f>
        <v>-63375</v>
      </c>
      <c r="H546" s="36">
        <f>(12500/100*1)+(12500/100*2)+(25000/100*3)+(50000/100*5)+(50000/100*8)+(50000/100*14)+(50000/100*18)+(250000/100*24)+((30/100)*(-A546+F546))</f>
        <v>-66375</v>
      </c>
      <c r="I546" s="36"/>
      <c r="J546" s="36"/>
      <c r="K546" s="36"/>
      <c r="L546" s="36"/>
    </row>
    <row r="547" spans="1:20" hidden="1">
      <c r="A547" s="42" t="s">
        <v>14</v>
      </c>
      <c r="B547" s="42"/>
      <c r="C547" s="42"/>
      <c r="D547" s="42"/>
      <c r="E547" s="36"/>
      <c r="F547" s="36"/>
      <c r="G547" s="36">
        <f>VLOOKUP(F535,F538:G546,2,FALSE)</f>
        <v>0</v>
      </c>
      <c r="H547" s="36">
        <f>VLOOKUP(F535,F538:H546,3,FALSE)</f>
        <v>0</v>
      </c>
      <c r="I547" s="36"/>
      <c r="J547" s="36"/>
      <c r="K547" s="36"/>
      <c r="L547" s="43"/>
      <c r="O547" s="7">
        <f>SUM(O538:O546)</f>
        <v>0</v>
      </c>
      <c r="T547" s="7">
        <f>SUM(T538:T546)</f>
        <v>0</v>
      </c>
    </row>
    <row r="548" spans="1:20" hidden="1">
      <c r="A548" s="36"/>
      <c r="B548" s="36"/>
      <c r="C548" s="36"/>
      <c r="D548" s="36"/>
      <c r="E548" s="36"/>
      <c r="F548" s="36"/>
      <c r="G548" s="36"/>
      <c r="H548" s="36"/>
      <c r="I548" s="36"/>
      <c r="J548" s="36"/>
      <c r="K548" s="36"/>
      <c r="L548" s="43"/>
      <c r="O548" s="29"/>
    </row>
    <row r="549" spans="1:20" hidden="1">
      <c r="A549" s="36"/>
      <c r="B549" s="36"/>
      <c r="C549" s="36"/>
      <c r="D549" s="36"/>
      <c r="E549" s="36"/>
      <c r="F549" s="36"/>
      <c r="G549" s="36"/>
      <c r="H549" s="36"/>
      <c r="I549" s="36"/>
      <c r="J549" s="36"/>
      <c r="K549" s="36"/>
      <c r="L549" s="43"/>
      <c r="O549" s="29"/>
    </row>
    <row r="550" spans="1:20" hidden="1">
      <c r="A550" s="37" t="s">
        <v>15</v>
      </c>
      <c r="B550" s="37"/>
      <c r="C550" s="37"/>
      <c r="D550" s="37"/>
      <c r="E550" s="36"/>
      <c r="F550" s="36"/>
      <c r="G550" s="38" t="s">
        <v>16</v>
      </c>
      <c r="H550" s="38" t="s">
        <v>17</v>
      </c>
      <c r="I550" s="35" t="s">
        <v>18</v>
      </c>
      <c r="J550" s="35" t="s">
        <v>19</v>
      </c>
      <c r="K550" s="35" t="s">
        <v>20</v>
      </c>
      <c r="L550" s="35" t="s">
        <v>21</v>
      </c>
      <c r="O550" s="29"/>
    </row>
    <row r="551" spans="1:20" hidden="1">
      <c r="A551" s="36">
        <v>0</v>
      </c>
      <c r="B551" s="36"/>
      <c r="C551" s="36"/>
      <c r="D551" s="36"/>
      <c r="E551" s="36">
        <v>12500</v>
      </c>
      <c r="F551" s="36">
        <f>IF(AND(F535&gt;A551, F535&lt;=E551),F535,0)</f>
        <v>0</v>
      </c>
      <c r="G551" s="36">
        <f>0+(20/100)*(-A551+F551)</f>
        <v>0</v>
      </c>
      <c r="H551" s="36">
        <f>0+(10/100)*(-A551+F551)</f>
        <v>0</v>
      </c>
      <c r="I551" s="36">
        <f>0+(25/100)*(-A551+F551)</f>
        <v>0</v>
      </c>
      <c r="J551" s="36">
        <f>0+(10/100)*(-A551+F551)</f>
        <v>0</v>
      </c>
      <c r="K551" s="36">
        <f>0+(30/100)*(-A551+F551)</f>
        <v>0</v>
      </c>
      <c r="L551" s="36">
        <f>0+(10/100)*(-A551+F551)</f>
        <v>0</v>
      </c>
      <c r="M551" s="7" t="s">
        <v>81</v>
      </c>
      <c r="N551" s="16">
        <f>J543-O547</f>
        <v>0</v>
      </c>
      <c r="O551" s="29"/>
      <c r="P551" s="7" t="s">
        <v>82</v>
      </c>
      <c r="Q551" s="44">
        <f>J543-T547</f>
        <v>0</v>
      </c>
    </row>
    <row r="552" spans="1:20" hidden="1">
      <c r="A552" s="36">
        <f>E551</f>
        <v>12500</v>
      </c>
      <c r="B552" s="36"/>
      <c r="C552" s="36"/>
      <c r="D552" s="36"/>
      <c r="E552" s="36">
        <v>25000</v>
      </c>
      <c r="F552" s="36">
        <f>IF(AND(F535&gt;A552, F535&lt;=E552),F535,0)</f>
        <v>0</v>
      </c>
      <c r="G552" s="36">
        <f>(12500/100*20)+((25/100)*(-A552+F552))</f>
        <v>-625</v>
      </c>
      <c r="H552" s="36">
        <f>(12500/100*10)+((10/100)*(-A552+F552))</f>
        <v>0</v>
      </c>
      <c r="I552" s="36">
        <f>(12500/100*25)+((30/100)*(-A552+F552))</f>
        <v>-625</v>
      </c>
      <c r="J552" s="36">
        <f>(12500/100*10)+((10/100)*(-A552+F552))</f>
        <v>0</v>
      </c>
      <c r="K552" s="36">
        <f>(12500/100*30)+((35/100)*(-A552+F552))</f>
        <v>-625</v>
      </c>
      <c r="L552" s="36">
        <f>(12500/100*10)+((10/100)*(-A552+F552))</f>
        <v>0</v>
      </c>
    </row>
    <row r="553" spans="1:20" hidden="1">
      <c r="A553" s="36">
        <f>E552</f>
        <v>25000</v>
      </c>
      <c r="B553" s="36"/>
      <c r="C553" s="36"/>
      <c r="D553" s="36"/>
      <c r="E553" s="36">
        <v>75000</v>
      </c>
      <c r="F553" s="36">
        <f>IF(AND(F535&gt;A553, F535&lt;=E553),F535,0)</f>
        <v>0</v>
      </c>
      <c r="G553" s="36">
        <f>(12500/100*20)+(12500/100*25)+((35/100)*(-A553+F553))</f>
        <v>-3125</v>
      </c>
      <c r="H553" s="36">
        <f>(12500/100*10)+(12500/100*10)+((10/100)*(-A553+F553))</f>
        <v>0</v>
      </c>
      <c r="I553" s="36">
        <f>(12500/100*25)+(12500/100*30)+((40/100)*(-A553+F553))</f>
        <v>-3125</v>
      </c>
      <c r="J553" s="36">
        <f>(12500/100*10)+(12500/100*10)+((10/100)*(-A553+F553))</f>
        <v>0</v>
      </c>
      <c r="K553" s="36">
        <f>(12500/100*30)+(12500/100*35)+((50/100)*(-A553+F553))</f>
        <v>-4375</v>
      </c>
      <c r="L553" s="36">
        <f>(12500/100*10)+(12500/100*10)+((10/100)*(-A553+F553))</f>
        <v>0</v>
      </c>
      <c r="O553" s="7">
        <f>(IF(F35="echtgeno(o)t(e)",N551,Q551))</f>
        <v>0</v>
      </c>
    </row>
    <row r="554" spans="1:20" hidden="1">
      <c r="A554" s="36">
        <f>E553</f>
        <v>75000</v>
      </c>
      <c r="B554" s="36"/>
      <c r="C554" s="36"/>
      <c r="D554" s="36"/>
      <c r="E554" s="36">
        <v>150000</v>
      </c>
      <c r="F554" s="36">
        <f>IF(AND(F535&gt;A554, F535&lt;=E554),F535,0)</f>
        <v>0</v>
      </c>
      <c r="G554" s="36">
        <f>(12500/100*20)+(12500/100*25)+(50000/100*35)+((50/100)*(-A554+F554))</f>
        <v>-14375</v>
      </c>
      <c r="H554" s="36">
        <f>(12500/100*10)+(12500/100*10)+(50000/100*10)+((10/100)*(-A554+F554))</f>
        <v>0</v>
      </c>
      <c r="I554" s="36">
        <f>(12500/100*25)+(12500/100*30)+(50000/100*40)+((55/100)*(-A554+F554))</f>
        <v>-14375</v>
      </c>
      <c r="J554" s="36">
        <f>(12500/100*10)+(12500/100*10)+(50000/100*10)+((10/100)*(-A554+F554))</f>
        <v>0</v>
      </c>
      <c r="K554" s="36">
        <f>(12500/100*30)+(12500/100*35)+(50000/100*50)+((65/100)*(-A554+F554))</f>
        <v>-15625</v>
      </c>
      <c r="L554" s="36">
        <f>(12500/100*10)+(12500/100*10)+(50000/100*10)+((10/100)*(-A554+F554))</f>
        <v>0</v>
      </c>
    </row>
    <row r="555" spans="1:20" hidden="1">
      <c r="A555" s="36">
        <v>150000</v>
      </c>
      <c r="B555" s="36"/>
      <c r="C555" s="36"/>
      <c r="D555" s="36"/>
      <c r="E555" s="36">
        <v>175000</v>
      </c>
      <c r="F555" s="36">
        <f>IF(AND(F535&gt;A555, F535&lt;=E555),F535,0)</f>
        <v>0</v>
      </c>
      <c r="G555" s="36">
        <f>(12500/100*20)+(12500/100*25)+(50000/100*35)+(75000/100*50)+((50/100)*(-A555+F555))</f>
        <v>-14375</v>
      </c>
      <c r="H555" s="36">
        <f>(12500/100*10)+(12500/100*10)+(50000/100*10)+(75000/100*10)+((50/100)*(-A555+F555))</f>
        <v>-60000</v>
      </c>
      <c r="I555" s="36">
        <f>(12500/100*25)+(12500/100*30)+(50000/100*40)+(75000/100*55)+((55/100)*(-A555+F555))</f>
        <v>-14375</v>
      </c>
      <c r="J555" s="36">
        <f>(12500/100*10)+(12500/100*10)+(50000/100*10)+(75000/100*10)+((55/100)*(-A555+F555))</f>
        <v>-67500</v>
      </c>
      <c r="K555" s="36">
        <f>(12500/100*30)+(12500/100*35)+(50000/100*50)+(75000/100*65)+((65/100)*(-A555+F555))</f>
        <v>-15625</v>
      </c>
      <c r="L555" s="36">
        <f>(12500/100*10)+(12500/100*10)+(50000/100*10)+(75000/100*10)+((65/100)*(-A555+F555))</f>
        <v>-82500</v>
      </c>
    </row>
    <row r="556" spans="1:20" hidden="1">
      <c r="A556" s="36">
        <v>175000</v>
      </c>
      <c r="B556" s="36"/>
      <c r="C556" s="36"/>
      <c r="D556" s="36"/>
      <c r="E556" s="36">
        <v>999999999</v>
      </c>
      <c r="F556" s="36">
        <f>IF(AND(F535&gt;A556, F535&lt;=E556),F535,0)</f>
        <v>0</v>
      </c>
      <c r="G556" s="36">
        <f>(12500/100*20)+(12500/100*25)+(50000/100*35)+(75000/100*50)+(25000/100*50)+((65/100)*(-A556+F556))</f>
        <v>-40625</v>
      </c>
      <c r="H556" s="36">
        <f>(12500/100*10)+(12500/100*10)+(50000/100*10)+(75000/100*10)+(25000/100*50)+((65/100)*(-A556+F556))</f>
        <v>-86250</v>
      </c>
      <c r="I556" s="36">
        <f>(12500/100*25)+(12500/100*30)+(50000/100*40)+(75000/100*55)+(25000/100*55)+((70/100)*(-A556+F556))</f>
        <v>-40624.999999999985</v>
      </c>
      <c r="J556" s="36">
        <f>(12500/100*10)+(12500/100*10)+(50000/100*10)+(75000/100*10)+(25000/100*55)+((70/100)*(-A556+F556))</f>
        <v>-93749.999999999985</v>
      </c>
      <c r="K556" s="36">
        <f>(12500/100*30)+(12500/100*35)+(50000/100*50)+(75000/100*65)+(25000/100*65)+((80/100)*(-A556+F556))</f>
        <v>-41875</v>
      </c>
      <c r="L556" s="36">
        <f>(12500/100*10)+(12500/100*10)+(50000/100*10)+(75000/100*10)+(25000/100*65)+((80/100)*(-A556+F556))</f>
        <v>-108750</v>
      </c>
    </row>
    <row r="557" spans="1:20" hidden="1">
      <c r="A557" s="42" t="s">
        <v>14</v>
      </c>
      <c r="B557" s="42"/>
      <c r="C557" s="42"/>
      <c r="D557" s="42"/>
      <c r="E557" s="36"/>
      <c r="F557" s="36"/>
      <c r="G557" s="36">
        <f>VLOOKUP(F535,F551:G556,2,FALSE)</f>
        <v>0</v>
      </c>
      <c r="H557" s="36">
        <f>VLOOKUP(F535,F551:H556,3,FALSE)</f>
        <v>0</v>
      </c>
      <c r="I557" s="36">
        <f>VLOOKUP(F535,F551:I556,4,FALSE)</f>
        <v>0</v>
      </c>
      <c r="J557" s="36">
        <f>VLOOKUP(F535,F551:J556,5,FALSE)</f>
        <v>0</v>
      </c>
      <c r="K557" s="36">
        <f>VLOOKUP(F535,F551:K556,6,FALSE)</f>
        <v>0</v>
      </c>
      <c r="L557" s="36">
        <f>VLOOKUP(F535,F551:L556,7,FALSE)</f>
        <v>0</v>
      </c>
    </row>
    <row r="558" spans="1:20" hidden="1"/>
    <row r="559" spans="1:20" hidden="1"/>
    <row r="560" spans="1:2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spans="1:14" hidden="1"/>
    <row r="626" spans="1:14" hidden="1"/>
    <row r="627" spans="1:14" hidden="1"/>
    <row r="628" spans="1:14" hidden="1"/>
    <row r="629" spans="1:14" hidden="1"/>
    <row r="630" spans="1:14" hidden="1"/>
    <row r="631" spans="1:14" hidden="1"/>
    <row r="632" spans="1:14" hidden="1"/>
    <row r="633" spans="1:14" hidden="1"/>
    <row r="634" spans="1:14" hidden="1"/>
    <row r="635" spans="1:14" hidden="1">
      <c r="E635" s="24"/>
      <c r="G635" s="24"/>
      <c r="J635" s="7">
        <f>IF(AND(E16="bouwgrond",F40="echtgeno(o)t(e)"),H650,0)</f>
        <v>0</v>
      </c>
    </row>
    <row r="636" spans="1:14" hidden="1">
      <c r="E636" s="24"/>
      <c r="G636" s="24"/>
      <c r="J636" s="7">
        <f>IF(AND(E16="andere",F40="echtgeno(o)t(e)"),G650,0)</f>
        <v>0</v>
      </c>
    </row>
    <row r="637" spans="1:14" hidden="1">
      <c r="A637" s="35"/>
      <c r="B637" s="35"/>
      <c r="C637" s="35"/>
      <c r="D637" s="35"/>
      <c r="E637" s="36"/>
      <c r="F637" s="37"/>
      <c r="G637" s="36"/>
      <c r="H637" s="36"/>
      <c r="I637" s="38"/>
      <c r="J637" s="39">
        <f>IF(AND(E16="bouwgrond",F40="rechte lijn"),H650,0)</f>
        <v>0</v>
      </c>
      <c r="K637" s="38"/>
      <c r="L637" s="40"/>
    </row>
    <row r="638" spans="1:14" hidden="1">
      <c r="A638" s="36" t="s">
        <v>10</v>
      </c>
      <c r="B638" s="36"/>
      <c r="C638" s="36"/>
      <c r="D638" s="36"/>
      <c r="E638" s="36"/>
      <c r="F638" s="36">
        <f>G40</f>
        <v>0</v>
      </c>
      <c r="G638" s="41"/>
      <c r="H638" s="36"/>
      <c r="I638" s="36"/>
      <c r="J638" s="39">
        <f>IF(AND(E16="andere",F40="rechte lijn"),G650,0)</f>
        <v>0</v>
      </c>
      <c r="K638" s="36"/>
      <c r="L638" s="40"/>
    </row>
    <row r="639" spans="1:14" hidden="1">
      <c r="A639" s="36"/>
      <c r="B639" s="36"/>
      <c r="C639" s="36"/>
      <c r="D639" s="36"/>
      <c r="E639" s="36"/>
      <c r="F639" s="36"/>
      <c r="G639" s="36"/>
      <c r="H639" s="36"/>
      <c r="I639" s="36"/>
      <c r="J639" s="39">
        <f>IF(AND(E16="bouwgrond",F40="broer/zuster"),H660,0)</f>
        <v>0</v>
      </c>
      <c r="K639" s="36"/>
      <c r="L639" s="36"/>
      <c r="N639" s="7" t="s">
        <v>77</v>
      </c>
    </row>
    <row r="640" spans="1:14" hidden="1">
      <c r="A640" s="37" t="s">
        <v>11</v>
      </c>
      <c r="B640" s="37"/>
      <c r="C640" s="37"/>
      <c r="D640" s="37"/>
      <c r="E640" s="36"/>
      <c r="F640" s="36"/>
      <c r="G640" s="38" t="s">
        <v>12</v>
      </c>
      <c r="H640" s="38" t="s">
        <v>13</v>
      </c>
      <c r="I640" s="36"/>
      <c r="J640" s="39">
        <f>IF(AND(E16="andere",F40="broer/zuster"),G660,0)</f>
        <v>0</v>
      </c>
      <c r="K640" s="36"/>
      <c r="L640" s="36"/>
    </row>
    <row r="641" spans="1:20" hidden="1">
      <c r="A641" s="36">
        <v>0</v>
      </c>
      <c r="B641" s="36"/>
      <c r="C641" s="36"/>
      <c r="D641" s="36"/>
      <c r="E641" s="36">
        <v>12500</v>
      </c>
      <c r="F641" s="36">
        <f>IF(AND(F638&gt;A641, F638&lt;=E641),F638,0)</f>
        <v>0</v>
      </c>
      <c r="G641" s="36">
        <f>0+(3/100)*(-A641+F641)</f>
        <v>0</v>
      </c>
      <c r="H641" s="36">
        <f>0+(1/100)*(-A641+F641)</f>
        <v>0</v>
      </c>
      <c r="I641" s="36"/>
      <c r="J641" s="39">
        <f>IF(AND(E16="bouwgrond",F40="oom-tante/neef-nicht"),J660,0)</f>
        <v>0</v>
      </c>
      <c r="K641" s="36"/>
      <c r="L641" s="36"/>
      <c r="M641" s="7" t="s">
        <v>78</v>
      </c>
      <c r="N641" s="7">
        <f>IF(I40=3,J646*12%,0)</f>
        <v>0</v>
      </c>
      <c r="O641" s="7">
        <f>IF(N641&gt;372,372,N641)</f>
        <v>0</v>
      </c>
      <c r="Q641" s="7" t="s">
        <v>79</v>
      </c>
      <c r="R641" s="7">
        <f>J646*6%</f>
        <v>0</v>
      </c>
      <c r="S641" s="7">
        <f>IF(R641&gt;186,186,R641)</f>
        <v>0</v>
      </c>
      <c r="T641" s="7">
        <f>IF(I40=3,S641,0)</f>
        <v>0</v>
      </c>
    </row>
    <row r="642" spans="1:20" hidden="1">
      <c r="A642" s="36">
        <f t="shared" ref="A642:A649" si="11">E641</f>
        <v>12500</v>
      </c>
      <c r="B642" s="36"/>
      <c r="C642" s="36"/>
      <c r="D642" s="36"/>
      <c r="E642" s="36">
        <v>25000</v>
      </c>
      <c r="F642" s="36">
        <f>IF(AND(F638&gt;A642, F638&lt;=E642),F638,0)</f>
        <v>0</v>
      </c>
      <c r="G642" s="36">
        <f>(12500/100*3)+(4/100)*(-A642+F642)</f>
        <v>-125</v>
      </c>
      <c r="H642" s="36">
        <f>(12500/100*1)+(2/100)*(-A642+F642)</f>
        <v>-125</v>
      </c>
      <c r="I642" s="36"/>
      <c r="J642" s="39">
        <f>IF(AND(E16="andere",F40="oom-tante/neef-nicht"),I660,0)</f>
        <v>0</v>
      </c>
      <c r="K642" s="36"/>
      <c r="N642" s="7">
        <f>IF(I40=4,J646*16%,0)</f>
        <v>0</v>
      </c>
      <c r="O642" s="7">
        <f>IF(N642&gt;496,496,N642)</f>
        <v>0</v>
      </c>
      <c r="Q642" s="7" t="s">
        <v>80</v>
      </c>
      <c r="R642" s="7">
        <f>J646*8%</f>
        <v>0</v>
      </c>
      <c r="S642" s="7">
        <f>IF(R642&gt;248,248,R642)</f>
        <v>0</v>
      </c>
      <c r="T642" s="7">
        <f>IF(I40=4,S642,0)</f>
        <v>0</v>
      </c>
    </row>
    <row r="643" spans="1:20" hidden="1">
      <c r="A643" s="36">
        <f t="shared" si="11"/>
        <v>25000</v>
      </c>
      <c r="B643" s="36"/>
      <c r="C643" s="36"/>
      <c r="D643" s="36"/>
      <c r="E643" s="36">
        <v>50000</v>
      </c>
      <c r="F643" s="36">
        <f>IF(AND(F638&gt;A643, F638&lt;=E643),F638,0)</f>
        <v>0</v>
      </c>
      <c r="G643" s="36">
        <f>(12500/100*3)+(12500/100*4)+((5/100)*(-A643+F643))</f>
        <v>-375</v>
      </c>
      <c r="H643" s="36">
        <f>(12500/100*1)+(12500/100*2)+((3/100)*(-A643+F643))</f>
        <v>-375</v>
      </c>
      <c r="I643" s="36"/>
      <c r="J643" s="39">
        <f>IF(AND(E16="bouwgrond",F40="vreemden"),L660,0)</f>
        <v>0</v>
      </c>
      <c r="K643" s="36"/>
      <c r="L643" s="36"/>
      <c r="N643" s="7">
        <f>IF(I40=5,J646*20%,0)</f>
        <v>0</v>
      </c>
      <c r="O643" s="7">
        <f>IF(N643&gt;620,620,N643)</f>
        <v>0</v>
      </c>
      <c r="R643" s="7">
        <f>J646*10%</f>
        <v>0</v>
      </c>
      <c r="S643" s="7">
        <f>IF(R643&gt;310,310,R643)</f>
        <v>0</v>
      </c>
      <c r="T643" s="7">
        <f>IF(I40=5,S643,0)</f>
        <v>0</v>
      </c>
    </row>
    <row r="644" spans="1:20" hidden="1">
      <c r="A644" s="36">
        <f t="shared" si="11"/>
        <v>50000</v>
      </c>
      <c r="B644" s="36"/>
      <c r="C644" s="36"/>
      <c r="D644" s="36"/>
      <c r="E644" s="36">
        <v>100000</v>
      </c>
      <c r="F644" s="36">
        <f>IF(AND(F638&gt;A644, F638&lt;=E644),F638,0)</f>
        <v>0</v>
      </c>
      <c r="G644" s="36">
        <f>(12500/100*3)+(12500/100*4)+(25000/100*5)+((7/100)*(-A644+F644))</f>
        <v>-1375.0000000000005</v>
      </c>
      <c r="H644" s="36">
        <f>(12500/100*1)+(12500/100*2)+(25000/100*3)+((5/100)*(-A644+F644))</f>
        <v>-1375</v>
      </c>
      <c r="I644" s="36"/>
      <c r="J644" s="39">
        <f>IF(AND(E16="andere",F40="vreemden"),K660,0)</f>
        <v>0</v>
      </c>
      <c r="K644" s="36"/>
      <c r="L644" s="36"/>
      <c r="N644" s="7">
        <f>IF(I40=6,J646*24%,0)</f>
        <v>0</v>
      </c>
      <c r="O644" s="7">
        <f>IF(N644&gt;744,744,N644)</f>
        <v>0</v>
      </c>
      <c r="R644" s="7">
        <f>J646*12%</f>
        <v>0</v>
      </c>
      <c r="S644" s="7">
        <f>IF(R644&gt;372,372,R644)</f>
        <v>0</v>
      </c>
      <c r="T644" s="7">
        <f>IF(I40=6,S644,0)</f>
        <v>0</v>
      </c>
    </row>
    <row r="645" spans="1:20" hidden="1">
      <c r="A645" s="36">
        <f t="shared" si="11"/>
        <v>100000</v>
      </c>
      <c r="B645" s="36"/>
      <c r="C645" s="36"/>
      <c r="D645" s="36"/>
      <c r="E645" s="36">
        <v>150000</v>
      </c>
      <c r="F645" s="36">
        <f>IF(AND(F638&gt;A645, F638&lt;=E645),F638,0)</f>
        <v>0</v>
      </c>
      <c r="G645" s="36">
        <f>(12500/100*3)+(12500/100*4)+(25000/100*5)+(50000/100*7)+((10/100)*(-A645+F645))</f>
        <v>-4375</v>
      </c>
      <c r="H645" s="36">
        <f>(12500/100*1)+(12500/100*2)+(25000/100*3)+(50000/100*5)+((8/100)*(-A645+F645))</f>
        <v>-4375</v>
      </c>
      <c r="I645" s="36"/>
      <c r="J645" s="36"/>
      <c r="K645" s="36"/>
      <c r="L645" s="36"/>
      <c r="N645" s="7">
        <f>IF(I40=7,J646*28%,0)</f>
        <v>0</v>
      </c>
      <c r="O645" s="7">
        <f>IF(N645&gt;868,868,N645)</f>
        <v>0</v>
      </c>
      <c r="R645" s="7">
        <f>J646*14%</f>
        <v>0</v>
      </c>
      <c r="S645" s="7">
        <f>IF(R645&gt;434,434,R645)</f>
        <v>0</v>
      </c>
      <c r="T645" s="7">
        <f>IF(I40=7,S645,0)</f>
        <v>0</v>
      </c>
    </row>
    <row r="646" spans="1:20" hidden="1">
      <c r="A646" s="36">
        <f t="shared" si="11"/>
        <v>150000</v>
      </c>
      <c r="B646" s="36"/>
      <c r="C646" s="36"/>
      <c r="D646" s="36"/>
      <c r="E646" s="36">
        <v>200000</v>
      </c>
      <c r="F646" s="36">
        <f>IF(AND(F638&gt;A646, F638&lt;=E646),F638,0)</f>
        <v>0</v>
      </c>
      <c r="G646" s="36">
        <f>(12500/100*3)+(12500/100*4)+(25000/100*5)+(50000/100*7)+(50000/100*10)+((14/100)*(-A646+F646))</f>
        <v>-10375.000000000004</v>
      </c>
      <c r="H646" s="36">
        <f>(12500/100*1)+(12500/100*2)+(25000/100*3)+(50000/100*5)+(50000/100*8)+((14/100)*(-A646+F646))</f>
        <v>-13375.000000000004</v>
      </c>
      <c r="I646" s="36"/>
      <c r="J646" s="36">
        <f>SUM(J635:J644)</f>
        <v>0</v>
      </c>
      <c r="K646" s="36"/>
      <c r="L646" s="36"/>
      <c r="N646" s="7">
        <f>IF(I40=8,J646*32%,0)</f>
        <v>0</v>
      </c>
      <c r="O646" s="7">
        <f>IF(N646&gt;992,992,N646)</f>
        <v>0</v>
      </c>
      <c r="R646" s="7">
        <f>J646*16%</f>
        <v>0</v>
      </c>
      <c r="S646" s="7">
        <f>IF(R646&gt;496,496,R646)</f>
        <v>0</v>
      </c>
      <c r="T646" s="7">
        <f>IF(I40=8,S646,0)</f>
        <v>0</v>
      </c>
    </row>
    <row r="647" spans="1:20" hidden="1">
      <c r="A647" s="36">
        <f t="shared" si="11"/>
        <v>200000</v>
      </c>
      <c r="B647" s="36"/>
      <c r="C647" s="36"/>
      <c r="D647" s="36"/>
      <c r="E647" s="36">
        <v>250000</v>
      </c>
      <c r="F647" s="36">
        <f>IF(AND(F638&gt;A647, F638&lt;=E647),F638,0)</f>
        <v>0</v>
      </c>
      <c r="G647" s="36">
        <f>(12500/100*3)+(12500/100*4)+(25000/100*5)+(50000/100*7)+(50000/100*10)+(50000/100*14)+((18/100)*(-A647+F647))</f>
        <v>-18375</v>
      </c>
      <c r="H647" s="36">
        <f>(12500/100*1)+(12500/100*2)+(25000/100*3)+(50000/100*5)+(50000/100*8)+(50000/100*14)+((18/100)*(-A647+F647))</f>
        <v>-21375</v>
      </c>
      <c r="I647" s="36"/>
      <c r="J647" s="36"/>
      <c r="K647" s="36"/>
      <c r="L647" s="36"/>
      <c r="N647" s="7">
        <f>IF(I40=9,J646*36%,0)</f>
        <v>0</v>
      </c>
      <c r="O647" s="7">
        <f>IF(N647&gt;1116,1116,N647)</f>
        <v>0</v>
      </c>
      <c r="R647" s="7">
        <f>J646*18%</f>
        <v>0</v>
      </c>
      <c r="S647" s="7">
        <f>IF(R647&gt;558,558,R647)</f>
        <v>0</v>
      </c>
      <c r="T647" s="7">
        <f>IF(I40=9,S647,0)</f>
        <v>0</v>
      </c>
    </row>
    <row r="648" spans="1:20" hidden="1">
      <c r="A648" s="36">
        <f t="shared" si="11"/>
        <v>250000</v>
      </c>
      <c r="B648" s="36"/>
      <c r="C648" s="36"/>
      <c r="D648" s="36"/>
      <c r="E648" s="36">
        <v>500000</v>
      </c>
      <c r="F648" s="36">
        <f>IF(AND(F638&gt;A648, F638&lt;=E648),F638,0)</f>
        <v>0</v>
      </c>
      <c r="G648" s="36">
        <f>(12500/100*3)+(12500/100*4)+(25000/100*5)+(50000/100*7)+(50000/100*10)+(50000/100*14)+(50000/100*18)+((24/100)*(-A648+F648))</f>
        <v>-33375</v>
      </c>
      <c r="H648" s="36">
        <f>(12500/100*1)+(12500/100*2)+(25000/100*3)+(50000/100*5)+(50000/100*8)+(50000/100*14)+(50000/100*18)+((24/100)*(-A648+F648))</f>
        <v>-36375</v>
      </c>
      <c r="I648" s="36"/>
      <c r="J648" s="36"/>
      <c r="K648" s="36"/>
      <c r="L648" s="36"/>
      <c r="N648" s="7">
        <f>IF(I40=10,J646*40%,0)</f>
        <v>0</v>
      </c>
      <c r="O648" s="7">
        <f>IF(N648&gt;1240,1240,N648)</f>
        <v>0</v>
      </c>
      <c r="R648" s="7">
        <f>J646*20%</f>
        <v>0</v>
      </c>
      <c r="S648" s="7">
        <f>IF(R648&gt;620,620,R648)</f>
        <v>0</v>
      </c>
      <c r="T648" s="7">
        <f>IF(I40=10,S648,0)</f>
        <v>0</v>
      </c>
    </row>
    <row r="649" spans="1:20" hidden="1">
      <c r="A649" s="36">
        <f t="shared" si="11"/>
        <v>500000</v>
      </c>
      <c r="B649" s="36"/>
      <c r="C649" s="36"/>
      <c r="D649" s="36"/>
      <c r="E649" s="36">
        <v>999999999</v>
      </c>
      <c r="F649" s="36">
        <f>IF(AND(F638&gt;A649, F638&lt;=E649),F638,0)</f>
        <v>0</v>
      </c>
      <c r="G649" s="36">
        <f>(12500/100*3)+(12500/100*4)+(25000/100*5)+(50000/100*7)+(50000/100*10)+(50000/100*14)+(50000/100*18)+(250000/100*24)+((30/100)*(-A649+F649))</f>
        <v>-63375</v>
      </c>
      <c r="H649" s="36">
        <f>(12500/100*1)+(12500/100*2)+(25000/100*3)+(50000/100*5)+(50000/100*8)+(50000/100*14)+(50000/100*18)+(250000/100*24)+((30/100)*(-A649+F649))</f>
        <v>-66375</v>
      </c>
      <c r="I649" s="36"/>
      <c r="J649" s="36"/>
      <c r="K649" s="36"/>
      <c r="L649" s="36"/>
    </row>
    <row r="650" spans="1:20" hidden="1">
      <c r="A650" s="42" t="s">
        <v>14</v>
      </c>
      <c r="B650" s="42"/>
      <c r="C650" s="42"/>
      <c r="D650" s="42"/>
      <c r="E650" s="36"/>
      <c r="F650" s="36"/>
      <c r="G650" s="36">
        <f>VLOOKUP(F638,F641:G649,2,FALSE)</f>
        <v>0</v>
      </c>
      <c r="H650" s="36">
        <f>VLOOKUP(F638,F641:H649,3,FALSE)</f>
        <v>0</v>
      </c>
      <c r="I650" s="36"/>
      <c r="J650" s="36"/>
      <c r="K650" s="36"/>
      <c r="L650" s="43"/>
      <c r="O650" s="7">
        <f>SUM(O641:O649)</f>
        <v>0</v>
      </c>
      <c r="T650" s="7">
        <f>SUM(T641:T649)</f>
        <v>0</v>
      </c>
    </row>
    <row r="651" spans="1:20" hidden="1">
      <c r="A651" s="36"/>
      <c r="B651" s="36"/>
      <c r="C651" s="36"/>
      <c r="D651" s="36"/>
      <c r="E651" s="36"/>
      <c r="F651" s="36"/>
      <c r="G651" s="36"/>
      <c r="H651" s="36"/>
      <c r="I651" s="36"/>
      <c r="J651" s="36"/>
      <c r="K651" s="36"/>
      <c r="L651" s="43"/>
      <c r="O651" s="29"/>
    </row>
    <row r="652" spans="1:20" hidden="1">
      <c r="A652" s="36"/>
      <c r="B652" s="36"/>
      <c r="C652" s="36"/>
      <c r="D652" s="36"/>
      <c r="E652" s="36"/>
      <c r="F652" s="36"/>
      <c r="G652" s="36"/>
      <c r="H652" s="36"/>
      <c r="I652" s="36"/>
      <c r="J652" s="36"/>
      <c r="K652" s="36"/>
      <c r="L652" s="43"/>
      <c r="O652" s="29"/>
    </row>
    <row r="653" spans="1:20" hidden="1">
      <c r="A653" s="37" t="s">
        <v>15</v>
      </c>
      <c r="B653" s="37"/>
      <c r="C653" s="37"/>
      <c r="D653" s="37"/>
      <c r="E653" s="36"/>
      <c r="F653" s="36"/>
      <c r="G653" s="38" t="s">
        <v>16</v>
      </c>
      <c r="H653" s="38" t="s">
        <v>17</v>
      </c>
      <c r="I653" s="35" t="s">
        <v>18</v>
      </c>
      <c r="J653" s="35" t="s">
        <v>19</v>
      </c>
      <c r="K653" s="35" t="s">
        <v>20</v>
      </c>
      <c r="L653" s="35" t="s">
        <v>21</v>
      </c>
      <c r="O653" s="29"/>
    </row>
    <row r="654" spans="1:20" hidden="1">
      <c r="A654" s="36">
        <v>0</v>
      </c>
      <c r="B654" s="36"/>
      <c r="C654" s="36"/>
      <c r="D654" s="36"/>
      <c r="E654" s="36">
        <v>12500</v>
      </c>
      <c r="F654" s="36">
        <f>IF(AND(F638&gt;A654, F638&lt;=E654),F638,0)</f>
        <v>0</v>
      </c>
      <c r="G654" s="36">
        <f>0+(20/100)*(-A654+F654)</f>
        <v>0</v>
      </c>
      <c r="H654" s="36">
        <f>0+(10/100)*(-A654+F654)</f>
        <v>0</v>
      </c>
      <c r="I654" s="36">
        <f>0+(25/100)*(-A654+F654)</f>
        <v>0</v>
      </c>
      <c r="J654" s="36">
        <f>0+(10/100)*(-A654+F654)</f>
        <v>0</v>
      </c>
      <c r="K654" s="36">
        <f>0+(30/100)*(-A654+F654)</f>
        <v>0</v>
      </c>
      <c r="L654" s="36">
        <f>0+(10/100)*(-A654+F654)</f>
        <v>0</v>
      </c>
      <c r="M654" s="7" t="s">
        <v>81</v>
      </c>
      <c r="N654" s="16">
        <f>J646-O650</f>
        <v>0</v>
      </c>
      <c r="O654" s="29"/>
      <c r="P654" s="7" t="s">
        <v>82</v>
      </c>
      <c r="Q654" s="44">
        <f>J646-T650</f>
        <v>0</v>
      </c>
    </row>
    <row r="655" spans="1:20" hidden="1">
      <c r="A655" s="36">
        <f>E654</f>
        <v>12500</v>
      </c>
      <c r="B655" s="36"/>
      <c r="C655" s="36"/>
      <c r="D655" s="36"/>
      <c r="E655" s="36">
        <v>25000</v>
      </c>
      <c r="F655" s="36">
        <f>IF(AND(F638&gt;A655, F638&lt;=E655),F638,0)</f>
        <v>0</v>
      </c>
      <c r="G655" s="36">
        <f>(12500/100*20)+((25/100)*(-A655+F655))</f>
        <v>-625</v>
      </c>
      <c r="H655" s="36">
        <f>(12500/100*10)+((10/100)*(-A655+F655))</f>
        <v>0</v>
      </c>
      <c r="I655" s="36">
        <f>(12500/100*25)+((30/100)*(-A655+F655))</f>
        <v>-625</v>
      </c>
      <c r="J655" s="36">
        <f>(12500/100*10)+((10/100)*(-A655+F655))</f>
        <v>0</v>
      </c>
      <c r="K655" s="36">
        <f>(12500/100*30)+((35/100)*(-A655+F655))</f>
        <v>-625</v>
      </c>
      <c r="L655" s="36">
        <f>(12500/100*10)+((10/100)*(-A655+F655))</f>
        <v>0</v>
      </c>
    </row>
    <row r="656" spans="1:20" hidden="1">
      <c r="A656" s="36">
        <f>E655</f>
        <v>25000</v>
      </c>
      <c r="B656" s="36"/>
      <c r="C656" s="36"/>
      <c r="D656" s="36"/>
      <c r="E656" s="36">
        <v>75000</v>
      </c>
      <c r="F656" s="36">
        <f>IF(AND(F638&gt;A656, F638&lt;=E656),F638,0)</f>
        <v>0</v>
      </c>
      <c r="G656" s="36">
        <f>(12500/100*20)+(12500/100*25)+((35/100)*(-A656+F656))</f>
        <v>-3125</v>
      </c>
      <c r="H656" s="36">
        <f>(12500/100*10)+(12500/100*10)+((10/100)*(-A656+F656))</f>
        <v>0</v>
      </c>
      <c r="I656" s="36">
        <f>(12500/100*25)+(12500/100*30)+((40/100)*(-A656+F656))</f>
        <v>-3125</v>
      </c>
      <c r="J656" s="36">
        <f>(12500/100*10)+(12500/100*10)+((10/100)*(-A656+F656))</f>
        <v>0</v>
      </c>
      <c r="K656" s="36">
        <f>(12500/100*30)+(12500/100*35)+((50/100)*(-A656+F656))</f>
        <v>-4375</v>
      </c>
      <c r="L656" s="36">
        <f>(12500/100*10)+(12500/100*10)+((10/100)*(-A656+F656))</f>
        <v>0</v>
      </c>
      <c r="O656" s="7">
        <f>(IF(F40="echtgeno(o)t(e)",N654,Q654))</f>
        <v>0</v>
      </c>
    </row>
    <row r="657" spans="1:12" hidden="1">
      <c r="A657" s="36">
        <f>E656</f>
        <v>75000</v>
      </c>
      <c r="B657" s="36"/>
      <c r="C657" s="36"/>
      <c r="D657" s="36"/>
      <c r="E657" s="36">
        <v>150000</v>
      </c>
      <c r="F657" s="36">
        <f>IF(AND(F638&gt;A657, F638&lt;=E657),F638,0)</f>
        <v>0</v>
      </c>
      <c r="G657" s="36">
        <f>(12500/100*20)+(12500/100*25)+(50000/100*35)+((50/100)*(-A657+F657))</f>
        <v>-14375</v>
      </c>
      <c r="H657" s="36">
        <f>(12500/100*10)+(12500/100*10)+(50000/100*10)+((10/100)*(-A657+F657))</f>
        <v>0</v>
      </c>
      <c r="I657" s="36">
        <f>(12500/100*25)+(12500/100*30)+(50000/100*40)+((55/100)*(-A657+F657))</f>
        <v>-14375</v>
      </c>
      <c r="J657" s="36">
        <f>(12500/100*10)+(12500/100*10)+(50000/100*10)+((10/100)*(-A657+F657))</f>
        <v>0</v>
      </c>
      <c r="K657" s="36">
        <f>(12500/100*30)+(12500/100*35)+(50000/100*50)+((65/100)*(-A657+F657))</f>
        <v>-15625</v>
      </c>
      <c r="L657" s="36">
        <f>(12500/100*10)+(12500/100*10)+(50000/100*10)+((10/100)*(-A657+F657))</f>
        <v>0</v>
      </c>
    </row>
    <row r="658" spans="1:12" hidden="1">
      <c r="A658" s="36">
        <v>150000</v>
      </c>
      <c r="B658" s="36"/>
      <c r="C658" s="36"/>
      <c r="D658" s="36"/>
      <c r="E658" s="36">
        <v>175000</v>
      </c>
      <c r="F658" s="36">
        <f>IF(AND(F638&gt;A658, F638&lt;=E658),F638,0)</f>
        <v>0</v>
      </c>
      <c r="G658" s="36">
        <f>(12500/100*20)+(12500/100*25)+(50000/100*35)+(75000/100*50)+((50/100)*(-A658+F658))</f>
        <v>-14375</v>
      </c>
      <c r="H658" s="36">
        <f>(12500/100*10)+(12500/100*10)+(50000/100*10)+(75000/100*10)+((50/100)*(-A658+F658))</f>
        <v>-60000</v>
      </c>
      <c r="I658" s="36">
        <f>(12500/100*25)+(12500/100*30)+(50000/100*40)+(75000/100*55)+((55/100)*(-A658+F658))</f>
        <v>-14375</v>
      </c>
      <c r="J658" s="36">
        <f>(12500/100*10)+(12500/100*10)+(50000/100*10)+(75000/100*10)+((55/100)*(-A658+F658))</f>
        <v>-67500</v>
      </c>
      <c r="K658" s="36">
        <f>(12500/100*30)+(12500/100*35)+(50000/100*50)+(75000/100*65)+((65/100)*(-A658+F658))</f>
        <v>-15625</v>
      </c>
      <c r="L658" s="36">
        <f>(12500/100*10)+(12500/100*10)+(50000/100*10)+(75000/100*10)+((65/100)*(-A658+F658))</f>
        <v>-82500</v>
      </c>
    </row>
    <row r="659" spans="1:12" hidden="1">
      <c r="A659" s="36">
        <v>175000</v>
      </c>
      <c r="B659" s="36"/>
      <c r="C659" s="36"/>
      <c r="D659" s="36"/>
      <c r="E659" s="36">
        <v>999999999</v>
      </c>
      <c r="F659" s="36">
        <f>IF(AND(F638&gt;A659, F638&lt;=E659),F638,0)</f>
        <v>0</v>
      </c>
      <c r="G659" s="36">
        <f>(12500/100*20)+(12500/100*25)+(50000/100*35)+(75000/100*50)+(25000/100*50)+((65/100)*(-A659+F659))</f>
        <v>-40625</v>
      </c>
      <c r="H659" s="36">
        <f>(12500/100*10)+(12500/100*10)+(50000/100*10)+(75000/100*10)+(25000/100*50)+((65/100)*(-A659+F659))</f>
        <v>-86250</v>
      </c>
      <c r="I659" s="36">
        <f>(12500/100*25)+(12500/100*30)+(50000/100*40)+(75000/100*55)+(25000/100*55)+((70/100)*(-A659+F659))</f>
        <v>-40624.999999999985</v>
      </c>
      <c r="J659" s="36">
        <f>(12500/100*10)+(12500/100*10)+(50000/100*10)+(75000/100*10)+(25000/100*55)+((70/100)*(-A659+F659))</f>
        <v>-93749.999999999985</v>
      </c>
      <c r="K659" s="36">
        <f>(12500/100*30)+(12500/100*35)+(50000/100*50)+(75000/100*65)+(25000/100*65)+((80/100)*(-A659+F659))</f>
        <v>-41875</v>
      </c>
      <c r="L659" s="36">
        <f>(12500/100*10)+(12500/100*10)+(50000/100*10)+(75000/100*10)+(25000/100*65)+((80/100)*(-A659+F659))</f>
        <v>-108750</v>
      </c>
    </row>
    <row r="660" spans="1:12" hidden="1">
      <c r="A660" s="42" t="s">
        <v>14</v>
      </c>
      <c r="B660" s="42"/>
      <c r="C660" s="42"/>
      <c r="D660" s="42"/>
      <c r="E660" s="36"/>
      <c r="F660" s="36"/>
      <c r="G660" s="36">
        <f>VLOOKUP(F638,F654:G659,2,FALSE)</f>
        <v>0</v>
      </c>
      <c r="H660" s="36">
        <f>VLOOKUP(F638,F654:H659,3,FALSE)</f>
        <v>0</v>
      </c>
      <c r="I660" s="36">
        <f>VLOOKUP(F638,F654:I659,4,FALSE)</f>
        <v>0</v>
      </c>
      <c r="J660" s="36">
        <f>VLOOKUP(F638,F654:J659,5,FALSE)</f>
        <v>0</v>
      </c>
      <c r="K660" s="36">
        <f>VLOOKUP(F638,F654:K659,6,FALSE)</f>
        <v>0</v>
      </c>
      <c r="L660" s="36">
        <f>VLOOKUP(F638,F654:L659,7,FALSE)</f>
        <v>0</v>
      </c>
    </row>
    <row r="661" spans="1:12" hidden="1"/>
    <row r="662" spans="1:12" hidden="1"/>
    <row r="663" spans="1:12" hidden="1"/>
    <row r="664" spans="1:12" hidden="1"/>
    <row r="665" spans="1:12" hidden="1"/>
    <row r="666" spans="1:12" hidden="1"/>
    <row r="667" spans="1:12" hidden="1"/>
    <row r="668" spans="1:12" hidden="1"/>
    <row r="669" spans="1:12" hidden="1"/>
    <row r="670" spans="1:12" hidden="1"/>
    <row r="671" spans="1:12" hidden="1"/>
    <row r="672" spans="1:1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spans="1:20" hidden="1"/>
    <row r="738" spans="1:20" hidden="1">
      <c r="E738" s="24"/>
      <c r="G738" s="24"/>
      <c r="J738" s="7">
        <f>IF(AND(E16="bouwgrond",F45="echtgeno(o)t(e)"),H753,0)</f>
        <v>0</v>
      </c>
    </row>
    <row r="739" spans="1:20" hidden="1">
      <c r="E739" s="24"/>
      <c r="G739" s="24"/>
      <c r="J739" s="7">
        <f>IF(AND(E16="andere",F45="echtgeno(o)t(e)"),G753,0)</f>
        <v>0</v>
      </c>
    </row>
    <row r="740" spans="1:20" hidden="1">
      <c r="A740" s="35"/>
      <c r="B740" s="35"/>
      <c r="C740" s="35"/>
      <c r="D740" s="35"/>
      <c r="E740" s="36"/>
      <c r="F740" s="37"/>
      <c r="G740" s="36"/>
      <c r="H740" s="36"/>
      <c r="I740" s="38"/>
      <c r="J740" s="39">
        <f>IF(AND(E16="bouwgrond",F45="rechte lijn"),H753,0)</f>
        <v>0</v>
      </c>
      <c r="K740" s="38"/>
      <c r="L740" s="40"/>
    </row>
    <row r="741" spans="1:20" hidden="1">
      <c r="A741" s="36" t="s">
        <v>10</v>
      </c>
      <c r="B741" s="36"/>
      <c r="C741" s="36"/>
      <c r="D741" s="36"/>
      <c r="E741" s="36"/>
      <c r="F741" s="36">
        <f>G45</f>
        <v>0</v>
      </c>
      <c r="G741" s="41"/>
      <c r="H741" s="36"/>
      <c r="I741" s="36"/>
      <c r="J741" s="39">
        <f>IF(AND(E16="andere",F45="rechte lijn"),G753,0)</f>
        <v>0</v>
      </c>
      <c r="K741" s="36"/>
      <c r="L741" s="40"/>
    </row>
    <row r="742" spans="1:20" hidden="1">
      <c r="A742" s="36"/>
      <c r="B742" s="36"/>
      <c r="C742" s="36"/>
      <c r="D742" s="36"/>
      <c r="E742" s="36"/>
      <c r="F742" s="36"/>
      <c r="G742" s="36"/>
      <c r="H742" s="36"/>
      <c r="I742" s="36"/>
      <c r="J742" s="39">
        <f>IF(AND(E16="bouwgrond",F45="broer/zuster"),H763,0)</f>
        <v>0</v>
      </c>
      <c r="K742" s="36"/>
      <c r="L742" s="36"/>
      <c r="N742" s="7" t="s">
        <v>77</v>
      </c>
    </row>
    <row r="743" spans="1:20" hidden="1">
      <c r="A743" s="37" t="s">
        <v>11</v>
      </c>
      <c r="B743" s="37"/>
      <c r="C743" s="37"/>
      <c r="D743" s="37"/>
      <c r="E743" s="36"/>
      <c r="F743" s="36"/>
      <c r="G743" s="38" t="s">
        <v>12</v>
      </c>
      <c r="H743" s="38" t="s">
        <v>13</v>
      </c>
      <c r="I743" s="36"/>
      <c r="J743" s="39">
        <f>IF(AND(E16="andere",F45="broer/zuster"),G763,0)</f>
        <v>0</v>
      </c>
      <c r="K743" s="36"/>
      <c r="L743" s="36"/>
    </row>
    <row r="744" spans="1:20" hidden="1">
      <c r="A744" s="36">
        <v>0</v>
      </c>
      <c r="B744" s="36"/>
      <c r="C744" s="36"/>
      <c r="D744" s="36"/>
      <c r="E744" s="36">
        <v>12500</v>
      </c>
      <c r="F744" s="36">
        <f>IF(AND(F741&gt;A744, F741&lt;=E744),F741,0)</f>
        <v>0</v>
      </c>
      <c r="G744" s="36">
        <f>0+(3/100)*(-A744+F744)</f>
        <v>0</v>
      </c>
      <c r="H744" s="36">
        <f>0+(1/100)*(-A744+F744)</f>
        <v>0</v>
      </c>
      <c r="I744" s="36"/>
      <c r="J744" s="39">
        <f>IF(AND(E16="bouwgrond",F45="oom-tante/neef-nicht"),J763,0)</f>
        <v>0</v>
      </c>
      <c r="K744" s="36"/>
      <c r="L744" s="36"/>
      <c r="M744" s="7" t="s">
        <v>78</v>
      </c>
      <c r="N744" s="7">
        <f>IF(I45=3,J749*12%,0)</f>
        <v>0</v>
      </c>
      <c r="O744" s="7">
        <f>IF(N744&gt;372,372,N744)</f>
        <v>0</v>
      </c>
      <c r="Q744" s="7" t="s">
        <v>79</v>
      </c>
      <c r="R744" s="7">
        <f>J749*6%</f>
        <v>0</v>
      </c>
      <c r="S744" s="7">
        <f>IF(R744&gt;186,186,R744)</f>
        <v>0</v>
      </c>
      <c r="T744" s="7">
        <f>IF(I45=3,S744,0)</f>
        <v>0</v>
      </c>
    </row>
    <row r="745" spans="1:20" hidden="1">
      <c r="A745" s="36">
        <f t="shared" ref="A745:A752" si="12">E744</f>
        <v>12500</v>
      </c>
      <c r="B745" s="36"/>
      <c r="C745" s="36"/>
      <c r="D745" s="36"/>
      <c r="E745" s="36">
        <v>25000</v>
      </c>
      <c r="F745" s="36">
        <f>IF(AND(F741&gt;A745, F741&lt;=E745),F741,0)</f>
        <v>0</v>
      </c>
      <c r="G745" s="36">
        <f>(12500/100*3)+(4/100)*(-A745+F745)</f>
        <v>-125</v>
      </c>
      <c r="H745" s="36">
        <f>(12500/100*1)+(2/100)*(-A745+F745)</f>
        <v>-125</v>
      </c>
      <c r="I745" s="36"/>
      <c r="J745" s="39">
        <f>IF(AND(E16="andere",F45="oom-tante/neef-nicht"),I763,0)</f>
        <v>0</v>
      </c>
      <c r="K745" s="36"/>
      <c r="N745" s="7">
        <f>IF(I45=4,J749*16%,0)</f>
        <v>0</v>
      </c>
      <c r="O745" s="7">
        <f>IF(N745&gt;496,496,N745)</f>
        <v>0</v>
      </c>
      <c r="Q745" s="7" t="s">
        <v>80</v>
      </c>
      <c r="R745" s="7">
        <f>J749*8%</f>
        <v>0</v>
      </c>
      <c r="S745" s="7">
        <f>IF(R745&gt;248,248,R745)</f>
        <v>0</v>
      </c>
      <c r="T745" s="7">
        <f>IF(I45=4,S745,0)</f>
        <v>0</v>
      </c>
    </row>
    <row r="746" spans="1:20" hidden="1">
      <c r="A746" s="36">
        <f t="shared" si="12"/>
        <v>25000</v>
      </c>
      <c r="B746" s="36"/>
      <c r="C746" s="36"/>
      <c r="D746" s="36"/>
      <c r="E746" s="36">
        <v>50000</v>
      </c>
      <c r="F746" s="36">
        <f>IF(AND(F741&gt;A746, F741&lt;=E746),F741,0)</f>
        <v>0</v>
      </c>
      <c r="G746" s="36">
        <f>(12500/100*3)+(12500/100*4)+((5/100)*(-A746+F746))</f>
        <v>-375</v>
      </c>
      <c r="H746" s="36">
        <f>(12500/100*1)+(12500/100*2)+((3/100)*(-A746+F746))</f>
        <v>-375</v>
      </c>
      <c r="I746" s="36"/>
      <c r="J746" s="39">
        <f>IF(AND(E16="bouwgrond",F45="vreemden"),L763,0)</f>
        <v>0</v>
      </c>
      <c r="K746" s="36"/>
      <c r="L746" s="36"/>
      <c r="N746" s="7">
        <f>IF(I45=5,J749*20%,0)</f>
        <v>0</v>
      </c>
      <c r="O746" s="7">
        <f>IF(N746&gt;620,620,N746)</f>
        <v>0</v>
      </c>
      <c r="R746" s="7">
        <f>J749*10%</f>
        <v>0</v>
      </c>
      <c r="S746" s="7">
        <f>IF(R746&gt;310,310,R746)</f>
        <v>0</v>
      </c>
      <c r="T746" s="7">
        <f>IF(I45=5,S746,0)</f>
        <v>0</v>
      </c>
    </row>
    <row r="747" spans="1:20" hidden="1">
      <c r="A747" s="36">
        <f t="shared" si="12"/>
        <v>50000</v>
      </c>
      <c r="B747" s="36"/>
      <c r="C747" s="36"/>
      <c r="D747" s="36"/>
      <c r="E747" s="36">
        <v>100000</v>
      </c>
      <c r="F747" s="36">
        <f>IF(AND(F741&gt;A747, F741&lt;=E747),F741,0)</f>
        <v>0</v>
      </c>
      <c r="G747" s="36">
        <f>(12500/100*3)+(12500/100*4)+(25000/100*5)+((7/100)*(-A747+F747))</f>
        <v>-1375.0000000000005</v>
      </c>
      <c r="H747" s="36">
        <f>(12500/100*1)+(12500/100*2)+(25000/100*3)+((5/100)*(-A747+F747))</f>
        <v>-1375</v>
      </c>
      <c r="I747" s="36"/>
      <c r="J747" s="39">
        <f>IF(AND(E16="andere",F45="vreemden"),K763,0)</f>
        <v>0</v>
      </c>
      <c r="K747" s="36"/>
      <c r="L747" s="36"/>
      <c r="N747" s="7">
        <f>IF(I45=6,J749*24%,0)</f>
        <v>0</v>
      </c>
      <c r="O747" s="7">
        <f>IF(N747&gt;744,744,N747)</f>
        <v>0</v>
      </c>
      <c r="R747" s="7">
        <f>J749*12%</f>
        <v>0</v>
      </c>
      <c r="S747" s="7">
        <f>IF(R747&gt;372,372,R747)</f>
        <v>0</v>
      </c>
      <c r="T747" s="7">
        <f>IF(I45=6,S747,0)</f>
        <v>0</v>
      </c>
    </row>
    <row r="748" spans="1:20" hidden="1">
      <c r="A748" s="36">
        <f t="shared" si="12"/>
        <v>100000</v>
      </c>
      <c r="B748" s="36"/>
      <c r="C748" s="36"/>
      <c r="D748" s="36"/>
      <c r="E748" s="36">
        <v>150000</v>
      </c>
      <c r="F748" s="36">
        <f>IF(AND(F741&gt;A748, F741&lt;=E748),F741,0)</f>
        <v>0</v>
      </c>
      <c r="G748" s="36">
        <f>(12500/100*3)+(12500/100*4)+(25000/100*5)+(50000/100*7)+((10/100)*(-A748+F748))</f>
        <v>-4375</v>
      </c>
      <c r="H748" s="36">
        <f>(12500/100*1)+(12500/100*2)+(25000/100*3)+(50000/100*5)+((8/100)*(-A748+F748))</f>
        <v>-4375</v>
      </c>
      <c r="I748" s="36"/>
      <c r="J748" s="36"/>
      <c r="K748" s="36"/>
      <c r="L748" s="36"/>
      <c r="N748" s="7">
        <f>IF(I45=7,J749*28%,0)</f>
        <v>0</v>
      </c>
      <c r="O748" s="7">
        <f>IF(N748&gt;868,868,N748)</f>
        <v>0</v>
      </c>
      <c r="R748" s="7">
        <f>J749*14%</f>
        <v>0</v>
      </c>
      <c r="S748" s="7">
        <f>IF(R748&gt;434,434,R748)</f>
        <v>0</v>
      </c>
      <c r="T748" s="7">
        <f>IF(I45=7,S748,0)</f>
        <v>0</v>
      </c>
    </row>
    <row r="749" spans="1:20" hidden="1">
      <c r="A749" s="36">
        <f t="shared" si="12"/>
        <v>150000</v>
      </c>
      <c r="B749" s="36"/>
      <c r="C749" s="36"/>
      <c r="D749" s="36"/>
      <c r="E749" s="36">
        <v>200000</v>
      </c>
      <c r="F749" s="36">
        <f>IF(AND(F741&gt;A749, F741&lt;=E749),F741,0)</f>
        <v>0</v>
      </c>
      <c r="G749" s="36">
        <f>(12500/100*3)+(12500/100*4)+(25000/100*5)+(50000/100*7)+(50000/100*10)+((14/100)*(-A749+F749))</f>
        <v>-10375.000000000004</v>
      </c>
      <c r="H749" s="36">
        <f>(12500/100*1)+(12500/100*2)+(25000/100*3)+(50000/100*5)+(50000/100*8)+((14/100)*(-A749+F749))</f>
        <v>-13375.000000000004</v>
      </c>
      <c r="I749" s="36"/>
      <c r="J749" s="36">
        <f>SUM(J738:J747)</f>
        <v>0</v>
      </c>
      <c r="K749" s="36"/>
      <c r="L749" s="36"/>
      <c r="N749" s="7">
        <f>IF(I45=8,J749*32%,0)</f>
        <v>0</v>
      </c>
      <c r="O749" s="7">
        <f>IF(N749&gt;992,992,N749)</f>
        <v>0</v>
      </c>
      <c r="R749" s="7">
        <f>J749*16%</f>
        <v>0</v>
      </c>
      <c r="S749" s="7">
        <f>IF(R749&gt;496,496,R749)</f>
        <v>0</v>
      </c>
      <c r="T749" s="7">
        <f>IF(I45=8,S749,0)</f>
        <v>0</v>
      </c>
    </row>
    <row r="750" spans="1:20" hidden="1">
      <c r="A750" s="36">
        <f t="shared" si="12"/>
        <v>200000</v>
      </c>
      <c r="B750" s="36"/>
      <c r="C750" s="36"/>
      <c r="D750" s="36"/>
      <c r="E750" s="36">
        <v>250000</v>
      </c>
      <c r="F750" s="36">
        <f>IF(AND(F741&gt;A750, F741&lt;=E750),F741,0)</f>
        <v>0</v>
      </c>
      <c r="G750" s="36">
        <f>(12500/100*3)+(12500/100*4)+(25000/100*5)+(50000/100*7)+(50000/100*10)+(50000/100*14)+((18/100)*(-A750+F750))</f>
        <v>-18375</v>
      </c>
      <c r="H750" s="36">
        <f>(12500/100*1)+(12500/100*2)+(25000/100*3)+(50000/100*5)+(50000/100*8)+(50000/100*14)+((18/100)*(-A750+F750))</f>
        <v>-21375</v>
      </c>
      <c r="I750" s="36"/>
      <c r="J750" s="36"/>
      <c r="K750" s="36"/>
      <c r="L750" s="36"/>
      <c r="N750" s="7">
        <f>IF(I45=9,J749*36%,0)</f>
        <v>0</v>
      </c>
      <c r="O750" s="7">
        <f>IF(N750&gt;1116,1116,N750)</f>
        <v>0</v>
      </c>
      <c r="R750" s="7">
        <f>J749*18%</f>
        <v>0</v>
      </c>
      <c r="S750" s="7">
        <f>IF(R750&gt;558,558,R750)</f>
        <v>0</v>
      </c>
      <c r="T750" s="7">
        <f>IF(I45=9,S750,0)</f>
        <v>0</v>
      </c>
    </row>
    <row r="751" spans="1:20" hidden="1">
      <c r="A751" s="36">
        <f t="shared" si="12"/>
        <v>250000</v>
      </c>
      <c r="B751" s="36"/>
      <c r="C751" s="36"/>
      <c r="D751" s="36"/>
      <c r="E751" s="36">
        <v>500000</v>
      </c>
      <c r="F751" s="36">
        <f>IF(AND(F741&gt;A751, F741&lt;=E751),F741,0)</f>
        <v>0</v>
      </c>
      <c r="G751" s="36">
        <f>(12500/100*3)+(12500/100*4)+(25000/100*5)+(50000/100*7)+(50000/100*10)+(50000/100*14)+(50000/100*18)+((24/100)*(-A751+F751))</f>
        <v>-33375</v>
      </c>
      <c r="H751" s="36">
        <f>(12500/100*1)+(12500/100*2)+(25000/100*3)+(50000/100*5)+(50000/100*8)+(50000/100*14)+(50000/100*18)+((24/100)*(-A751+F751))</f>
        <v>-36375</v>
      </c>
      <c r="I751" s="36"/>
      <c r="J751" s="36"/>
      <c r="K751" s="36"/>
      <c r="L751" s="36"/>
      <c r="N751" s="7">
        <f>IF(I45=10,J749*40%,0)</f>
        <v>0</v>
      </c>
      <c r="O751" s="7">
        <f>IF(N751&gt;1240,1240,N751)</f>
        <v>0</v>
      </c>
      <c r="R751" s="7">
        <f>J749*20%</f>
        <v>0</v>
      </c>
      <c r="S751" s="7">
        <f>IF(R751&gt;620,620,R751)</f>
        <v>0</v>
      </c>
      <c r="T751" s="7">
        <f>IF(I45=10,S751,0)</f>
        <v>0</v>
      </c>
    </row>
    <row r="752" spans="1:20" hidden="1">
      <c r="A752" s="36">
        <f t="shared" si="12"/>
        <v>500000</v>
      </c>
      <c r="B752" s="36"/>
      <c r="C752" s="36"/>
      <c r="D752" s="36"/>
      <c r="E752" s="36">
        <v>999999999</v>
      </c>
      <c r="F752" s="36">
        <f>IF(AND(F741&gt;A752, F741&lt;=E752),F741,0)</f>
        <v>0</v>
      </c>
      <c r="G752" s="36">
        <f>(12500/100*3)+(12500/100*4)+(25000/100*5)+(50000/100*7)+(50000/100*10)+(50000/100*14)+(50000/100*18)+(250000/100*24)+((30/100)*(-A752+F752))</f>
        <v>-63375</v>
      </c>
      <c r="H752" s="36">
        <f>(12500/100*1)+(12500/100*2)+(25000/100*3)+(50000/100*5)+(50000/100*8)+(50000/100*14)+(50000/100*18)+(250000/100*24)+((30/100)*(-A752+F752))</f>
        <v>-66375</v>
      </c>
      <c r="I752" s="36"/>
      <c r="J752" s="36"/>
      <c r="K752" s="36"/>
      <c r="L752" s="36"/>
    </row>
    <row r="753" spans="1:20" hidden="1">
      <c r="A753" s="42" t="s">
        <v>14</v>
      </c>
      <c r="B753" s="42"/>
      <c r="C753" s="42"/>
      <c r="D753" s="42"/>
      <c r="E753" s="36"/>
      <c r="F753" s="36"/>
      <c r="G753" s="36">
        <f>VLOOKUP(F741,F744:G752,2,FALSE)</f>
        <v>0</v>
      </c>
      <c r="H753" s="36">
        <f>VLOOKUP(F741,F744:H752,3,FALSE)</f>
        <v>0</v>
      </c>
      <c r="I753" s="36"/>
      <c r="J753" s="36"/>
      <c r="K753" s="36"/>
      <c r="L753" s="43"/>
      <c r="O753" s="7">
        <f>SUM(O744:O752)</f>
        <v>0</v>
      </c>
      <c r="T753" s="7">
        <f>SUM(T744:T752)</f>
        <v>0</v>
      </c>
    </row>
    <row r="754" spans="1:20" hidden="1">
      <c r="A754" s="36"/>
      <c r="B754" s="36"/>
      <c r="C754" s="36"/>
      <c r="D754" s="36"/>
      <c r="E754" s="36"/>
      <c r="F754" s="36"/>
      <c r="G754" s="36"/>
      <c r="H754" s="36"/>
      <c r="I754" s="36"/>
      <c r="J754" s="36"/>
      <c r="K754" s="36"/>
      <c r="L754" s="43"/>
      <c r="O754" s="29"/>
    </row>
    <row r="755" spans="1:20" hidden="1">
      <c r="A755" s="36"/>
      <c r="B755" s="36"/>
      <c r="C755" s="36"/>
      <c r="D755" s="36"/>
      <c r="E755" s="36"/>
      <c r="F755" s="36"/>
      <c r="G755" s="36"/>
      <c r="H755" s="36"/>
      <c r="I755" s="36"/>
      <c r="J755" s="36"/>
      <c r="K755" s="36"/>
      <c r="L755" s="43"/>
      <c r="O755" s="29"/>
    </row>
    <row r="756" spans="1:20" hidden="1">
      <c r="A756" s="37" t="s">
        <v>15</v>
      </c>
      <c r="B756" s="37"/>
      <c r="C756" s="37"/>
      <c r="D756" s="37"/>
      <c r="E756" s="36"/>
      <c r="F756" s="36"/>
      <c r="G756" s="38" t="s">
        <v>16</v>
      </c>
      <c r="H756" s="38" t="s">
        <v>17</v>
      </c>
      <c r="I756" s="35" t="s">
        <v>18</v>
      </c>
      <c r="J756" s="35" t="s">
        <v>19</v>
      </c>
      <c r="K756" s="35" t="s">
        <v>20</v>
      </c>
      <c r="L756" s="35" t="s">
        <v>21</v>
      </c>
      <c r="O756" s="29"/>
    </row>
    <row r="757" spans="1:20" hidden="1">
      <c r="A757" s="36">
        <v>0</v>
      </c>
      <c r="B757" s="36"/>
      <c r="C757" s="36"/>
      <c r="D757" s="36"/>
      <c r="E757" s="36">
        <v>12500</v>
      </c>
      <c r="F757" s="36">
        <f>IF(AND(F741&gt;A757, F741&lt;=E757),F741,0)</f>
        <v>0</v>
      </c>
      <c r="G757" s="36">
        <f>0+(20/100)*(-A757+F757)</f>
        <v>0</v>
      </c>
      <c r="H757" s="36">
        <f>0+(10/100)*(-A757+F757)</f>
        <v>0</v>
      </c>
      <c r="I757" s="36">
        <f>0+(25/100)*(-A757+F757)</f>
        <v>0</v>
      </c>
      <c r="J757" s="36">
        <f>0+(10/100)*(-A757+F757)</f>
        <v>0</v>
      </c>
      <c r="K757" s="36">
        <f>0+(30/100)*(-A757+F757)</f>
        <v>0</v>
      </c>
      <c r="L757" s="36">
        <f>0+(10/100)*(-A757+F757)</f>
        <v>0</v>
      </c>
      <c r="M757" s="7" t="s">
        <v>81</v>
      </c>
      <c r="N757" s="16">
        <f>J749-O753</f>
        <v>0</v>
      </c>
      <c r="O757" s="29"/>
      <c r="P757" s="7" t="s">
        <v>82</v>
      </c>
      <c r="Q757" s="44">
        <f>J749-T753</f>
        <v>0</v>
      </c>
    </row>
    <row r="758" spans="1:20" hidden="1">
      <c r="A758" s="36">
        <f>E757</f>
        <v>12500</v>
      </c>
      <c r="B758" s="36"/>
      <c r="C758" s="36"/>
      <c r="D758" s="36"/>
      <c r="E758" s="36">
        <v>25000</v>
      </c>
      <c r="F758" s="36">
        <f>IF(AND(F741&gt;A758, F741&lt;=E758),F741,0)</f>
        <v>0</v>
      </c>
      <c r="G758" s="36">
        <f>(12500/100*20)+((25/100)*(-A758+F758))</f>
        <v>-625</v>
      </c>
      <c r="H758" s="36">
        <f>(12500/100*10)+((10/100)*(-A758+F758))</f>
        <v>0</v>
      </c>
      <c r="I758" s="36">
        <f>(12500/100*25)+((30/100)*(-A758+F758))</f>
        <v>-625</v>
      </c>
      <c r="J758" s="36">
        <f>(12500/100*10)+((10/100)*(-A758+F758))</f>
        <v>0</v>
      </c>
      <c r="K758" s="36">
        <f>(12500/100*30)+((35/100)*(-A758+F758))</f>
        <v>-625</v>
      </c>
      <c r="L758" s="36">
        <f>(12500/100*10)+((10/100)*(-A758+F758))</f>
        <v>0</v>
      </c>
    </row>
    <row r="759" spans="1:20" hidden="1">
      <c r="A759" s="36">
        <f>E758</f>
        <v>25000</v>
      </c>
      <c r="B759" s="36"/>
      <c r="C759" s="36"/>
      <c r="D759" s="36"/>
      <c r="E759" s="36">
        <v>75000</v>
      </c>
      <c r="F759" s="36">
        <f>IF(AND(F741&gt;A759, F741&lt;=E759),F741,0)</f>
        <v>0</v>
      </c>
      <c r="G759" s="36">
        <f>(12500/100*20)+(12500/100*25)+((35/100)*(-A759+F759))</f>
        <v>-3125</v>
      </c>
      <c r="H759" s="36">
        <f>(12500/100*10)+(12500/100*10)+((10/100)*(-A759+F759))</f>
        <v>0</v>
      </c>
      <c r="I759" s="36">
        <f>(12500/100*25)+(12500/100*30)+((40/100)*(-A759+F759))</f>
        <v>-3125</v>
      </c>
      <c r="J759" s="36">
        <f>(12500/100*10)+(12500/100*10)+((10/100)*(-A759+F759))</f>
        <v>0</v>
      </c>
      <c r="K759" s="36">
        <f>(12500/100*30)+(12500/100*35)+((50/100)*(-A759+F759))</f>
        <v>-4375</v>
      </c>
      <c r="L759" s="36">
        <f>(12500/100*10)+(12500/100*10)+((10/100)*(-A759+F759))</f>
        <v>0</v>
      </c>
      <c r="O759" s="7">
        <f>(IF(F45="echtgeno(o)t(e)",N757,Q757))</f>
        <v>0</v>
      </c>
    </row>
    <row r="760" spans="1:20" hidden="1">
      <c r="A760" s="36">
        <f>E759</f>
        <v>75000</v>
      </c>
      <c r="B760" s="36"/>
      <c r="C760" s="36"/>
      <c r="D760" s="36"/>
      <c r="E760" s="36">
        <v>150000</v>
      </c>
      <c r="F760" s="36">
        <f>IF(AND(F741&gt;A760, F741&lt;=E760),F741,0)</f>
        <v>0</v>
      </c>
      <c r="G760" s="36">
        <f>(12500/100*20)+(12500/100*25)+(50000/100*35)+((50/100)*(-A760+F760))</f>
        <v>-14375</v>
      </c>
      <c r="H760" s="36">
        <f>(12500/100*10)+(12500/100*10)+(50000/100*10)+((10/100)*(-A760+F760))</f>
        <v>0</v>
      </c>
      <c r="I760" s="36">
        <f>(12500/100*25)+(12500/100*30)+(50000/100*40)+((55/100)*(-A760+F760))</f>
        <v>-14375</v>
      </c>
      <c r="J760" s="36">
        <f>(12500/100*10)+(12500/100*10)+(50000/100*10)+((10/100)*(-A760+F760))</f>
        <v>0</v>
      </c>
      <c r="K760" s="36">
        <f>(12500/100*30)+(12500/100*35)+(50000/100*50)+((65/100)*(-A760+F760))</f>
        <v>-15625</v>
      </c>
      <c r="L760" s="36">
        <f>(12500/100*10)+(12500/100*10)+(50000/100*10)+((10/100)*(-A760+F760))</f>
        <v>0</v>
      </c>
    </row>
    <row r="761" spans="1:20" hidden="1">
      <c r="A761" s="36">
        <v>150000</v>
      </c>
      <c r="B761" s="36"/>
      <c r="C761" s="36"/>
      <c r="D761" s="36"/>
      <c r="E761" s="36">
        <v>175000</v>
      </c>
      <c r="F761" s="36">
        <f>IF(AND(F741&gt;A761, F741&lt;=E761),F741,0)</f>
        <v>0</v>
      </c>
      <c r="G761" s="36">
        <f>(12500/100*20)+(12500/100*25)+(50000/100*35)+(75000/100*50)+((50/100)*(-A761+F761))</f>
        <v>-14375</v>
      </c>
      <c r="H761" s="36">
        <f>(12500/100*10)+(12500/100*10)+(50000/100*10)+(75000/100*10)+((50/100)*(-A761+F761))</f>
        <v>-60000</v>
      </c>
      <c r="I761" s="36">
        <f>(12500/100*25)+(12500/100*30)+(50000/100*40)+(75000/100*55)+((55/100)*(-A761+F761))</f>
        <v>-14375</v>
      </c>
      <c r="J761" s="36">
        <f>(12500/100*10)+(12500/100*10)+(50000/100*10)+(75000/100*10)+((55/100)*(-A761+F761))</f>
        <v>-67500</v>
      </c>
      <c r="K761" s="36">
        <f>(12500/100*30)+(12500/100*35)+(50000/100*50)+(75000/100*65)+((65/100)*(-A761+F761))</f>
        <v>-15625</v>
      </c>
      <c r="L761" s="36">
        <f>(12500/100*10)+(12500/100*10)+(50000/100*10)+(75000/100*10)+((65/100)*(-A761+F761))</f>
        <v>-82500</v>
      </c>
    </row>
    <row r="762" spans="1:20" hidden="1">
      <c r="A762" s="36">
        <v>175000</v>
      </c>
      <c r="B762" s="36"/>
      <c r="C762" s="36"/>
      <c r="D762" s="36"/>
      <c r="E762" s="36">
        <v>999999999</v>
      </c>
      <c r="F762" s="36">
        <f>IF(AND(F741&gt;A762, F741&lt;=E762),F741,0)</f>
        <v>0</v>
      </c>
      <c r="G762" s="36">
        <f>(12500/100*20)+(12500/100*25)+(50000/100*35)+(75000/100*50)+(25000/100*50)+((65/100)*(-A762+F762))</f>
        <v>-40625</v>
      </c>
      <c r="H762" s="36">
        <f>(12500/100*10)+(12500/100*10)+(50000/100*10)+(75000/100*10)+(25000/100*50)+((65/100)*(-A762+F762))</f>
        <v>-86250</v>
      </c>
      <c r="I762" s="36">
        <f>(12500/100*25)+(12500/100*30)+(50000/100*40)+(75000/100*55)+(25000/100*55)+((70/100)*(-A762+F762))</f>
        <v>-40624.999999999985</v>
      </c>
      <c r="J762" s="36">
        <f>(12500/100*10)+(12500/100*10)+(50000/100*10)+(75000/100*10)+(25000/100*55)+((70/100)*(-A762+F762))</f>
        <v>-93749.999999999985</v>
      </c>
      <c r="K762" s="36">
        <f>(12500/100*30)+(12500/100*35)+(50000/100*50)+(75000/100*65)+(25000/100*65)+((80/100)*(-A762+F762))</f>
        <v>-41875</v>
      </c>
      <c r="L762" s="36">
        <f>(12500/100*10)+(12500/100*10)+(50000/100*10)+(75000/100*10)+(25000/100*65)+((80/100)*(-A762+F762))</f>
        <v>-108750</v>
      </c>
    </row>
    <row r="763" spans="1:20" hidden="1">
      <c r="A763" s="42" t="s">
        <v>14</v>
      </c>
      <c r="B763" s="42"/>
      <c r="C763" s="42"/>
      <c r="D763" s="42"/>
      <c r="E763" s="36"/>
      <c r="F763" s="36"/>
      <c r="G763" s="36">
        <f>VLOOKUP(F741,F757:G762,2,FALSE)</f>
        <v>0</v>
      </c>
      <c r="H763" s="36">
        <f>VLOOKUP(F741,F757:H762,3,FALSE)</f>
        <v>0</v>
      </c>
      <c r="I763" s="36">
        <f>VLOOKUP(F741,F757:I762,4,FALSE)</f>
        <v>0</v>
      </c>
      <c r="J763" s="36">
        <f>VLOOKUP(F741,F757:J762,5,FALSE)</f>
        <v>0</v>
      </c>
      <c r="K763" s="36">
        <f>VLOOKUP(F741,F757:K762,6,FALSE)</f>
        <v>0</v>
      </c>
      <c r="L763" s="36">
        <f>VLOOKUP(F741,F757:L762,7,FALSE)</f>
        <v>0</v>
      </c>
    </row>
    <row r="764" spans="1:20" hidden="1"/>
    <row r="765" spans="1:20" hidden="1"/>
    <row r="766" spans="1:20" hidden="1"/>
    <row r="767" spans="1:20" hidden="1"/>
    <row r="768" spans="1:20"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spans="1:20" hidden="1"/>
    <row r="834" spans="1:20" hidden="1"/>
    <row r="835" spans="1:20" hidden="1"/>
    <row r="836" spans="1:20" hidden="1"/>
    <row r="837" spans="1:20" hidden="1"/>
    <row r="838" spans="1:20" hidden="1"/>
    <row r="839" spans="1:20" hidden="1"/>
    <row r="840" spans="1:20" hidden="1"/>
    <row r="841" spans="1:20" hidden="1">
      <c r="E841" s="24"/>
      <c r="G841" s="24"/>
      <c r="J841" s="7">
        <f>IF(AND(E16="bouwgrond",F50="echtgeno(o)t(e)"),H856,0)</f>
        <v>0</v>
      </c>
    </row>
    <row r="842" spans="1:20" hidden="1">
      <c r="E842" s="24"/>
      <c r="G842" s="24"/>
      <c r="J842" s="7">
        <f>IF(AND(E16="andere",F50="echtgeno(o)t(e)"),G856,0)</f>
        <v>0</v>
      </c>
    </row>
    <row r="843" spans="1:20" hidden="1">
      <c r="A843" s="35"/>
      <c r="B843" s="35"/>
      <c r="C843" s="35"/>
      <c r="D843" s="35"/>
      <c r="E843" s="36"/>
      <c r="F843" s="37"/>
      <c r="G843" s="36"/>
      <c r="H843" s="36"/>
      <c r="I843" s="38"/>
      <c r="J843" s="39">
        <f>IF(AND(E16="bouwgrond",F50="rechte lijn"),H856,0)</f>
        <v>0</v>
      </c>
      <c r="K843" s="38"/>
      <c r="L843" s="40"/>
    </row>
    <row r="844" spans="1:20" hidden="1">
      <c r="A844" s="36" t="s">
        <v>10</v>
      </c>
      <c r="B844" s="36"/>
      <c r="C844" s="36"/>
      <c r="D844" s="36"/>
      <c r="E844" s="36"/>
      <c r="F844" s="36">
        <f>G50</f>
        <v>0</v>
      </c>
      <c r="G844" s="41"/>
      <c r="H844" s="36"/>
      <c r="I844" s="36"/>
      <c r="J844" s="39">
        <f>IF(AND(E16="andere",F50="rechte lijn"),G856,0)</f>
        <v>0</v>
      </c>
      <c r="K844" s="36"/>
      <c r="L844" s="40"/>
    </row>
    <row r="845" spans="1:20" hidden="1">
      <c r="A845" s="36"/>
      <c r="B845" s="36"/>
      <c r="C845" s="36"/>
      <c r="D845" s="36"/>
      <c r="E845" s="36"/>
      <c r="F845" s="36"/>
      <c r="G845" s="36"/>
      <c r="H845" s="36"/>
      <c r="I845" s="36"/>
      <c r="J845" s="39">
        <f>IF(AND(E16="bouwgrond",F50="broer/zuster"),H866,0)</f>
        <v>0</v>
      </c>
      <c r="K845" s="36"/>
      <c r="L845" s="36"/>
      <c r="N845" s="7" t="s">
        <v>77</v>
      </c>
    </row>
    <row r="846" spans="1:20" hidden="1">
      <c r="A846" s="37" t="s">
        <v>11</v>
      </c>
      <c r="B846" s="37"/>
      <c r="C846" s="37"/>
      <c r="D846" s="37"/>
      <c r="E846" s="36"/>
      <c r="F846" s="36"/>
      <c r="G846" s="38" t="s">
        <v>12</v>
      </c>
      <c r="H846" s="38" t="s">
        <v>13</v>
      </c>
      <c r="I846" s="36"/>
      <c r="J846" s="39">
        <f>IF(AND(E16="andere",F50="broer/zuster"),G866,0)</f>
        <v>0</v>
      </c>
      <c r="K846" s="36"/>
      <c r="L846" s="36"/>
    </row>
    <row r="847" spans="1:20" hidden="1">
      <c r="A847" s="36">
        <v>0</v>
      </c>
      <c r="B847" s="36"/>
      <c r="C847" s="36"/>
      <c r="D847" s="36"/>
      <c r="E847" s="36">
        <v>12500</v>
      </c>
      <c r="F847" s="36">
        <f>IF(AND(F844&gt;A847, F844&lt;=E847),F844,0)</f>
        <v>0</v>
      </c>
      <c r="G847" s="36">
        <f>0+(3/100)*(-A847+F847)</f>
        <v>0</v>
      </c>
      <c r="H847" s="36">
        <f>0+(1/100)*(-A847+F847)</f>
        <v>0</v>
      </c>
      <c r="I847" s="36"/>
      <c r="J847" s="39">
        <f>IF(AND(E16="bouwgrond",F50="oom-tante/neef-nicht"),J866,0)</f>
        <v>0</v>
      </c>
      <c r="K847" s="36"/>
      <c r="L847" s="36"/>
      <c r="M847" s="7" t="s">
        <v>78</v>
      </c>
      <c r="N847" s="7">
        <f>IF(I50=3,J852*12%,0)</f>
        <v>0</v>
      </c>
      <c r="O847" s="7">
        <f>IF(N847&gt;372,372,N847)</f>
        <v>0</v>
      </c>
      <c r="Q847" s="7" t="s">
        <v>79</v>
      </c>
      <c r="R847" s="7">
        <f>J852*6%</f>
        <v>0</v>
      </c>
      <c r="S847" s="7">
        <f>IF(R847&gt;186,186,R847)</f>
        <v>0</v>
      </c>
      <c r="T847" s="7">
        <f>IF(I50=3,S847,0)</f>
        <v>0</v>
      </c>
    </row>
    <row r="848" spans="1:20" hidden="1">
      <c r="A848" s="36">
        <f t="shared" ref="A848:A855" si="13">E847</f>
        <v>12500</v>
      </c>
      <c r="B848" s="36"/>
      <c r="C848" s="36"/>
      <c r="D848" s="36"/>
      <c r="E848" s="36">
        <v>25000</v>
      </c>
      <c r="F848" s="36">
        <f>IF(AND(F844&gt;A848, F844&lt;=E848),F844,0)</f>
        <v>0</v>
      </c>
      <c r="G848" s="36">
        <f>(12500/100*3)+(4/100)*(-A848+F848)</f>
        <v>-125</v>
      </c>
      <c r="H848" s="36">
        <f>(12500/100*1)+(2/100)*(-A848+F848)</f>
        <v>-125</v>
      </c>
      <c r="I848" s="36"/>
      <c r="J848" s="39">
        <f>IF(AND(E16="andere",F50="oom-tante/neef-nicht"),I866,0)</f>
        <v>0</v>
      </c>
      <c r="K848" s="36"/>
      <c r="N848" s="7">
        <f>IF(I50=4,J852*16%,0)</f>
        <v>0</v>
      </c>
      <c r="O848" s="7">
        <f>IF(N848&gt;496,496,N848)</f>
        <v>0</v>
      </c>
      <c r="Q848" s="7" t="s">
        <v>80</v>
      </c>
      <c r="R848" s="7">
        <f>J852*8%</f>
        <v>0</v>
      </c>
      <c r="S848" s="7">
        <f>IF(R848&gt;248,248,R848)</f>
        <v>0</v>
      </c>
      <c r="T848" s="7">
        <f>IF(I50=4,S848,0)</f>
        <v>0</v>
      </c>
    </row>
    <row r="849" spans="1:20" hidden="1">
      <c r="A849" s="36">
        <f t="shared" si="13"/>
        <v>25000</v>
      </c>
      <c r="B849" s="36"/>
      <c r="C849" s="36"/>
      <c r="D849" s="36"/>
      <c r="E849" s="36">
        <v>50000</v>
      </c>
      <c r="F849" s="36">
        <f>IF(AND(F844&gt;A849, F844&lt;=E849),F844,0)</f>
        <v>0</v>
      </c>
      <c r="G849" s="36">
        <f>(12500/100*3)+(12500/100*4)+((5/100)*(-A849+F849))</f>
        <v>-375</v>
      </c>
      <c r="H849" s="36">
        <f>(12500/100*1)+(12500/100*2)+((3/100)*(-A849+F849))</f>
        <v>-375</v>
      </c>
      <c r="I849" s="36"/>
      <c r="J849" s="39">
        <f>IF(AND(E16="bouwgrond",F50="vreemden"),L866,0)</f>
        <v>0</v>
      </c>
      <c r="K849" s="36"/>
      <c r="L849" s="36"/>
      <c r="N849" s="7">
        <f>IF(I50=5,J852*20%,0)</f>
        <v>0</v>
      </c>
      <c r="O849" s="7">
        <f>IF(N849&gt;620,620,N849)</f>
        <v>0</v>
      </c>
      <c r="R849" s="7">
        <f>J852*10%</f>
        <v>0</v>
      </c>
      <c r="S849" s="7">
        <f>IF(R849&gt;310,310,R849)</f>
        <v>0</v>
      </c>
      <c r="T849" s="7">
        <f>IF(I50=5,S849,0)</f>
        <v>0</v>
      </c>
    </row>
    <row r="850" spans="1:20" hidden="1">
      <c r="A850" s="36">
        <f t="shared" si="13"/>
        <v>50000</v>
      </c>
      <c r="B850" s="36"/>
      <c r="C850" s="36"/>
      <c r="D850" s="36"/>
      <c r="E850" s="36">
        <v>100000</v>
      </c>
      <c r="F850" s="36">
        <f>IF(AND(F844&gt;A850, F844&lt;=E850),F844,0)</f>
        <v>0</v>
      </c>
      <c r="G850" s="36">
        <f>(12500/100*3)+(12500/100*4)+(25000/100*5)+((7/100)*(-A850+F850))</f>
        <v>-1375.0000000000005</v>
      </c>
      <c r="H850" s="36">
        <f>(12500/100*1)+(12500/100*2)+(25000/100*3)+((5/100)*(-A850+F850))</f>
        <v>-1375</v>
      </c>
      <c r="I850" s="36"/>
      <c r="J850" s="39">
        <f>IF(AND(E16="andere",F50="vreemden"),K866,0)</f>
        <v>0</v>
      </c>
      <c r="K850" s="36"/>
      <c r="L850" s="36"/>
      <c r="N850" s="7">
        <f>IF(I50=6,J852*24%,0)</f>
        <v>0</v>
      </c>
      <c r="O850" s="7">
        <f>IF(N850&gt;744,744,N850)</f>
        <v>0</v>
      </c>
      <c r="R850" s="7">
        <f>J852*12%</f>
        <v>0</v>
      </c>
      <c r="S850" s="7">
        <f>IF(R850&gt;372,372,R850)</f>
        <v>0</v>
      </c>
      <c r="T850" s="7">
        <f>IF(I50=6,S850,0)</f>
        <v>0</v>
      </c>
    </row>
    <row r="851" spans="1:20" hidden="1">
      <c r="A851" s="36">
        <f t="shared" si="13"/>
        <v>100000</v>
      </c>
      <c r="B851" s="36"/>
      <c r="C851" s="36"/>
      <c r="D851" s="36"/>
      <c r="E851" s="36">
        <v>150000</v>
      </c>
      <c r="F851" s="36">
        <f>IF(AND(F844&gt;A851, F844&lt;=E851),F844,0)</f>
        <v>0</v>
      </c>
      <c r="G851" s="36">
        <f>(12500/100*3)+(12500/100*4)+(25000/100*5)+(50000/100*7)+((10/100)*(-A851+F851))</f>
        <v>-4375</v>
      </c>
      <c r="H851" s="36">
        <f>(12500/100*1)+(12500/100*2)+(25000/100*3)+(50000/100*5)+((8/100)*(-A851+F851))</f>
        <v>-4375</v>
      </c>
      <c r="I851" s="36"/>
      <c r="J851" s="36"/>
      <c r="K851" s="36"/>
      <c r="L851" s="36"/>
      <c r="N851" s="7">
        <f>IF(I50=7,J852*28%,0)</f>
        <v>0</v>
      </c>
      <c r="O851" s="7">
        <f>IF(N851&gt;868,868,N851)</f>
        <v>0</v>
      </c>
      <c r="R851" s="7">
        <f>J852*14%</f>
        <v>0</v>
      </c>
      <c r="S851" s="7">
        <f>IF(R851&gt;434,434,R851)</f>
        <v>0</v>
      </c>
      <c r="T851" s="7">
        <f>IF(I50=7,S851,0)</f>
        <v>0</v>
      </c>
    </row>
    <row r="852" spans="1:20" hidden="1">
      <c r="A852" s="36">
        <f t="shared" si="13"/>
        <v>150000</v>
      </c>
      <c r="B852" s="36"/>
      <c r="C852" s="36"/>
      <c r="D852" s="36"/>
      <c r="E852" s="36">
        <v>200000</v>
      </c>
      <c r="F852" s="36">
        <f>IF(AND(F844&gt;A852, F844&lt;=E852),F844,0)</f>
        <v>0</v>
      </c>
      <c r="G852" s="36">
        <f>(12500/100*3)+(12500/100*4)+(25000/100*5)+(50000/100*7)+(50000/100*10)+((14/100)*(-A852+F852))</f>
        <v>-10375.000000000004</v>
      </c>
      <c r="H852" s="36">
        <f>(12500/100*1)+(12500/100*2)+(25000/100*3)+(50000/100*5)+(50000/100*8)+((14/100)*(-A852+F852))</f>
        <v>-13375.000000000004</v>
      </c>
      <c r="I852" s="36"/>
      <c r="J852" s="36">
        <f>SUM(J841:J850)</f>
        <v>0</v>
      </c>
      <c r="K852" s="36"/>
      <c r="L852" s="36"/>
      <c r="N852" s="7">
        <f>IF(I50=8,J852*32%,0)</f>
        <v>0</v>
      </c>
      <c r="O852" s="7">
        <f>IF(N852&gt;992,992,N852)</f>
        <v>0</v>
      </c>
      <c r="R852" s="7">
        <f>J852*16%</f>
        <v>0</v>
      </c>
      <c r="S852" s="7">
        <f>IF(R852&gt;496,496,R852)</f>
        <v>0</v>
      </c>
      <c r="T852" s="7">
        <f>IF(I50=8,S852,0)</f>
        <v>0</v>
      </c>
    </row>
    <row r="853" spans="1:20" hidden="1">
      <c r="A853" s="36">
        <f t="shared" si="13"/>
        <v>200000</v>
      </c>
      <c r="B853" s="36"/>
      <c r="C853" s="36"/>
      <c r="D853" s="36"/>
      <c r="E853" s="36">
        <v>250000</v>
      </c>
      <c r="F853" s="36">
        <f>IF(AND(F844&gt;A853, F844&lt;=E853),F844,0)</f>
        <v>0</v>
      </c>
      <c r="G853" s="36">
        <f>(12500/100*3)+(12500/100*4)+(25000/100*5)+(50000/100*7)+(50000/100*10)+(50000/100*14)+((18/100)*(-A853+F853))</f>
        <v>-18375</v>
      </c>
      <c r="H853" s="36">
        <f>(12500/100*1)+(12500/100*2)+(25000/100*3)+(50000/100*5)+(50000/100*8)+(50000/100*14)+((18/100)*(-A853+F853))</f>
        <v>-21375</v>
      </c>
      <c r="I853" s="36"/>
      <c r="J853" s="36"/>
      <c r="K853" s="36"/>
      <c r="L853" s="36"/>
      <c r="N853" s="7">
        <f>IF(I50=9,J852*36%,0)</f>
        <v>0</v>
      </c>
      <c r="O853" s="7">
        <f>IF(N853&gt;1116,1116,N853)</f>
        <v>0</v>
      </c>
      <c r="R853" s="7">
        <f>J852*18%</f>
        <v>0</v>
      </c>
      <c r="S853" s="7">
        <f>IF(R853&gt;558,558,R853)</f>
        <v>0</v>
      </c>
      <c r="T853" s="7">
        <f>IF(I50=9,S853,0)</f>
        <v>0</v>
      </c>
    </row>
    <row r="854" spans="1:20" hidden="1">
      <c r="A854" s="36">
        <f t="shared" si="13"/>
        <v>250000</v>
      </c>
      <c r="B854" s="36"/>
      <c r="C854" s="36"/>
      <c r="D854" s="36"/>
      <c r="E854" s="36">
        <v>500000</v>
      </c>
      <c r="F854" s="36">
        <f>IF(AND(F844&gt;A854, F844&lt;=E854),F844,0)</f>
        <v>0</v>
      </c>
      <c r="G854" s="36">
        <f>(12500/100*3)+(12500/100*4)+(25000/100*5)+(50000/100*7)+(50000/100*10)+(50000/100*14)+(50000/100*18)+((24/100)*(-A854+F854))</f>
        <v>-33375</v>
      </c>
      <c r="H854" s="36">
        <f>(12500/100*1)+(12500/100*2)+(25000/100*3)+(50000/100*5)+(50000/100*8)+(50000/100*14)+(50000/100*18)+((24/100)*(-A854+F854))</f>
        <v>-36375</v>
      </c>
      <c r="I854" s="36"/>
      <c r="J854" s="36"/>
      <c r="K854" s="36"/>
      <c r="L854" s="36"/>
      <c r="N854" s="7">
        <f>IF(I50=10,J852*40%,0)</f>
        <v>0</v>
      </c>
      <c r="O854" s="7">
        <f>IF(N854&gt;1240,1240,N854)</f>
        <v>0</v>
      </c>
      <c r="R854" s="7">
        <f>J852*20%</f>
        <v>0</v>
      </c>
      <c r="S854" s="7">
        <f>IF(R854&gt;620,620,R854)</f>
        <v>0</v>
      </c>
      <c r="T854" s="7">
        <f>IF(I50=10,S854,0)</f>
        <v>0</v>
      </c>
    </row>
    <row r="855" spans="1:20" hidden="1">
      <c r="A855" s="36">
        <f t="shared" si="13"/>
        <v>500000</v>
      </c>
      <c r="B855" s="36"/>
      <c r="C855" s="36"/>
      <c r="D855" s="36"/>
      <c r="E855" s="36">
        <v>999999999</v>
      </c>
      <c r="F855" s="36">
        <f>IF(AND(F844&gt;A855, F844&lt;=E855),F844,0)</f>
        <v>0</v>
      </c>
      <c r="G855" s="36">
        <f>(12500/100*3)+(12500/100*4)+(25000/100*5)+(50000/100*7)+(50000/100*10)+(50000/100*14)+(50000/100*18)+(250000/100*24)+((30/100)*(-A855+F855))</f>
        <v>-63375</v>
      </c>
      <c r="H855" s="36">
        <f>(12500/100*1)+(12500/100*2)+(25000/100*3)+(50000/100*5)+(50000/100*8)+(50000/100*14)+(50000/100*18)+(250000/100*24)+((30/100)*(-A855+F855))</f>
        <v>-66375</v>
      </c>
      <c r="I855" s="36"/>
      <c r="J855" s="36"/>
      <c r="K855" s="36"/>
      <c r="L855" s="36"/>
    </row>
    <row r="856" spans="1:20" hidden="1">
      <c r="A856" s="42" t="s">
        <v>14</v>
      </c>
      <c r="B856" s="42"/>
      <c r="C856" s="42"/>
      <c r="D856" s="42"/>
      <c r="E856" s="36"/>
      <c r="F856" s="36"/>
      <c r="G856" s="36">
        <f>VLOOKUP(F844,F847:G855,2,FALSE)</f>
        <v>0</v>
      </c>
      <c r="H856" s="36">
        <f>VLOOKUP(F844,F847:H855,3,FALSE)</f>
        <v>0</v>
      </c>
      <c r="I856" s="36"/>
      <c r="J856" s="36"/>
      <c r="K856" s="36"/>
      <c r="L856" s="43"/>
      <c r="O856" s="7">
        <f>SUM(O847:O855)</f>
        <v>0</v>
      </c>
      <c r="T856" s="7">
        <f>SUM(T847:T855)</f>
        <v>0</v>
      </c>
    </row>
    <row r="857" spans="1:20" hidden="1">
      <c r="A857" s="36"/>
      <c r="B857" s="36"/>
      <c r="C857" s="36"/>
      <c r="D857" s="36"/>
      <c r="E857" s="36"/>
      <c r="F857" s="36"/>
      <c r="G857" s="36"/>
      <c r="H857" s="36"/>
      <c r="I857" s="36"/>
      <c r="J857" s="36"/>
      <c r="K857" s="36"/>
      <c r="L857" s="43"/>
      <c r="O857" s="29"/>
    </row>
    <row r="858" spans="1:20" hidden="1">
      <c r="A858" s="36"/>
      <c r="B858" s="36"/>
      <c r="C858" s="36"/>
      <c r="D858" s="36"/>
      <c r="E858" s="36"/>
      <c r="F858" s="36"/>
      <c r="G858" s="36"/>
      <c r="H858" s="36"/>
      <c r="I858" s="36"/>
      <c r="J858" s="36"/>
      <c r="K858" s="36"/>
      <c r="L858" s="43"/>
      <c r="O858" s="29"/>
    </row>
    <row r="859" spans="1:20" hidden="1">
      <c r="A859" s="37" t="s">
        <v>15</v>
      </c>
      <c r="B859" s="37"/>
      <c r="C859" s="37"/>
      <c r="D859" s="37"/>
      <c r="E859" s="36"/>
      <c r="F859" s="36"/>
      <c r="G859" s="38" t="s">
        <v>16</v>
      </c>
      <c r="H859" s="38" t="s">
        <v>17</v>
      </c>
      <c r="I859" s="35" t="s">
        <v>18</v>
      </c>
      <c r="J859" s="35" t="s">
        <v>19</v>
      </c>
      <c r="K859" s="35" t="s">
        <v>20</v>
      </c>
      <c r="L859" s="35" t="s">
        <v>21</v>
      </c>
      <c r="O859" s="29"/>
    </row>
    <row r="860" spans="1:20" hidden="1">
      <c r="A860" s="36">
        <v>0</v>
      </c>
      <c r="B860" s="36"/>
      <c r="C860" s="36"/>
      <c r="D860" s="36"/>
      <c r="E860" s="36">
        <v>12500</v>
      </c>
      <c r="F860" s="36">
        <f>IF(AND(F844&gt;A860, F844&lt;=E860),F844,0)</f>
        <v>0</v>
      </c>
      <c r="G860" s="36">
        <f>0+(20/100)*(-A860+F860)</f>
        <v>0</v>
      </c>
      <c r="H860" s="36">
        <f>0+(10/100)*(-A860+F860)</f>
        <v>0</v>
      </c>
      <c r="I860" s="36">
        <f>0+(25/100)*(-A860+F860)</f>
        <v>0</v>
      </c>
      <c r="J860" s="36">
        <f>0+(10/100)*(-A860+F860)</f>
        <v>0</v>
      </c>
      <c r="K860" s="36">
        <f>0+(30/100)*(-A860+F860)</f>
        <v>0</v>
      </c>
      <c r="L860" s="36">
        <f>0+(10/100)*(-A860+F860)</f>
        <v>0</v>
      </c>
      <c r="M860" s="7" t="s">
        <v>81</v>
      </c>
      <c r="N860" s="16">
        <f>J852-O856</f>
        <v>0</v>
      </c>
      <c r="O860" s="29"/>
      <c r="P860" s="7" t="s">
        <v>82</v>
      </c>
      <c r="Q860" s="44">
        <f>J852-T856</f>
        <v>0</v>
      </c>
    </row>
    <row r="861" spans="1:20" hidden="1">
      <c r="A861" s="36">
        <f>E860</f>
        <v>12500</v>
      </c>
      <c r="B861" s="36"/>
      <c r="C861" s="36"/>
      <c r="D861" s="36"/>
      <c r="E861" s="36">
        <v>25000</v>
      </c>
      <c r="F861" s="36">
        <f>IF(AND(F844&gt;A861, F844&lt;=E861),F844,0)</f>
        <v>0</v>
      </c>
      <c r="G861" s="36">
        <f>(12500/100*20)+((25/100)*(-A861+F861))</f>
        <v>-625</v>
      </c>
      <c r="H861" s="36">
        <f>(12500/100*10)+((10/100)*(-A861+F861))</f>
        <v>0</v>
      </c>
      <c r="I861" s="36">
        <f>(12500/100*25)+((30/100)*(-A861+F861))</f>
        <v>-625</v>
      </c>
      <c r="J861" s="36">
        <f>(12500/100*10)+((10/100)*(-A861+F861))</f>
        <v>0</v>
      </c>
      <c r="K861" s="36">
        <f>(12500/100*30)+((35/100)*(-A861+F861))</f>
        <v>-625</v>
      </c>
      <c r="L861" s="36">
        <f>(12500/100*10)+((10/100)*(-A861+F861))</f>
        <v>0</v>
      </c>
    </row>
    <row r="862" spans="1:20" hidden="1">
      <c r="A862" s="36">
        <f>E861</f>
        <v>25000</v>
      </c>
      <c r="B862" s="36"/>
      <c r="C862" s="36"/>
      <c r="D862" s="36"/>
      <c r="E862" s="36">
        <v>75000</v>
      </c>
      <c r="F862" s="36">
        <f>IF(AND(F844&gt;A862, F844&lt;=E862),F844,0)</f>
        <v>0</v>
      </c>
      <c r="G862" s="36">
        <f>(12500/100*20)+(12500/100*25)+((35/100)*(-A862+F862))</f>
        <v>-3125</v>
      </c>
      <c r="H862" s="36">
        <f>(12500/100*10)+(12500/100*10)+((10/100)*(-A862+F862))</f>
        <v>0</v>
      </c>
      <c r="I862" s="36">
        <f>(12500/100*25)+(12500/100*30)+((40/100)*(-A862+F862))</f>
        <v>-3125</v>
      </c>
      <c r="J862" s="36">
        <f>(12500/100*10)+(12500/100*10)+((10/100)*(-A862+F862))</f>
        <v>0</v>
      </c>
      <c r="K862" s="36">
        <f>(12500/100*30)+(12500/100*35)+((50/100)*(-A862+F862))</f>
        <v>-4375</v>
      </c>
      <c r="L862" s="36">
        <f>(12500/100*10)+(12500/100*10)+((10/100)*(-A862+F862))</f>
        <v>0</v>
      </c>
      <c r="O862" s="7">
        <f>(IF(F50="echtgeno(o)t(e)",N860,Q860))</f>
        <v>0</v>
      </c>
    </row>
    <row r="863" spans="1:20" hidden="1">
      <c r="A863" s="36">
        <f>E862</f>
        <v>75000</v>
      </c>
      <c r="B863" s="36"/>
      <c r="C863" s="36"/>
      <c r="D863" s="36"/>
      <c r="E863" s="36">
        <v>150000</v>
      </c>
      <c r="F863" s="36">
        <f>IF(AND(F844&gt;A863, F844&lt;=E863),F844,0)</f>
        <v>0</v>
      </c>
      <c r="G863" s="36">
        <f>(12500/100*20)+(12500/100*25)+(50000/100*35)+((50/100)*(-A863+F863))</f>
        <v>-14375</v>
      </c>
      <c r="H863" s="36">
        <f>(12500/100*10)+(12500/100*10)+(50000/100*10)+((10/100)*(-A863+F863))</f>
        <v>0</v>
      </c>
      <c r="I863" s="36">
        <f>(12500/100*25)+(12500/100*30)+(50000/100*40)+((55/100)*(-A863+F863))</f>
        <v>-14375</v>
      </c>
      <c r="J863" s="36">
        <f>(12500/100*10)+(12500/100*10)+(50000/100*10)+((10/100)*(-A863+F863))</f>
        <v>0</v>
      </c>
      <c r="K863" s="36">
        <f>(12500/100*30)+(12500/100*35)+(50000/100*50)+((65/100)*(-A863+F863))</f>
        <v>-15625</v>
      </c>
      <c r="L863" s="36">
        <f>(12500/100*10)+(12500/100*10)+(50000/100*10)+((10/100)*(-A863+F863))</f>
        <v>0</v>
      </c>
    </row>
    <row r="864" spans="1:20" hidden="1">
      <c r="A864" s="36">
        <v>150000</v>
      </c>
      <c r="B864" s="36"/>
      <c r="C864" s="36"/>
      <c r="D864" s="36"/>
      <c r="E864" s="36">
        <v>175000</v>
      </c>
      <c r="F864" s="36">
        <f>IF(AND(F844&gt;A864, F844&lt;=E864),F844,0)</f>
        <v>0</v>
      </c>
      <c r="G864" s="36">
        <f>(12500/100*20)+(12500/100*25)+(50000/100*35)+(75000/100*50)+((50/100)*(-A864+F864))</f>
        <v>-14375</v>
      </c>
      <c r="H864" s="36">
        <f>(12500/100*10)+(12500/100*10)+(50000/100*10)+(75000/100*10)+((50/100)*(-A864+F864))</f>
        <v>-60000</v>
      </c>
      <c r="I864" s="36">
        <f>(12500/100*25)+(12500/100*30)+(50000/100*40)+(75000/100*55)+((55/100)*(-A864+F864))</f>
        <v>-14375</v>
      </c>
      <c r="J864" s="36">
        <f>(12500/100*10)+(12500/100*10)+(50000/100*10)+(75000/100*10)+((55/100)*(-A864+F864))</f>
        <v>-67500</v>
      </c>
      <c r="K864" s="36">
        <f>(12500/100*30)+(12500/100*35)+(50000/100*50)+(75000/100*65)+((65/100)*(-A864+F864))</f>
        <v>-15625</v>
      </c>
      <c r="L864" s="36">
        <f>(12500/100*10)+(12500/100*10)+(50000/100*10)+(75000/100*10)+((65/100)*(-A864+F864))</f>
        <v>-82500</v>
      </c>
    </row>
    <row r="865" spans="1:12" hidden="1">
      <c r="A865" s="36">
        <v>175000</v>
      </c>
      <c r="B865" s="36"/>
      <c r="C865" s="36"/>
      <c r="D865" s="36"/>
      <c r="E865" s="36">
        <v>999999999</v>
      </c>
      <c r="F865" s="36">
        <f>IF(AND(F844&gt;A865, F844&lt;=E865),F844,0)</f>
        <v>0</v>
      </c>
      <c r="G865" s="36">
        <f>(12500/100*20)+(12500/100*25)+(50000/100*35)+(75000/100*50)+(25000/100*50)+((65/100)*(-A865+F865))</f>
        <v>-40625</v>
      </c>
      <c r="H865" s="36">
        <f>(12500/100*10)+(12500/100*10)+(50000/100*10)+(75000/100*10)+(25000/100*50)+((65/100)*(-A865+F865))</f>
        <v>-86250</v>
      </c>
      <c r="I865" s="36">
        <f>(12500/100*25)+(12500/100*30)+(50000/100*40)+(75000/100*55)+(25000/100*55)+((70/100)*(-A865+F865))</f>
        <v>-40624.999999999985</v>
      </c>
      <c r="J865" s="36">
        <f>(12500/100*10)+(12500/100*10)+(50000/100*10)+(75000/100*10)+(25000/100*55)+((70/100)*(-A865+F865))</f>
        <v>-93749.999999999985</v>
      </c>
      <c r="K865" s="36">
        <f>(12500/100*30)+(12500/100*35)+(50000/100*50)+(75000/100*65)+(25000/100*65)+((80/100)*(-A865+F865))</f>
        <v>-41875</v>
      </c>
      <c r="L865" s="36">
        <f>(12500/100*10)+(12500/100*10)+(50000/100*10)+(75000/100*10)+(25000/100*65)+((80/100)*(-A865+F865))</f>
        <v>-108750</v>
      </c>
    </row>
    <row r="866" spans="1:12" hidden="1">
      <c r="A866" s="42" t="s">
        <v>14</v>
      </c>
      <c r="B866" s="42"/>
      <c r="C866" s="42"/>
      <c r="D866" s="42"/>
      <c r="E866" s="36"/>
      <c r="F866" s="36"/>
      <c r="G866" s="36">
        <f>VLOOKUP(F844,F860:G865,2,FALSE)</f>
        <v>0</v>
      </c>
      <c r="H866" s="36">
        <f>VLOOKUP(F844,F860:H865,3,FALSE)</f>
        <v>0</v>
      </c>
      <c r="I866" s="36">
        <f>VLOOKUP(F844,F860:I865,4,FALSE)</f>
        <v>0</v>
      </c>
      <c r="J866" s="36">
        <f>VLOOKUP(F844,F860:J865,5,FALSE)</f>
        <v>0</v>
      </c>
      <c r="K866" s="36">
        <f>VLOOKUP(F844,F860:K865,6,FALSE)</f>
        <v>0</v>
      </c>
      <c r="L866" s="36">
        <f>VLOOKUP(F844,F860:L865,7,FALSE)</f>
        <v>0</v>
      </c>
    </row>
    <row r="867" spans="1:12" hidden="1"/>
    <row r="868" spans="1:12" hidden="1"/>
    <row r="869" spans="1:12" hidden="1"/>
    <row r="870" spans="1:12" hidden="1"/>
    <row r="871" spans="1:12" hidden="1"/>
    <row r="872" spans="1:12" hidden="1"/>
    <row r="873" spans="1:12" hidden="1"/>
    <row r="874" spans="1:12" hidden="1"/>
    <row r="875" spans="1:12" hidden="1"/>
    <row r="876" spans="1:12" hidden="1"/>
    <row r="877" spans="1:12" hidden="1"/>
    <row r="878" spans="1:12" hidden="1"/>
    <row r="879" spans="1:12" hidden="1"/>
    <row r="880" spans="1:12"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spans="5:10" hidden="1"/>
    <row r="930" spans="5:10" hidden="1"/>
    <row r="931" spans="5:10" hidden="1"/>
    <row r="932" spans="5:10" hidden="1"/>
    <row r="933" spans="5:10" hidden="1"/>
    <row r="934" spans="5:10" hidden="1"/>
    <row r="935" spans="5:10" hidden="1"/>
    <row r="936" spans="5:10" hidden="1"/>
    <row r="937" spans="5:10" hidden="1"/>
    <row r="938" spans="5:10" hidden="1"/>
    <row r="939" spans="5:10" hidden="1"/>
    <row r="940" spans="5:10" hidden="1"/>
    <row r="941" spans="5:10" hidden="1"/>
    <row r="942" spans="5:10" hidden="1"/>
    <row r="943" spans="5:10" hidden="1"/>
    <row r="944" spans="5:10" hidden="1">
      <c r="E944" s="24"/>
      <c r="G944" s="24"/>
      <c r="J944" s="7">
        <f>IF(AND(E16="bouwgrond",F55="echtgeno(o)t(e)"),H959,0)</f>
        <v>0</v>
      </c>
    </row>
    <row r="945" spans="1:20" hidden="1">
      <c r="E945" s="24"/>
      <c r="G945" s="24"/>
      <c r="J945" s="7">
        <f>IF(AND(E16="andere",F55="echtgeno(o)t(e)"),G959,0)</f>
        <v>0</v>
      </c>
    </row>
    <row r="946" spans="1:20" hidden="1">
      <c r="A946" s="35"/>
      <c r="B946" s="35"/>
      <c r="C946" s="35"/>
      <c r="D946" s="35"/>
      <c r="E946" s="36"/>
      <c r="F946" s="37"/>
      <c r="G946" s="36"/>
      <c r="H946" s="36"/>
      <c r="I946" s="38"/>
      <c r="J946" s="39">
        <f>IF(AND(E16="bouwgrond",F55="rechte lijn"),H959,0)</f>
        <v>0</v>
      </c>
      <c r="K946" s="38"/>
      <c r="L946" s="40"/>
    </row>
    <row r="947" spans="1:20" hidden="1">
      <c r="A947" s="36" t="s">
        <v>10</v>
      </c>
      <c r="B947" s="36"/>
      <c r="C947" s="36"/>
      <c r="D947" s="36"/>
      <c r="E947" s="36"/>
      <c r="F947" s="36">
        <f>G55</f>
        <v>0</v>
      </c>
      <c r="G947" s="41"/>
      <c r="H947" s="36"/>
      <c r="I947" s="36"/>
      <c r="J947" s="39">
        <f>IF(AND(E16="andere",F55="rechte lijn"),G959,0)</f>
        <v>0</v>
      </c>
      <c r="K947" s="36"/>
      <c r="L947" s="40"/>
    </row>
    <row r="948" spans="1:20" hidden="1">
      <c r="A948" s="36"/>
      <c r="B948" s="36"/>
      <c r="C948" s="36"/>
      <c r="D948" s="36"/>
      <c r="E948" s="36"/>
      <c r="F948" s="36"/>
      <c r="G948" s="36"/>
      <c r="H948" s="36"/>
      <c r="I948" s="36"/>
      <c r="J948" s="39">
        <f>IF(AND(E16="bouwgrond",F55="broer/zuster"),H969,0)</f>
        <v>0</v>
      </c>
      <c r="K948" s="36"/>
      <c r="L948" s="36"/>
      <c r="N948" s="7" t="s">
        <v>77</v>
      </c>
    </row>
    <row r="949" spans="1:20" hidden="1">
      <c r="A949" s="37" t="s">
        <v>11</v>
      </c>
      <c r="B949" s="37"/>
      <c r="C949" s="37"/>
      <c r="D949" s="37"/>
      <c r="E949" s="36"/>
      <c r="F949" s="36"/>
      <c r="G949" s="38" t="s">
        <v>12</v>
      </c>
      <c r="H949" s="38" t="s">
        <v>13</v>
      </c>
      <c r="I949" s="36"/>
      <c r="J949" s="39">
        <f>IF(AND(E16="andere",F55="broer/zuster"),G969,0)</f>
        <v>0</v>
      </c>
      <c r="K949" s="36"/>
      <c r="L949" s="36"/>
    </row>
    <row r="950" spans="1:20" hidden="1">
      <c r="A950" s="36">
        <v>0</v>
      </c>
      <c r="B950" s="36"/>
      <c r="C950" s="36"/>
      <c r="D950" s="36"/>
      <c r="E950" s="36">
        <v>12500</v>
      </c>
      <c r="F950" s="36">
        <f>IF(AND(F947&gt;A950, F947&lt;=E950),F947,0)</f>
        <v>0</v>
      </c>
      <c r="G950" s="36">
        <f>0+(3/100)*(-A950+F950)</f>
        <v>0</v>
      </c>
      <c r="H950" s="36">
        <f>0+(1/100)*(-A950+F950)</f>
        <v>0</v>
      </c>
      <c r="I950" s="36"/>
      <c r="J950" s="39">
        <f>IF(AND(E16="bouwgrond",F55="oom-tante/neef-nicht"),J969,0)</f>
        <v>0</v>
      </c>
      <c r="K950" s="36"/>
      <c r="L950" s="36"/>
      <c r="M950" s="7" t="s">
        <v>78</v>
      </c>
      <c r="N950" s="7">
        <f>IF(I55=3,J955*12%,0)</f>
        <v>0</v>
      </c>
      <c r="O950" s="7">
        <f>IF(N950&gt;372,372,N950)</f>
        <v>0</v>
      </c>
      <c r="Q950" s="7" t="s">
        <v>79</v>
      </c>
      <c r="R950" s="7">
        <f>J955*6%</f>
        <v>0</v>
      </c>
      <c r="S950" s="7">
        <f>IF(R950&gt;186,186,R950)</f>
        <v>0</v>
      </c>
      <c r="T950" s="7">
        <f>IF(I55=3,S950,0)</f>
        <v>0</v>
      </c>
    </row>
    <row r="951" spans="1:20" hidden="1">
      <c r="A951" s="36">
        <f t="shared" ref="A951:A958" si="14">E950</f>
        <v>12500</v>
      </c>
      <c r="B951" s="36"/>
      <c r="C951" s="36"/>
      <c r="D951" s="36"/>
      <c r="E951" s="36">
        <v>25000</v>
      </c>
      <c r="F951" s="36">
        <f>IF(AND(F947&gt;A951, F947&lt;=E951),F947,0)</f>
        <v>0</v>
      </c>
      <c r="G951" s="36">
        <f>(12500/100*3)+(4/100)*(-A951+F951)</f>
        <v>-125</v>
      </c>
      <c r="H951" s="36">
        <f>(12500/100*1)+(2/100)*(-A951+F951)</f>
        <v>-125</v>
      </c>
      <c r="I951" s="36"/>
      <c r="J951" s="39">
        <f>IF(AND(E16="andere",F55="oom-tante/neef-nicht"),I969,0)</f>
        <v>0</v>
      </c>
      <c r="K951" s="36"/>
      <c r="N951" s="7">
        <f>IF(I55=4,J955*16%,0)</f>
        <v>0</v>
      </c>
      <c r="O951" s="7">
        <f>IF(N951&gt;496,496,N951)</f>
        <v>0</v>
      </c>
      <c r="Q951" s="7" t="s">
        <v>80</v>
      </c>
      <c r="R951" s="7">
        <f>J955*8%</f>
        <v>0</v>
      </c>
      <c r="S951" s="7">
        <f>IF(R951&gt;248,248,R951)</f>
        <v>0</v>
      </c>
      <c r="T951" s="7">
        <f>IF(I55=4,S951,0)</f>
        <v>0</v>
      </c>
    </row>
    <row r="952" spans="1:20" hidden="1">
      <c r="A952" s="36">
        <f t="shared" si="14"/>
        <v>25000</v>
      </c>
      <c r="B952" s="36"/>
      <c r="C952" s="36"/>
      <c r="D952" s="36"/>
      <c r="E952" s="36">
        <v>50000</v>
      </c>
      <c r="F952" s="36">
        <f>IF(AND(F947&gt;A952, F947&lt;=E952),F947,0)</f>
        <v>0</v>
      </c>
      <c r="G952" s="36">
        <f>(12500/100*3)+(12500/100*4)+((5/100)*(-A952+F952))</f>
        <v>-375</v>
      </c>
      <c r="H952" s="36">
        <f>(12500/100*1)+(12500/100*2)+((3/100)*(-A952+F952))</f>
        <v>-375</v>
      </c>
      <c r="I952" s="36"/>
      <c r="J952" s="39">
        <f>IF(AND(E16="bouwgrond",F55="vreemden"),L969,0)</f>
        <v>0</v>
      </c>
      <c r="K952" s="36"/>
      <c r="L952" s="36"/>
      <c r="N952" s="7">
        <f>IF(I55=5,J955*20%,0)</f>
        <v>0</v>
      </c>
      <c r="O952" s="7">
        <f>IF(N952&gt;620,620,N952)</f>
        <v>0</v>
      </c>
      <c r="R952" s="7">
        <f>J955*10%</f>
        <v>0</v>
      </c>
      <c r="S952" s="7">
        <f>IF(R952&gt;310,310,R952)</f>
        <v>0</v>
      </c>
      <c r="T952" s="7">
        <f>IF(I55=5,S952,0)</f>
        <v>0</v>
      </c>
    </row>
    <row r="953" spans="1:20" hidden="1">
      <c r="A953" s="36">
        <f t="shared" si="14"/>
        <v>50000</v>
      </c>
      <c r="B953" s="36"/>
      <c r="C953" s="36"/>
      <c r="D953" s="36"/>
      <c r="E953" s="36">
        <v>100000</v>
      </c>
      <c r="F953" s="36">
        <f>IF(AND(F947&gt;A953, F947&lt;=E953),F947,0)</f>
        <v>0</v>
      </c>
      <c r="G953" s="36">
        <f>(12500/100*3)+(12500/100*4)+(25000/100*5)+((7/100)*(-A953+F953))</f>
        <v>-1375.0000000000005</v>
      </c>
      <c r="H953" s="36">
        <f>(12500/100*1)+(12500/100*2)+(25000/100*3)+((5/100)*(-A953+F953))</f>
        <v>-1375</v>
      </c>
      <c r="I953" s="36"/>
      <c r="J953" s="39">
        <f>IF(AND(E16="andere",F55="vreemden"),K969,0)</f>
        <v>0</v>
      </c>
      <c r="K953" s="36"/>
      <c r="L953" s="36"/>
      <c r="N953" s="7">
        <f>IF(I55=6,J955*24%,0)</f>
        <v>0</v>
      </c>
      <c r="O953" s="7">
        <f>IF(N953&gt;744,744,N953)</f>
        <v>0</v>
      </c>
      <c r="R953" s="7">
        <f>J955*12%</f>
        <v>0</v>
      </c>
      <c r="S953" s="7">
        <f>IF(R953&gt;372,372,R953)</f>
        <v>0</v>
      </c>
      <c r="T953" s="7">
        <f>IF(I55=6,S953,0)</f>
        <v>0</v>
      </c>
    </row>
    <row r="954" spans="1:20" hidden="1">
      <c r="A954" s="36">
        <f t="shared" si="14"/>
        <v>100000</v>
      </c>
      <c r="B954" s="36"/>
      <c r="C954" s="36"/>
      <c r="D954" s="36"/>
      <c r="E954" s="36">
        <v>150000</v>
      </c>
      <c r="F954" s="36">
        <f>IF(AND(F947&gt;A954, F947&lt;=E954),F947,0)</f>
        <v>0</v>
      </c>
      <c r="G954" s="36">
        <f>(12500/100*3)+(12500/100*4)+(25000/100*5)+(50000/100*7)+((10/100)*(-A954+F954))</f>
        <v>-4375</v>
      </c>
      <c r="H954" s="36">
        <f>(12500/100*1)+(12500/100*2)+(25000/100*3)+(50000/100*5)+((8/100)*(-A954+F954))</f>
        <v>-4375</v>
      </c>
      <c r="I954" s="36"/>
      <c r="J954" s="36"/>
      <c r="K954" s="36"/>
      <c r="L954" s="36"/>
      <c r="N954" s="7">
        <f>IF(I55=7,J955*28%,0)</f>
        <v>0</v>
      </c>
      <c r="O954" s="7">
        <f>IF(N954&gt;868,868,N954)</f>
        <v>0</v>
      </c>
      <c r="R954" s="7">
        <f>J955*14%</f>
        <v>0</v>
      </c>
      <c r="S954" s="7">
        <f>IF(R954&gt;434,434,R954)</f>
        <v>0</v>
      </c>
      <c r="T954" s="7">
        <f>IF(I55=7,S954,0)</f>
        <v>0</v>
      </c>
    </row>
    <row r="955" spans="1:20" hidden="1">
      <c r="A955" s="36">
        <f t="shared" si="14"/>
        <v>150000</v>
      </c>
      <c r="B955" s="36"/>
      <c r="C955" s="36"/>
      <c r="D955" s="36"/>
      <c r="E955" s="36">
        <v>200000</v>
      </c>
      <c r="F955" s="36">
        <f>IF(AND(F947&gt;A955, F947&lt;=E955),F947,0)</f>
        <v>0</v>
      </c>
      <c r="G955" s="36">
        <f>(12500/100*3)+(12500/100*4)+(25000/100*5)+(50000/100*7)+(50000/100*10)+((14/100)*(-A955+F955))</f>
        <v>-10375.000000000004</v>
      </c>
      <c r="H955" s="36">
        <f>(12500/100*1)+(12500/100*2)+(25000/100*3)+(50000/100*5)+(50000/100*8)+((14/100)*(-A955+F955))</f>
        <v>-13375.000000000004</v>
      </c>
      <c r="I955" s="36"/>
      <c r="J955" s="36">
        <f>SUM(J944:J953)</f>
        <v>0</v>
      </c>
      <c r="K955" s="36"/>
      <c r="L955" s="36"/>
      <c r="N955" s="7">
        <f>IF(I55=8,J955*32%,0)</f>
        <v>0</v>
      </c>
      <c r="O955" s="7">
        <f>IF(N955&gt;992,992,N955)</f>
        <v>0</v>
      </c>
      <c r="R955" s="7">
        <f>J955*16%</f>
        <v>0</v>
      </c>
      <c r="S955" s="7">
        <f>IF(R955&gt;496,496,R955)</f>
        <v>0</v>
      </c>
      <c r="T955" s="7">
        <f>IF(I55=8,S955,0)</f>
        <v>0</v>
      </c>
    </row>
    <row r="956" spans="1:20" hidden="1">
      <c r="A956" s="36">
        <f t="shared" si="14"/>
        <v>200000</v>
      </c>
      <c r="B956" s="36"/>
      <c r="C956" s="36"/>
      <c r="D956" s="36"/>
      <c r="E956" s="36">
        <v>250000</v>
      </c>
      <c r="F956" s="36">
        <f>IF(AND(F947&gt;A956, F947&lt;=E956),F947,0)</f>
        <v>0</v>
      </c>
      <c r="G956" s="36">
        <f>(12500/100*3)+(12500/100*4)+(25000/100*5)+(50000/100*7)+(50000/100*10)+(50000/100*14)+((18/100)*(-A956+F956))</f>
        <v>-18375</v>
      </c>
      <c r="H956" s="36">
        <f>(12500/100*1)+(12500/100*2)+(25000/100*3)+(50000/100*5)+(50000/100*8)+(50000/100*14)+((18/100)*(-A956+F956))</f>
        <v>-21375</v>
      </c>
      <c r="I956" s="36"/>
      <c r="J956" s="36"/>
      <c r="K956" s="36"/>
      <c r="L956" s="36"/>
      <c r="N956" s="7">
        <f>IF(I55=9,J955*36%,0)</f>
        <v>0</v>
      </c>
      <c r="O956" s="7">
        <f>IF(N956&gt;1116,1116,N956)</f>
        <v>0</v>
      </c>
      <c r="R956" s="7">
        <f>J955*18%</f>
        <v>0</v>
      </c>
      <c r="S956" s="7">
        <f>IF(R956&gt;558,558,R956)</f>
        <v>0</v>
      </c>
      <c r="T956" s="7">
        <f>IF(I55=9,S956,0)</f>
        <v>0</v>
      </c>
    </row>
    <row r="957" spans="1:20" hidden="1">
      <c r="A957" s="36">
        <f t="shared" si="14"/>
        <v>250000</v>
      </c>
      <c r="B957" s="36"/>
      <c r="C957" s="36"/>
      <c r="D957" s="36"/>
      <c r="E957" s="36">
        <v>500000</v>
      </c>
      <c r="F957" s="36">
        <f>IF(AND(F947&gt;A957, F947&lt;=E957),F947,0)</f>
        <v>0</v>
      </c>
      <c r="G957" s="36">
        <f>(12500/100*3)+(12500/100*4)+(25000/100*5)+(50000/100*7)+(50000/100*10)+(50000/100*14)+(50000/100*18)+((24/100)*(-A957+F957))</f>
        <v>-33375</v>
      </c>
      <c r="H957" s="36">
        <f>(12500/100*1)+(12500/100*2)+(25000/100*3)+(50000/100*5)+(50000/100*8)+(50000/100*14)+(50000/100*18)+((24/100)*(-A957+F957))</f>
        <v>-36375</v>
      </c>
      <c r="I957" s="36"/>
      <c r="J957" s="36"/>
      <c r="K957" s="36"/>
      <c r="L957" s="36"/>
      <c r="N957" s="7">
        <f>IF(I55=10,J955*40%,0)</f>
        <v>0</v>
      </c>
      <c r="O957" s="7">
        <f>IF(N957&gt;1240,1240,N957)</f>
        <v>0</v>
      </c>
      <c r="R957" s="7">
        <f>J955*20%</f>
        <v>0</v>
      </c>
      <c r="S957" s="7">
        <f>IF(R957&gt;620,620,R957)</f>
        <v>0</v>
      </c>
      <c r="T957" s="7">
        <f>IF(I55=10,S957,0)</f>
        <v>0</v>
      </c>
    </row>
    <row r="958" spans="1:20" hidden="1">
      <c r="A958" s="36">
        <f t="shared" si="14"/>
        <v>500000</v>
      </c>
      <c r="B958" s="36"/>
      <c r="C958" s="36"/>
      <c r="D958" s="36"/>
      <c r="E958" s="36">
        <v>999999999</v>
      </c>
      <c r="F958" s="36">
        <f>IF(AND(F947&gt;A958, F947&lt;=E958),F947,0)</f>
        <v>0</v>
      </c>
      <c r="G958" s="36">
        <f>(12500/100*3)+(12500/100*4)+(25000/100*5)+(50000/100*7)+(50000/100*10)+(50000/100*14)+(50000/100*18)+(250000/100*24)+((30/100)*(-A958+F958))</f>
        <v>-63375</v>
      </c>
      <c r="H958" s="36">
        <f>(12500/100*1)+(12500/100*2)+(25000/100*3)+(50000/100*5)+(50000/100*8)+(50000/100*14)+(50000/100*18)+(250000/100*24)+((30/100)*(-A958+F958))</f>
        <v>-66375</v>
      </c>
      <c r="I958" s="36"/>
      <c r="J958" s="36"/>
      <c r="K958" s="36"/>
      <c r="L958" s="36"/>
    </row>
    <row r="959" spans="1:20" hidden="1">
      <c r="A959" s="42" t="s">
        <v>14</v>
      </c>
      <c r="B959" s="42"/>
      <c r="C959" s="42"/>
      <c r="D959" s="42"/>
      <c r="E959" s="36"/>
      <c r="F959" s="36"/>
      <c r="G959" s="36">
        <f>VLOOKUP(F947,F950:G958,2,FALSE)</f>
        <v>0</v>
      </c>
      <c r="H959" s="36">
        <f>VLOOKUP(F947,F950:H958,3,FALSE)</f>
        <v>0</v>
      </c>
      <c r="I959" s="36"/>
      <c r="J959" s="36"/>
      <c r="K959" s="36"/>
      <c r="L959" s="43"/>
      <c r="O959" s="7">
        <f>SUM(O950:O958)</f>
        <v>0</v>
      </c>
      <c r="T959" s="7">
        <f>SUM(T950:T958)</f>
        <v>0</v>
      </c>
    </row>
    <row r="960" spans="1:20" hidden="1">
      <c r="A960" s="36"/>
      <c r="B960" s="36"/>
      <c r="C960" s="36"/>
      <c r="D960" s="36"/>
      <c r="E960" s="36"/>
      <c r="F960" s="36"/>
      <c r="G960" s="36"/>
      <c r="H960" s="36"/>
      <c r="I960" s="36"/>
      <c r="J960" s="36"/>
      <c r="K960" s="36"/>
      <c r="L960" s="43"/>
      <c r="O960" s="29"/>
    </row>
    <row r="961" spans="1:17" hidden="1">
      <c r="A961" s="36"/>
      <c r="B961" s="36"/>
      <c r="C961" s="36"/>
      <c r="D961" s="36"/>
      <c r="E961" s="36"/>
      <c r="F961" s="36"/>
      <c r="G961" s="36"/>
      <c r="H961" s="36"/>
      <c r="I961" s="36"/>
      <c r="J961" s="36"/>
      <c r="K961" s="36"/>
      <c r="L961" s="43"/>
      <c r="O961" s="29"/>
    </row>
    <row r="962" spans="1:17" hidden="1">
      <c r="A962" s="37" t="s">
        <v>15</v>
      </c>
      <c r="B962" s="37"/>
      <c r="C962" s="37"/>
      <c r="D962" s="37"/>
      <c r="E962" s="36"/>
      <c r="F962" s="36"/>
      <c r="G962" s="38" t="s">
        <v>16</v>
      </c>
      <c r="H962" s="38" t="s">
        <v>17</v>
      </c>
      <c r="I962" s="35" t="s">
        <v>18</v>
      </c>
      <c r="J962" s="35" t="s">
        <v>19</v>
      </c>
      <c r="K962" s="35" t="s">
        <v>20</v>
      </c>
      <c r="L962" s="35" t="s">
        <v>21</v>
      </c>
      <c r="O962" s="29"/>
    </row>
    <row r="963" spans="1:17" hidden="1">
      <c r="A963" s="36">
        <v>0</v>
      </c>
      <c r="B963" s="36"/>
      <c r="C963" s="36"/>
      <c r="D963" s="36"/>
      <c r="E963" s="36">
        <v>12500</v>
      </c>
      <c r="F963" s="36">
        <f>IF(AND(F947&gt;A963, F947&lt;=E963),F947,0)</f>
        <v>0</v>
      </c>
      <c r="G963" s="36">
        <f>0+(20/100)*(-A963+F963)</f>
        <v>0</v>
      </c>
      <c r="H963" s="36">
        <f>0+(10/100)*(-A963+F963)</f>
        <v>0</v>
      </c>
      <c r="I963" s="36">
        <f>0+(25/100)*(-A963+F963)</f>
        <v>0</v>
      </c>
      <c r="J963" s="36">
        <f>0+(10/100)*(-A963+F963)</f>
        <v>0</v>
      </c>
      <c r="K963" s="36">
        <f>0+(30/100)*(-A963+F963)</f>
        <v>0</v>
      </c>
      <c r="L963" s="36">
        <f>0+(10/100)*(-A963+F963)</f>
        <v>0</v>
      </c>
      <c r="M963" s="7" t="s">
        <v>81</v>
      </c>
      <c r="N963" s="16">
        <f>J955-O959</f>
        <v>0</v>
      </c>
      <c r="O963" s="29"/>
      <c r="P963" s="7" t="s">
        <v>82</v>
      </c>
      <c r="Q963" s="44">
        <f>J955-T959</f>
        <v>0</v>
      </c>
    </row>
    <row r="964" spans="1:17" hidden="1">
      <c r="A964" s="36">
        <f>E963</f>
        <v>12500</v>
      </c>
      <c r="B964" s="36"/>
      <c r="C964" s="36"/>
      <c r="D964" s="36"/>
      <c r="E964" s="36">
        <v>25000</v>
      </c>
      <c r="F964" s="36">
        <f>IF(AND(F947&gt;A964, F947&lt;=E964),F947,0)</f>
        <v>0</v>
      </c>
      <c r="G964" s="36">
        <f>(12500/100*20)+((25/100)*(-A964+F964))</f>
        <v>-625</v>
      </c>
      <c r="H964" s="36">
        <f>(12500/100*10)+((10/100)*(-A964+F964))</f>
        <v>0</v>
      </c>
      <c r="I964" s="36">
        <f>(12500/100*25)+((30/100)*(-A964+F964))</f>
        <v>-625</v>
      </c>
      <c r="J964" s="36">
        <f>(12500/100*10)+((10/100)*(-A964+F964))</f>
        <v>0</v>
      </c>
      <c r="K964" s="36">
        <f>(12500/100*30)+((35/100)*(-A964+F964))</f>
        <v>-625</v>
      </c>
      <c r="L964" s="36">
        <f>(12500/100*10)+((10/100)*(-A964+F964))</f>
        <v>0</v>
      </c>
    </row>
    <row r="965" spans="1:17" hidden="1">
      <c r="A965" s="36">
        <f>E964</f>
        <v>25000</v>
      </c>
      <c r="B965" s="36"/>
      <c r="C965" s="36"/>
      <c r="D965" s="36"/>
      <c r="E965" s="36">
        <v>75000</v>
      </c>
      <c r="F965" s="36">
        <f>IF(AND(F947&gt;A965, F947&lt;=E965),F947,0)</f>
        <v>0</v>
      </c>
      <c r="G965" s="36">
        <f>(12500/100*20)+(12500/100*25)+((35/100)*(-A965+F965))</f>
        <v>-3125</v>
      </c>
      <c r="H965" s="36">
        <f>(12500/100*10)+(12500/100*10)+((10/100)*(-A965+F965))</f>
        <v>0</v>
      </c>
      <c r="I965" s="36">
        <f>(12500/100*25)+(12500/100*30)+((40/100)*(-A965+F965))</f>
        <v>-3125</v>
      </c>
      <c r="J965" s="36">
        <f>(12500/100*10)+(12500/100*10)+((10/100)*(-A965+F965))</f>
        <v>0</v>
      </c>
      <c r="K965" s="36">
        <f>(12500/100*30)+(12500/100*35)+((50/100)*(-A965+F965))</f>
        <v>-4375</v>
      </c>
      <c r="L965" s="36">
        <f>(12500/100*10)+(12500/100*10)+((10/100)*(-A965+F965))</f>
        <v>0</v>
      </c>
      <c r="O965" s="7">
        <f>(IF(F55="echtgeno(o)t(e)",N963,Q963))</f>
        <v>0</v>
      </c>
    </row>
    <row r="966" spans="1:17" hidden="1">
      <c r="A966" s="36">
        <f>E965</f>
        <v>75000</v>
      </c>
      <c r="B966" s="36"/>
      <c r="C966" s="36"/>
      <c r="D966" s="36"/>
      <c r="E966" s="36">
        <v>150000</v>
      </c>
      <c r="F966" s="36">
        <f>IF(AND(F947&gt;A966, F947&lt;=E966),F947,0)</f>
        <v>0</v>
      </c>
      <c r="G966" s="36">
        <f>(12500/100*20)+(12500/100*25)+(50000/100*35)+((50/100)*(-A966+F966))</f>
        <v>-14375</v>
      </c>
      <c r="H966" s="36">
        <f>(12500/100*10)+(12500/100*10)+(50000/100*10)+((10/100)*(-A966+F966))</f>
        <v>0</v>
      </c>
      <c r="I966" s="36">
        <f>(12500/100*25)+(12500/100*30)+(50000/100*40)+((55/100)*(-A966+F966))</f>
        <v>-14375</v>
      </c>
      <c r="J966" s="36">
        <f>(12500/100*10)+(12500/100*10)+(50000/100*10)+((10/100)*(-A966+F966))</f>
        <v>0</v>
      </c>
      <c r="K966" s="36">
        <f>(12500/100*30)+(12500/100*35)+(50000/100*50)+((65/100)*(-A966+F966))</f>
        <v>-15625</v>
      </c>
      <c r="L966" s="36">
        <f>(12500/100*10)+(12500/100*10)+(50000/100*10)+((10/100)*(-A966+F966))</f>
        <v>0</v>
      </c>
    </row>
    <row r="967" spans="1:17" hidden="1">
      <c r="A967" s="36">
        <v>150000</v>
      </c>
      <c r="B967" s="36"/>
      <c r="C967" s="36"/>
      <c r="D967" s="36"/>
      <c r="E967" s="36">
        <v>175000</v>
      </c>
      <c r="F967" s="36">
        <f>IF(AND(F947&gt;A967, F947&lt;=E967),F947,0)</f>
        <v>0</v>
      </c>
      <c r="G967" s="36">
        <f>(12500/100*20)+(12500/100*25)+(50000/100*35)+(75000/100*50)+((50/100)*(-A967+F967))</f>
        <v>-14375</v>
      </c>
      <c r="H967" s="36">
        <f>(12500/100*10)+(12500/100*10)+(50000/100*10)+(75000/100*10)+((50/100)*(-A967+F967))</f>
        <v>-60000</v>
      </c>
      <c r="I967" s="36">
        <f>(12500/100*25)+(12500/100*30)+(50000/100*40)+(75000/100*55)+((55/100)*(-A967+F967))</f>
        <v>-14375</v>
      </c>
      <c r="J967" s="36">
        <f>(12500/100*10)+(12500/100*10)+(50000/100*10)+(75000/100*10)+((55/100)*(-A967+F967))</f>
        <v>-67500</v>
      </c>
      <c r="K967" s="36">
        <f>(12500/100*30)+(12500/100*35)+(50000/100*50)+(75000/100*65)+((65/100)*(-A967+F967))</f>
        <v>-15625</v>
      </c>
      <c r="L967" s="36">
        <f>(12500/100*10)+(12500/100*10)+(50000/100*10)+(75000/100*10)+((65/100)*(-A967+F967))</f>
        <v>-82500</v>
      </c>
    </row>
    <row r="968" spans="1:17" hidden="1">
      <c r="A968" s="36">
        <v>175000</v>
      </c>
      <c r="B968" s="36"/>
      <c r="C968" s="36"/>
      <c r="D968" s="36"/>
      <c r="E968" s="36">
        <v>999999999</v>
      </c>
      <c r="F968" s="36">
        <f>IF(AND(F947&gt;A968, F947&lt;=E968),F947,0)</f>
        <v>0</v>
      </c>
      <c r="G968" s="36">
        <f>(12500/100*20)+(12500/100*25)+(50000/100*35)+(75000/100*50)+(25000/100*50)+((65/100)*(-A968+F968))</f>
        <v>-40625</v>
      </c>
      <c r="H968" s="36">
        <f>(12500/100*10)+(12500/100*10)+(50000/100*10)+(75000/100*10)+(25000/100*50)+((65/100)*(-A968+F968))</f>
        <v>-86250</v>
      </c>
      <c r="I968" s="36">
        <f>(12500/100*25)+(12500/100*30)+(50000/100*40)+(75000/100*55)+(25000/100*55)+((70/100)*(-A968+F968))</f>
        <v>-40624.999999999985</v>
      </c>
      <c r="J968" s="36">
        <f>(12500/100*10)+(12500/100*10)+(50000/100*10)+(75000/100*10)+(25000/100*55)+((70/100)*(-A968+F968))</f>
        <v>-93749.999999999985</v>
      </c>
      <c r="K968" s="36">
        <f>(12500/100*30)+(12500/100*35)+(50000/100*50)+(75000/100*65)+(25000/100*65)+((80/100)*(-A968+F968))</f>
        <v>-41875</v>
      </c>
      <c r="L968" s="36">
        <f>(12500/100*10)+(12500/100*10)+(50000/100*10)+(75000/100*10)+(25000/100*65)+((80/100)*(-A968+F968))</f>
        <v>-108750</v>
      </c>
    </row>
    <row r="969" spans="1:17" hidden="1">
      <c r="A969" s="42" t="s">
        <v>14</v>
      </c>
      <c r="B969" s="42"/>
      <c r="C969" s="42"/>
      <c r="D969" s="42"/>
      <c r="E969" s="36"/>
      <c r="F969" s="36"/>
      <c r="G969" s="36">
        <f>VLOOKUP(F947,F963:G968,2,FALSE)</f>
        <v>0</v>
      </c>
      <c r="H969" s="36">
        <f>VLOOKUP(F947,F963:H968,3,FALSE)</f>
        <v>0</v>
      </c>
      <c r="I969" s="36">
        <f>VLOOKUP(F947,F963:I968,4,FALSE)</f>
        <v>0</v>
      </c>
      <c r="J969" s="36">
        <f>VLOOKUP(F947,F963:J968,5,FALSE)</f>
        <v>0</v>
      </c>
      <c r="K969" s="36">
        <f>VLOOKUP(F947,F963:K968,6,FALSE)</f>
        <v>0</v>
      </c>
      <c r="L969" s="36">
        <f>VLOOKUP(F947,F963:L968,7,FALSE)</f>
        <v>0</v>
      </c>
    </row>
    <row r="970" spans="1:17" hidden="1"/>
    <row r="971" spans="1:17" hidden="1"/>
    <row r="972" spans="1:17" hidden="1"/>
    <row r="973" spans="1:17" hidden="1"/>
    <row r="974" spans="1:17" hidden="1"/>
    <row r="975" spans="1:17" hidden="1"/>
    <row r="976" spans="1:17" hidden="1"/>
    <row r="977" hidden="1"/>
    <row r="978" hidden="1"/>
    <row r="979" hidden="1"/>
    <row r="980" hidden="1"/>
    <row r="981" hidden="1"/>
    <row r="982" hidden="1"/>
    <row r="983" hidden="1"/>
    <row r="984" hidden="1"/>
    <row r="985" hidden="1"/>
    <row r="986" hidden="1"/>
    <row r="987" hidden="1"/>
    <row r="988" hidden="1"/>
    <row r="989" hidden="1"/>
    <row r="990" hidden="1"/>
    <row r="991" hidden="1"/>
    <row r="992" hidden="1"/>
    <row r="993" hidden="1"/>
    <row r="994" hidden="1"/>
    <row r="995" hidden="1"/>
    <row r="996" hidden="1"/>
    <row r="997" hidden="1"/>
    <row r="998" hidden="1"/>
    <row r="999" hidden="1"/>
    <row r="1000" hidden="1"/>
    <row r="1001" hidden="1"/>
    <row r="1002" hidden="1"/>
    <row r="1003" hidden="1"/>
    <row r="1004" hidden="1"/>
    <row r="1005" hidden="1"/>
    <row r="1006" hidden="1"/>
    <row r="1007" hidden="1"/>
    <row r="1008" hidden="1"/>
    <row r="1009" hidden="1"/>
    <row r="1010" hidden="1"/>
    <row r="1011" hidden="1"/>
    <row r="1012" hidden="1"/>
    <row r="1013" hidden="1"/>
    <row r="1014" hidden="1"/>
    <row r="1015" hidden="1"/>
    <row r="1016" hidden="1"/>
    <row r="1017" hidden="1"/>
    <row r="1018" hidden="1"/>
    <row r="1019" hidden="1"/>
    <row r="1020" hidden="1"/>
    <row r="1021" hidden="1"/>
    <row r="1022" hidden="1"/>
    <row r="1023" hidden="1"/>
    <row r="1024" hidden="1"/>
    <row r="1025" hidden="1"/>
    <row r="1026" hidden="1"/>
    <row r="1027" hidden="1"/>
    <row r="1028" hidden="1"/>
    <row r="1029" hidden="1"/>
    <row r="1030" hidden="1"/>
    <row r="1031" hidden="1"/>
    <row r="1032" hidden="1"/>
    <row r="1033" hidden="1"/>
    <row r="1034" hidden="1"/>
    <row r="1035" hidden="1"/>
    <row r="1036" hidden="1"/>
    <row r="1037" hidden="1"/>
    <row r="1038" hidden="1"/>
    <row r="1039" hidden="1"/>
    <row r="1040" hidden="1"/>
    <row r="1041" spans="1:20" hidden="1"/>
    <row r="1042" spans="1:20" hidden="1"/>
    <row r="1043" spans="1:20" hidden="1"/>
    <row r="1044" spans="1:20" hidden="1"/>
    <row r="1045" spans="1:20" hidden="1"/>
    <row r="1046" spans="1:20" hidden="1"/>
    <row r="1047" spans="1:20" hidden="1">
      <c r="E1047" s="24"/>
      <c r="G1047" s="24"/>
      <c r="J1047" s="7">
        <f>IF(AND(E16="bouwgrond",F60="echtgeno(o)t(e)"),H1062,0)</f>
        <v>0</v>
      </c>
    </row>
    <row r="1048" spans="1:20" hidden="1">
      <c r="E1048" s="24"/>
      <c r="G1048" s="24"/>
      <c r="J1048" s="7">
        <f>IF(AND(E16="andere",F60="echtgeno(o)t(e)"),G1062,0)</f>
        <v>0</v>
      </c>
    </row>
    <row r="1049" spans="1:20" hidden="1">
      <c r="A1049" s="35"/>
      <c r="B1049" s="35"/>
      <c r="C1049" s="35"/>
      <c r="D1049" s="35"/>
      <c r="E1049" s="36"/>
      <c r="F1049" s="37"/>
      <c r="G1049" s="36"/>
      <c r="H1049" s="36"/>
      <c r="I1049" s="38"/>
      <c r="J1049" s="39">
        <f>IF(AND(E16="bouwgrond",F60="rechte lijn"),H1062,0)</f>
        <v>0</v>
      </c>
      <c r="K1049" s="38"/>
      <c r="L1049" s="40"/>
    </row>
    <row r="1050" spans="1:20" hidden="1">
      <c r="A1050" s="36" t="s">
        <v>10</v>
      </c>
      <c r="B1050" s="36"/>
      <c r="C1050" s="36"/>
      <c r="D1050" s="36"/>
      <c r="E1050" s="36"/>
      <c r="F1050" s="36">
        <f>G60</f>
        <v>0</v>
      </c>
      <c r="G1050" s="41"/>
      <c r="H1050" s="36"/>
      <c r="I1050" s="36"/>
      <c r="J1050" s="39">
        <f>IF(AND(E16="andere",F60="rechte lijn"),G1062,0)</f>
        <v>0</v>
      </c>
      <c r="K1050" s="36"/>
      <c r="L1050" s="40"/>
    </row>
    <row r="1051" spans="1:20" hidden="1">
      <c r="A1051" s="36"/>
      <c r="B1051" s="36"/>
      <c r="C1051" s="36"/>
      <c r="D1051" s="36"/>
      <c r="E1051" s="36"/>
      <c r="F1051" s="36"/>
      <c r="G1051" s="36"/>
      <c r="H1051" s="36"/>
      <c r="I1051" s="36"/>
      <c r="J1051" s="39">
        <f>IF(AND(E16="bouwgrond",F60="broer/zuster"),H1072,0)</f>
        <v>0</v>
      </c>
      <c r="K1051" s="36"/>
      <c r="L1051" s="36"/>
      <c r="N1051" s="7" t="s">
        <v>77</v>
      </c>
    </row>
    <row r="1052" spans="1:20" hidden="1">
      <c r="A1052" s="37" t="s">
        <v>11</v>
      </c>
      <c r="B1052" s="37"/>
      <c r="C1052" s="37"/>
      <c r="D1052" s="37"/>
      <c r="E1052" s="36"/>
      <c r="F1052" s="36"/>
      <c r="G1052" s="38" t="s">
        <v>12</v>
      </c>
      <c r="H1052" s="38" t="s">
        <v>13</v>
      </c>
      <c r="I1052" s="36"/>
      <c r="J1052" s="39">
        <f>IF(AND(E16="andere",F60="broer/zuster"),G1072,0)</f>
        <v>0</v>
      </c>
      <c r="K1052" s="36"/>
      <c r="L1052" s="36"/>
    </row>
    <row r="1053" spans="1:20" hidden="1">
      <c r="A1053" s="36">
        <v>0</v>
      </c>
      <c r="B1053" s="36"/>
      <c r="C1053" s="36"/>
      <c r="D1053" s="36"/>
      <c r="E1053" s="36">
        <v>12500</v>
      </c>
      <c r="F1053" s="36">
        <f>IF(AND(F1050&gt;A1053, F1050&lt;=E1053),F1050,0)</f>
        <v>0</v>
      </c>
      <c r="G1053" s="36">
        <f>0+(3/100)*(-A1053+F1053)</f>
        <v>0</v>
      </c>
      <c r="H1053" s="36">
        <f>0+(1/100)*(-A1053+F1053)</f>
        <v>0</v>
      </c>
      <c r="I1053" s="36"/>
      <c r="J1053" s="39">
        <f>IF(AND(E16="bouwgrond",F60="oom-tante/neef-nicht"),J1072,0)</f>
        <v>0</v>
      </c>
      <c r="K1053" s="36"/>
      <c r="L1053" s="36"/>
      <c r="M1053" s="7" t="s">
        <v>78</v>
      </c>
      <c r="N1053" s="7">
        <f>IF(I60=3,J1058*12%,0)</f>
        <v>0</v>
      </c>
      <c r="O1053" s="7">
        <f>IF(N1053&gt;372,372,N1053)</f>
        <v>0</v>
      </c>
      <c r="Q1053" s="7" t="s">
        <v>79</v>
      </c>
      <c r="R1053" s="7">
        <f>J1058*6%</f>
        <v>0</v>
      </c>
      <c r="S1053" s="7">
        <f>IF(R1053&gt;186,186,R1053)</f>
        <v>0</v>
      </c>
      <c r="T1053" s="7">
        <f>IF(I60=3,S1053,0)</f>
        <v>0</v>
      </c>
    </row>
    <row r="1054" spans="1:20" hidden="1">
      <c r="A1054" s="36">
        <f t="shared" ref="A1054:A1061" si="15">E1053</f>
        <v>12500</v>
      </c>
      <c r="B1054" s="36"/>
      <c r="C1054" s="36"/>
      <c r="D1054" s="36"/>
      <c r="E1054" s="36">
        <v>25000</v>
      </c>
      <c r="F1054" s="36">
        <f>IF(AND(F1050&gt;A1054, F1050&lt;=E1054),F1050,0)</f>
        <v>0</v>
      </c>
      <c r="G1054" s="36">
        <f>(12500/100*3)+(4/100)*(-A1054+F1054)</f>
        <v>-125</v>
      </c>
      <c r="H1054" s="36">
        <f>(12500/100*1)+(2/100)*(-A1054+F1054)</f>
        <v>-125</v>
      </c>
      <c r="I1054" s="36"/>
      <c r="J1054" s="39">
        <f>IF(AND(E16="andere",F60="oom-tante/neef-nicht"),I1072,0)</f>
        <v>0</v>
      </c>
      <c r="K1054" s="36"/>
      <c r="N1054" s="7">
        <f>IF(I60=4,J1058*16%,0)</f>
        <v>0</v>
      </c>
      <c r="O1054" s="7">
        <f>IF(N1054&gt;496,496,N1054)</f>
        <v>0</v>
      </c>
      <c r="Q1054" s="7" t="s">
        <v>80</v>
      </c>
      <c r="R1054" s="7">
        <f>J1058*8%</f>
        <v>0</v>
      </c>
      <c r="S1054" s="7">
        <f>IF(R1054&gt;248,248,R1054)</f>
        <v>0</v>
      </c>
      <c r="T1054" s="7">
        <f>IF(I60=4,S1054,0)</f>
        <v>0</v>
      </c>
    </row>
    <row r="1055" spans="1:20" hidden="1">
      <c r="A1055" s="36">
        <f t="shared" si="15"/>
        <v>25000</v>
      </c>
      <c r="B1055" s="36"/>
      <c r="C1055" s="36"/>
      <c r="D1055" s="36"/>
      <c r="E1055" s="36">
        <v>50000</v>
      </c>
      <c r="F1055" s="36">
        <f>IF(AND(F1050&gt;A1055, F1050&lt;=E1055),F1050,0)</f>
        <v>0</v>
      </c>
      <c r="G1055" s="36">
        <f>(12500/100*3)+(12500/100*4)+((5/100)*(-A1055+F1055))</f>
        <v>-375</v>
      </c>
      <c r="H1055" s="36">
        <f>(12500/100*1)+(12500/100*2)+((3/100)*(-A1055+F1055))</f>
        <v>-375</v>
      </c>
      <c r="I1055" s="36"/>
      <c r="J1055" s="39">
        <f>IF(AND(E16="bouwgrond",F60="vreemden"),L1072,0)</f>
        <v>0</v>
      </c>
      <c r="K1055" s="36"/>
      <c r="L1055" s="36"/>
      <c r="N1055" s="7">
        <f>IF(I60=5,J1058*20%,0)</f>
        <v>0</v>
      </c>
      <c r="O1055" s="7">
        <f>IF(N1055&gt;620,620,N1055)</f>
        <v>0</v>
      </c>
      <c r="R1055" s="7">
        <f>J1058*10%</f>
        <v>0</v>
      </c>
      <c r="S1055" s="7">
        <f>IF(R1055&gt;310,310,R1055)</f>
        <v>0</v>
      </c>
      <c r="T1055" s="7">
        <f>IF(I60=5,S1055,0)</f>
        <v>0</v>
      </c>
    </row>
    <row r="1056" spans="1:20" hidden="1">
      <c r="A1056" s="36">
        <f t="shared" si="15"/>
        <v>50000</v>
      </c>
      <c r="B1056" s="36"/>
      <c r="C1056" s="36"/>
      <c r="D1056" s="36"/>
      <c r="E1056" s="36">
        <v>100000</v>
      </c>
      <c r="F1056" s="36">
        <f>IF(AND(F1050&gt;A1056, F1050&lt;=E1056),F1050,0)</f>
        <v>0</v>
      </c>
      <c r="G1056" s="36">
        <f>(12500/100*3)+(12500/100*4)+(25000/100*5)+((7/100)*(-A1056+F1056))</f>
        <v>-1375.0000000000005</v>
      </c>
      <c r="H1056" s="36">
        <f>(12500/100*1)+(12500/100*2)+(25000/100*3)+((5/100)*(-A1056+F1056))</f>
        <v>-1375</v>
      </c>
      <c r="I1056" s="36"/>
      <c r="J1056" s="39">
        <f>IF(AND(E16="andere",F60="vreemden"),K1072,0)</f>
        <v>0</v>
      </c>
      <c r="K1056" s="36"/>
      <c r="L1056" s="36"/>
      <c r="N1056" s="7">
        <f>IF(I60=6,J1058*24%,0)</f>
        <v>0</v>
      </c>
      <c r="O1056" s="7">
        <f>IF(N1056&gt;744,744,N1056)</f>
        <v>0</v>
      </c>
      <c r="R1056" s="7">
        <f>J1058*12%</f>
        <v>0</v>
      </c>
      <c r="S1056" s="7">
        <f>IF(R1056&gt;372,372,R1056)</f>
        <v>0</v>
      </c>
      <c r="T1056" s="7">
        <f>IF(I60=6,S1056,0)</f>
        <v>0</v>
      </c>
    </row>
    <row r="1057" spans="1:20" hidden="1">
      <c r="A1057" s="36">
        <f t="shared" si="15"/>
        <v>100000</v>
      </c>
      <c r="B1057" s="36"/>
      <c r="C1057" s="36"/>
      <c r="D1057" s="36"/>
      <c r="E1057" s="36">
        <v>150000</v>
      </c>
      <c r="F1057" s="36">
        <f>IF(AND(F1050&gt;A1057, F1050&lt;=E1057),F1050,0)</f>
        <v>0</v>
      </c>
      <c r="G1057" s="36">
        <f>(12500/100*3)+(12500/100*4)+(25000/100*5)+(50000/100*7)+((10/100)*(-A1057+F1057))</f>
        <v>-4375</v>
      </c>
      <c r="H1057" s="36">
        <f>(12500/100*1)+(12500/100*2)+(25000/100*3)+(50000/100*5)+((8/100)*(-A1057+F1057))</f>
        <v>-4375</v>
      </c>
      <c r="I1057" s="36"/>
      <c r="J1057" s="36"/>
      <c r="K1057" s="36"/>
      <c r="L1057" s="36"/>
      <c r="N1057" s="7">
        <f>IF(I60=7,J1058*28%,0)</f>
        <v>0</v>
      </c>
      <c r="O1057" s="7">
        <f>IF(N1057&gt;868,868,N1057)</f>
        <v>0</v>
      </c>
      <c r="R1057" s="7">
        <f>J1058*14%</f>
        <v>0</v>
      </c>
      <c r="S1057" s="7">
        <f>IF(R1057&gt;434,434,R1057)</f>
        <v>0</v>
      </c>
      <c r="T1057" s="7">
        <f>IF(I60=7,S1057,0)</f>
        <v>0</v>
      </c>
    </row>
    <row r="1058" spans="1:20" hidden="1">
      <c r="A1058" s="36">
        <f t="shared" si="15"/>
        <v>150000</v>
      </c>
      <c r="B1058" s="36"/>
      <c r="C1058" s="36"/>
      <c r="D1058" s="36"/>
      <c r="E1058" s="36">
        <v>200000</v>
      </c>
      <c r="F1058" s="36">
        <f>IF(AND(F1050&gt;A1058, F1050&lt;=E1058),F1050,0)</f>
        <v>0</v>
      </c>
      <c r="G1058" s="36">
        <f>(12500/100*3)+(12500/100*4)+(25000/100*5)+(50000/100*7)+(50000/100*10)+((14/100)*(-A1058+F1058))</f>
        <v>-10375.000000000004</v>
      </c>
      <c r="H1058" s="36">
        <f>(12500/100*1)+(12500/100*2)+(25000/100*3)+(50000/100*5)+(50000/100*8)+((14/100)*(-A1058+F1058))</f>
        <v>-13375.000000000004</v>
      </c>
      <c r="I1058" s="36"/>
      <c r="J1058" s="36">
        <f>SUM(J1047:J1056)</f>
        <v>0</v>
      </c>
      <c r="K1058" s="36"/>
      <c r="L1058" s="36"/>
      <c r="N1058" s="7">
        <f>IF(I60=8,J1058*32%,0)</f>
        <v>0</v>
      </c>
      <c r="O1058" s="7">
        <f>IF(N1058&gt;992,992,N1058)</f>
        <v>0</v>
      </c>
      <c r="R1058" s="7">
        <f>J1058*16%</f>
        <v>0</v>
      </c>
      <c r="S1058" s="7">
        <f>IF(R1058&gt;496,496,R1058)</f>
        <v>0</v>
      </c>
      <c r="T1058" s="7">
        <f>IF(I60=8,S1058,0)</f>
        <v>0</v>
      </c>
    </row>
    <row r="1059" spans="1:20" hidden="1">
      <c r="A1059" s="36">
        <f t="shared" si="15"/>
        <v>200000</v>
      </c>
      <c r="B1059" s="36"/>
      <c r="C1059" s="36"/>
      <c r="D1059" s="36"/>
      <c r="E1059" s="36">
        <v>250000</v>
      </c>
      <c r="F1059" s="36">
        <f>IF(AND(F1050&gt;A1059, F1050&lt;=E1059),F1050,0)</f>
        <v>0</v>
      </c>
      <c r="G1059" s="36">
        <f>(12500/100*3)+(12500/100*4)+(25000/100*5)+(50000/100*7)+(50000/100*10)+(50000/100*14)+((18/100)*(-A1059+F1059))</f>
        <v>-18375</v>
      </c>
      <c r="H1059" s="36">
        <f>(12500/100*1)+(12500/100*2)+(25000/100*3)+(50000/100*5)+(50000/100*8)+(50000/100*14)+((18/100)*(-A1059+F1059))</f>
        <v>-21375</v>
      </c>
      <c r="I1059" s="36"/>
      <c r="J1059" s="36"/>
      <c r="K1059" s="36"/>
      <c r="L1059" s="36"/>
      <c r="N1059" s="7">
        <f>IF(I60=9,J1058*36%,0)</f>
        <v>0</v>
      </c>
      <c r="O1059" s="7">
        <f>IF(N1059&gt;1116,1116,N1059)</f>
        <v>0</v>
      </c>
      <c r="R1059" s="7">
        <f>J1058*18%</f>
        <v>0</v>
      </c>
      <c r="S1059" s="7">
        <f>IF(R1059&gt;558,558,R1059)</f>
        <v>0</v>
      </c>
      <c r="T1059" s="7">
        <f>IF(I60=9,S1059,0)</f>
        <v>0</v>
      </c>
    </row>
    <row r="1060" spans="1:20" hidden="1">
      <c r="A1060" s="36">
        <f t="shared" si="15"/>
        <v>250000</v>
      </c>
      <c r="B1060" s="36"/>
      <c r="C1060" s="36"/>
      <c r="D1060" s="36"/>
      <c r="E1060" s="36">
        <v>500000</v>
      </c>
      <c r="F1060" s="36">
        <f>IF(AND(F1050&gt;A1060, F1050&lt;=E1060),F1050,0)</f>
        <v>0</v>
      </c>
      <c r="G1060" s="36">
        <f>(12500/100*3)+(12500/100*4)+(25000/100*5)+(50000/100*7)+(50000/100*10)+(50000/100*14)+(50000/100*18)+((24/100)*(-A1060+F1060))</f>
        <v>-33375</v>
      </c>
      <c r="H1060" s="36">
        <f>(12500/100*1)+(12500/100*2)+(25000/100*3)+(50000/100*5)+(50000/100*8)+(50000/100*14)+(50000/100*18)+((24/100)*(-A1060+F1060))</f>
        <v>-36375</v>
      </c>
      <c r="I1060" s="36"/>
      <c r="J1060" s="36"/>
      <c r="K1060" s="36"/>
      <c r="L1060" s="36"/>
      <c r="N1060" s="7">
        <f>IF(I60=10,J1058*40%,0)</f>
        <v>0</v>
      </c>
      <c r="O1060" s="7">
        <f>IF(N1060&gt;1240,1240,N1060)</f>
        <v>0</v>
      </c>
      <c r="R1060" s="7">
        <f>J1058*20%</f>
        <v>0</v>
      </c>
      <c r="S1060" s="7">
        <f>IF(R1060&gt;620,620,R1060)</f>
        <v>0</v>
      </c>
      <c r="T1060" s="7">
        <f>IF(I60=10,S1060,0)</f>
        <v>0</v>
      </c>
    </row>
    <row r="1061" spans="1:20" hidden="1">
      <c r="A1061" s="36">
        <f t="shared" si="15"/>
        <v>500000</v>
      </c>
      <c r="B1061" s="36"/>
      <c r="C1061" s="36"/>
      <c r="D1061" s="36"/>
      <c r="E1061" s="36">
        <v>999999999</v>
      </c>
      <c r="F1061" s="36">
        <f>IF(AND(F1050&gt;A1061, F1050&lt;=E1061),F1050,0)</f>
        <v>0</v>
      </c>
      <c r="G1061" s="36">
        <f>(12500/100*3)+(12500/100*4)+(25000/100*5)+(50000/100*7)+(50000/100*10)+(50000/100*14)+(50000/100*18)+(250000/100*24)+((30/100)*(-A1061+F1061))</f>
        <v>-63375</v>
      </c>
      <c r="H1061" s="36">
        <f>(12500/100*1)+(12500/100*2)+(25000/100*3)+(50000/100*5)+(50000/100*8)+(50000/100*14)+(50000/100*18)+(250000/100*24)+((30/100)*(-A1061+F1061))</f>
        <v>-66375</v>
      </c>
      <c r="I1061" s="36"/>
      <c r="J1061" s="36"/>
      <c r="K1061" s="36"/>
      <c r="L1061" s="36"/>
    </row>
    <row r="1062" spans="1:20" hidden="1">
      <c r="A1062" s="42" t="s">
        <v>14</v>
      </c>
      <c r="B1062" s="42"/>
      <c r="C1062" s="42"/>
      <c r="D1062" s="42"/>
      <c r="E1062" s="36"/>
      <c r="F1062" s="36"/>
      <c r="G1062" s="36">
        <f>VLOOKUP(F1050,F1053:G1061,2,FALSE)</f>
        <v>0</v>
      </c>
      <c r="H1062" s="36">
        <f>VLOOKUP(F1050,F1053:H1061,3,FALSE)</f>
        <v>0</v>
      </c>
      <c r="I1062" s="36"/>
      <c r="J1062" s="36"/>
      <c r="K1062" s="36"/>
      <c r="L1062" s="43"/>
      <c r="O1062" s="7">
        <f>SUM(O1053:O1061)</f>
        <v>0</v>
      </c>
      <c r="T1062" s="7">
        <f>SUM(T1053:T1061)</f>
        <v>0</v>
      </c>
    </row>
    <row r="1063" spans="1:20" hidden="1">
      <c r="A1063" s="36"/>
      <c r="B1063" s="36"/>
      <c r="C1063" s="36"/>
      <c r="D1063" s="36"/>
      <c r="E1063" s="36"/>
      <c r="F1063" s="36"/>
      <c r="G1063" s="36"/>
      <c r="H1063" s="36"/>
      <c r="I1063" s="36"/>
      <c r="J1063" s="36"/>
      <c r="K1063" s="36"/>
      <c r="L1063" s="43"/>
      <c r="O1063" s="29"/>
    </row>
    <row r="1064" spans="1:20" hidden="1">
      <c r="A1064" s="36"/>
      <c r="B1064" s="36"/>
      <c r="C1064" s="36"/>
      <c r="D1064" s="36"/>
      <c r="E1064" s="36"/>
      <c r="F1064" s="36"/>
      <c r="G1064" s="36"/>
      <c r="H1064" s="36"/>
      <c r="I1064" s="36"/>
      <c r="J1064" s="36"/>
      <c r="K1064" s="36"/>
      <c r="L1064" s="43"/>
      <c r="O1064" s="29"/>
    </row>
    <row r="1065" spans="1:20" hidden="1">
      <c r="A1065" s="37" t="s">
        <v>15</v>
      </c>
      <c r="B1065" s="37"/>
      <c r="C1065" s="37"/>
      <c r="D1065" s="37"/>
      <c r="E1065" s="36"/>
      <c r="F1065" s="36"/>
      <c r="G1065" s="38" t="s">
        <v>16</v>
      </c>
      <c r="H1065" s="38" t="s">
        <v>17</v>
      </c>
      <c r="I1065" s="35" t="s">
        <v>18</v>
      </c>
      <c r="J1065" s="35" t="s">
        <v>19</v>
      </c>
      <c r="K1065" s="35" t="s">
        <v>20</v>
      </c>
      <c r="L1065" s="35" t="s">
        <v>21</v>
      </c>
      <c r="O1065" s="29"/>
    </row>
    <row r="1066" spans="1:20" hidden="1">
      <c r="A1066" s="36">
        <v>0</v>
      </c>
      <c r="B1066" s="36"/>
      <c r="C1066" s="36"/>
      <c r="D1066" s="36"/>
      <c r="E1066" s="36">
        <v>12500</v>
      </c>
      <c r="F1066" s="36">
        <f>IF(AND(F1050&gt;A1066, F1050&lt;=E1066),F1050,0)</f>
        <v>0</v>
      </c>
      <c r="G1066" s="36">
        <f>0+(20/100)*(-A1066+F1066)</f>
        <v>0</v>
      </c>
      <c r="H1066" s="36">
        <f>0+(10/100)*(-A1066+F1066)</f>
        <v>0</v>
      </c>
      <c r="I1066" s="36">
        <f>0+(25/100)*(-A1066+F1066)</f>
        <v>0</v>
      </c>
      <c r="J1066" s="36">
        <f>0+(10/100)*(-A1066+F1066)</f>
        <v>0</v>
      </c>
      <c r="K1066" s="36">
        <f>0+(30/100)*(-A1066+F1066)</f>
        <v>0</v>
      </c>
      <c r="L1066" s="36">
        <f>0+(10/100)*(-A1066+F1066)</f>
        <v>0</v>
      </c>
      <c r="M1066" s="7" t="s">
        <v>81</v>
      </c>
      <c r="N1066" s="16">
        <f>J1058-O1062</f>
        <v>0</v>
      </c>
      <c r="O1066" s="29"/>
      <c r="P1066" s="7" t="s">
        <v>82</v>
      </c>
      <c r="Q1066" s="44">
        <f>J1058-T1062</f>
        <v>0</v>
      </c>
    </row>
    <row r="1067" spans="1:20" hidden="1">
      <c r="A1067" s="36">
        <f>E1066</f>
        <v>12500</v>
      </c>
      <c r="B1067" s="36"/>
      <c r="C1067" s="36"/>
      <c r="D1067" s="36"/>
      <c r="E1067" s="36">
        <v>25000</v>
      </c>
      <c r="F1067" s="36">
        <f>IF(AND(F1050&gt;A1067, F1050&lt;=E1067),F1050,0)</f>
        <v>0</v>
      </c>
      <c r="G1067" s="36">
        <f>(12500/100*20)+((25/100)*(-A1067+F1067))</f>
        <v>-625</v>
      </c>
      <c r="H1067" s="36">
        <f>(12500/100*10)+((10/100)*(-A1067+F1067))</f>
        <v>0</v>
      </c>
      <c r="I1067" s="36">
        <f>(12500/100*25)+((30/100)*(-A1067+F1067))</f>
        <v>-625</v>
      </c>
      <c r="J1067" s="36">
        <f>(12500/100*10)+((10/100)*(-A1067+F1067))</f>
        <v>0</v>
      </c>
      <c r="K1067" s="36">
        <f>(12500/100*30)+((35/100)*(-A1067+F1067))</f>
        <v>-625</v>
      </c>
      <c r="L1067" s="36">
        <f>(12500/100*10)+((10/100)*(-A1067+F1067))</f>
        <v>0</v>
      </c>
    </row>
    <row r="1068" spans="1:20" hidden="1">
      <c r="A1068" s="36">
        <f>E1067</f>
        <v>25000</v>
      </c>
      <c r="B1068" s="36"/>
      <c r="C1068" s="36"/>
      <c r="D1068" s="36"/>
      <c r="E1068" s="36">
        <v>75000</v>
      </c>
      <c r="F1068" s="36">
        <f>IF(AND(F1050&gt;A1068, F1050&lt;=E1068),F1050,0)</f>
        <v>0</v>
      </c>
      <c r="G1068" s="36">
        <f>(12500/100*20)+(12500/100*25)+((35/100)*(-A1068+F1068))</f>
        <v>-3125</v>
      </c>
      <c r="H1068" s="36">
        <f>(12500/100*10)+(12500/100*10)+((10/100)*(-A1068+F1068))</f>
        <v>0</v>
      </c>
      <c r="I1068" s="36">
        <f>(12500/100*25)+(12500/100*30)+((40/100)*(-A1068+F1068))</f>
        <v>-3125</v>
      </c>
      <c r="J1068" s="36">
        <f>(12500/100*10)+(12500/100*10)+((10/100)*(-A1068+F1068))</f>
        <v>0</v>
      </c>
      <c r="K1068" s="36">
        <f>(12500/100*30)+(12500/100*35)+((50/100)*(-A1068+F1068))</f>
        <v>-4375</v>
      </c>
      <c r="L1068" s="36">
        <f>(12500/100*10)+(12500/100*10)+((10/100)*(-A1068+F1068))</f>
        <v>0</v>
      </c>
      <c r="O1068" s="7">
        <f>(IF(F60="echtgeno(o)t(e)",N1066,Q1066))</f>
        <v>0</v>
      </c>
    </row>
    <row r="1069" spans="1:20" hidden="1">
      <c r="A1069" s="36">
        <f>E1068</f>
        <v>75000</v>
      </c>
      <c r="B1069" s="36"/>
      <c r="C1069" s="36"/>
      <c r="D1069" s="36"/>
      <c r="E1069" s="36">
        <v>150000</v>
      </c>
      <c r="F1069" s="36">
        <f>IF(AND(F1050&gt;A1069, F1050&lt;=E1069),F1050,0)</f>
        <v>0</v>
      </c>
      <c r="G1069" s="36">
        <f>(12500/100*20)+(12500/100*25)+(50000/100*35)+((50/100)*(-A1069+F1069))</f>
        <v>-14375</v>
      </c>
      <c r="H1069" s="36">
        <f>(12500/100*10)+(12500/100*10)+(50000/100*10)+((10/100)*(-A1069+F1069))</f>
        <v>0</v>
      </c>
      <c r="I1069" s="36">
        <f>(12500/100*25)+(12500/100*30)+(50000/100*40)+((55/100)*(-A1069+F1069))</f>
        <v>-14375</v>
      </c>
      <c r="J1069" s="36">
        <f>(12500/100*10)+(12500/100*10)+(50000/100*10)+((10/100)*(-A1069+F1069))</f>
        <v>0</v>
      </c>
      <c r="K1069" s="36">
        <f>(12500/100*30)+(12500/100*35)+(50000/100*50)+((65/100)*(-A1069+F1069))</f>
        <v>-15625</v>
      </c>
      <c r="L1069" s="36">
        <f>(12500/100*10)+(12500/100*10)+(50000/100*10)+((10/100)*(-A1069+F1069))</f>
        <v>0</v>
      </c>
    </row>
    <row r="1070" spans="1:20" hidden="1">
      <c r="A1070" s="36">
        <v>150000</v>
      </c>
      <c r="B1070" s="36"/>
      <c r="C1070" s="36"/>
      <c r="D1070" s="36"/>
      <c r="E1070" s="36">
        <v>175000</v>
      </c>
      <c r="F1070" s="36">
        <f>IF(AND(F1050&gt;A1070, F1050&lt;=E1070),F1050,0)</f>
        <v>0</v>
      </c>
      <c r="G1070" s="36">
        <f>(12500/100*20)+(12500/100*25)+(50000/100*35)+(75000/100*50)+((50/100)*(-A1070+F1070))</f>
        <v>-14375</v>
      </c>
      <c r="H1070" s="36">
        <f>(12500/100*10)+(12500/100*10)+(50000/100*10)+(75000/100*10)+((50/100)*(-A1070+F1070))</f>
        <v>-60000</v>
      </c>
      <c r="I1070" s="36">
        <f>(12500/100*25)+(12500/100*30)+(50000/100*40)+(75000/100*55)+((55/100)*(-A1070+F1070))</f>
        <v>-14375</v>
      </c>
      <c r="J1070" s="36">
        <f>(12500/100*10)+(12500/100*10)+(50000/100*10)+(75000/100*10)+((55/100)*(-A1070+F1070))</f>
        <v>-67500</v>
      </c>
      <c r="K1070" s="36">
        <f>(12500/100*30)+(12500/100*35)+(50000/100*50)+(75000/100*65)+((65/100)*(-A1070+F1070))</f>
        <v>-15625</v>
      </c>
      <c r="L1070" s="36">
        <f>(12500/100*10)+(12500/100*10)+(50000/100*10)+(75000/100*10)+((65/100)*(-A1070+F1070))</f>
        <v>-82500</v>
      </c>
    </row>
    <row r="1071" spans="1:20" hidden="1">
      <c r="A1071" s="36">
        <v>175000</v>
      </c>
      <c r="B1071" s="36"/>
      <c r="C1071" s="36"/>
      <c r="D1071" s="36"/>
      <c r="E1071" s="36">
        <v>999999999</v>
      </c>
      <c r="F1071" s="36">
        <f>IF(AND(F1050&gt;A1071, F1050&lt;=E1071),F1050,0)</f>
        <v>0</v>
      </c>
      <c r="G1071" s="36">
        <f>(12500/100*20)+(12500/100*25)+(50000/100*35)+(75000/100*50)+(25000/100*50)+((65/100)*(-A1071+F1071))</f>
        <v>-40625</v>
      </c>
      <c r="H1071" s="36">
        <f>(12500/100*10)+(12500/100*10)+(50000/100*10)+(75000/100*10)+(25000/100*50)+((65/100)*(-A1071+F1071))</f>
        <v>-86250</v>
      </c>
      <c r="I1071" s="36">
        <f>(12500/100*25)+(12500/100*30)+(50000/100*40)+(75000/100*55)+(25000/100*55)+((70/100)*(-A1071+F1071))</f>
        <v>-40624.999999999985</v>
      </c>
      <c r="J1071" s="36">
        <f>(12500/100*10)+(12500/100*10)+(50000/100*10)+(75000/100*10)+(25000/100*55)+((70/100)*(-A1071+F1071))</f>
        <v>-93749.999999999985</v>
      </c>
      <c r="K1071" s="36">
        <f>(12500/100*30)+(12500/100*35)+(50000/100*50)+(75000/100*65)+(25000/100*65)+((80/100)*(-A1071+F1071))</f>
        <v>-41875</v>
      </c>
      <c r="L1071" s="36">
        <f>(12500/100*10)+(12500/100*10)+(50000/100*10)+(75000/100*10)+(25000/100*65)+((80/100)*(-A1071+F1071))</f>
        <v>-108750</v>
      </c>
    </row>
    <row r="1072" spans="1:20" hidden="1">
      <c r="A1072" s="42" t="s">
        <v>14</v>
      </c>
      <c r="B1072" s="42"/>
      <c r="C1072" s="42"/>
      <c r="D1072" s="42"/>
      <c r="E1072" s="36"/>
      <c r="F1072" s="36"/>
      <c r="G1072" s="36">
        <f>VLOOKUP(F1050,F1066:G1071,2,FALSE)</f>
        <v>0</v>
      </c>
      <c r="H1072" s="36">
        <f>VLOOKUP(F1050,F1066:H1071,3,FALSE)</f>
        <v>0</v>
      </c>
      <c r="I1072" s="36">
        <f>VLOOKUP(F1050,F1066:I1071,4,FALSE)</f>
        <v>0</v>
      </c>
      <c r="J1072" s="36">
        <f>VLOOKUP(F1050,F1066:J1071,5,FALSE)</f>
        <v>0</v>
      </c>
      <c r="K1072" s="36">
        <f>VLOOKUP(F1050,F1066:K1071,6,FALSE)</f>
        <v>0</v>
      </c>
      <c r="L1072" s="36">
        <f>VLOOKUP(F1050,F1066:L1071,7,FALSE)</f>
        <v>0</v>
      </c>
    </row>
    <row r="1073" hidden="1"/>
    <row r="1074" hidden="1"/>
    <row r="1075" hidden="1"/>
    <row r="1076" hidden="1"/>
    <row r="1077" hidden="1"/>
    <row r="1078" hidden="1"/>
    <row r="1079" hidden="1"/>
    <row r="1080" hidden="1"/>
    <row r="1081" hidden="1"/>
    <row r="1082" hidden="1"/>
    <row r="1083" hidden="1"/>
    <row r="1084" hidden="1"/>
    <row r="1085" hidden="1"/>
    <row r="1086" hidden="1"/>
    <row r="1087" hidden="1"/>
    <row r="1088" hidden="1"/>
    <row r="1089" hidden="1"/>
    <row r="1090" hidden="1"/>
    <row r="1091" hidden="1"/>
    <row r="1092" hidden="1"/>
    <row r="1093" hidden="1"/>
    <row r="1094" hidden="1"/>
    <row r="1095" hidden="1"/>
    <row r="1096" hidden="1"/>
    <row r="1097" hidden="1"/>
    <row r="1098" hidden="1"/>
    <row r="1099" hidden="1"/>
    <row r="1100" hidden="1"/>
    <row r="1101" hidden="1"/>
    <row r="1102" hidden="1"/>
    <row r="1103" hidden="1"/>
    <row r="1104" hidden="1"/>
    <row r="1105" hidden="1"/>
    <row r="1106" hidden="1"/>
    <row r="1107" hidden="1"/>
    <row r="1108" hidden="1"/>
    <row r="1109" hidden="1"/>
    <row r="1110" hidden="1"/>
    <row r="1111" hidden="1"/>
    <row r="1112" hidden="1"/>
    <row r="1113" hidden="1"/>
    <row r="1114" hidden="1"/>
    <row r="1115" hidden="1"/>
    <row r="1116" hidden="1"/>
    <row r="1117" hidden="1"/>
    <row r="1118" hidden="1"/>
    <row r="1119" hidden="1"/>
    <row r="1120" hidden="1"/>
    <row r="1121" hidden="1"/>
    <row r="1122" hidden="1"/>
    <row r="1123" hidden="1"/>
    <row r="1124" hidden="1"/>
    <row r="1125" hidden="1"/>
    <row r="1126" hidden="1"/>
    <row r="1127" hidden="1"/>
    <row r="1128" hidden="1"/>
    <row r="1129" hidden="1"/>
    <row r="1130" hidden="1"/>
    <row r="1131" hidden="1"/>
    <row r="1132" hidden="1"/>
    <row r="1133" hidden="1"/>
    <row r="1134" hidden="1"/>
    <row r="1135" hidden="1"/>
    <row r="1136" hidden="1"/>
    <row r="1137" hidden="1"/>
    <row r="1138" hidden="1"/>
    <row r="1139" hidden="1"/>
    <row r="1140" hidden="1"/>
    <row r="1141" hidden="1"/>
    <row r="1142" hidden="1"/>
    <row r="1143" hidden="1"/>
    <row r="1144" hidden="1"/>
    <row r="1145" hidden="1"/>
    <row r="1146" hidden="1"/>
    <row r="1147" hidden="1"/>
    <row r="1148" hidden="1"/>
    <row r="1149" hidden="1"/>
    <row r="1150" hidden="1"/>
    <row r="1151" hidden="1"/>
    <row r="1152" hidden="1"/>
    <row r="1153" hidden="1"/>
    <row r="1154" hidden="1"/>
    <row r="1155" hidden="1"/>
    <row r="1156" hidden="1"/>
    <row r="1157" hidden="1"/>
    <row r="1158" hidden="1"/>
    <row r="1159" hidden="1"/>
    <row r="1160" hidden="1"/>
    <row r="1161" hidden="1"/>
    <row r="1162" hidden="1"/>
    <row r="1163" hidden="1"/>
    <row r="1164" hidden="1"/>
    <row r="1165" hidden="1"/>
    <row r="1166" hidden="1"/>
    <row r="1167" hidden="1"/>
    <row r="1168" hidden="1"/>
    <row r="1169" hidden="1"/>
    <row r="1170" hidden="1"/>
    <row r="1171" hidden="1"/>
    <row r="1172" hidden="1"/>
    <row r="1173" hidden="1"/>
    <row r="1174" hidden="1"/>
    <row r="1175" hidden="1"/>
    <row r="1176" hidden="1"/>
    <row r="1177" hidden="1"/>
    <row r="1178" hidden="1"/>
    <row r="1179" hidden="1"/>
    <row r="1180" hidden="1"/>
    <row r="1181" hidden="1"/>
    <row r="1182" hidden="1"/>
    <row r="1183" hidden="1"/>
    <row r="1184" hidden="1"/>
    <row r="1185" hidden="1"/>
    <row r="1186" hidden="1"/>
    <row r="1187" hidden="1"/>
    <row r="1188" hidden="1"/>
    <row r="1189" hidden="1"/>
    <row r="1190" hidden="1"/>
    <row r="1191" hidden="1"/>
    <row r="1192" hidden="1"/>
    <row r="1193" hidden="1"/>
    <row r="1194" hidden="1"/>
    <row r="1195" hidden="1"/>
    <row r="1196" hidden="1"/>
    <row r="1197" hidden="1"/>
    <row r="1198" hidden="1"/>
    <row r="1199" hidden="1"/>
    <row r="1200" hidden="1"/>
    <row r="1201" hidden="1"/>
    <row r="1202" hidden="1"/>
    <row r="1203" hidden="1"/>
    <row r="1204" hidden="1"/>
    <row r="1205" hidden="1"/>
    <row r="1206" hidden="1"/>
    <row r="1207" hidden="1"/>
    <row r="1208" hidden="1"/>
    <row r="1209" hidden="1"/>
    <row r="1210" hidden="1"/>
    <row r="1211" hidden="1"/>
    <row r="1212" hidden="1"/>
    <row r="1213" hidden="1"/>
    <row r="1214" hidden="1"/>
    <row r="1215" hidden="1"/>
    <row r="1216" hidden="1"/>
    <row r="1217" hidden="1"/>
    <row r="1218" hidden="1"/>
    <row r="1219" hidden="1"/>
    <row r="1220" hidden="1"/>
    <row r="1221" hidden="1"/>
    <row r="1222" hidden="1"/>
    <row r="1223" hidden="1"/>
    <row r="1224" hidden="1"/>
    <row r="1225" hidden="1"/>
    <row r="1226" hidden="1"/>
    <row r="1227" hidden="1"/>
    <row r="1228" hidden="1"/>
    <row r="1229" hidden="1"/>
    <row r="1230" hidden="1"/>
    <row r="1231" hidden="1"/>
    <row r="1232" hidden="1"/>
    <row r="1233" hidden="1"/>
    <row r="1234" hidden="1"/>
    <row r="1235" hidden="1"/>
    <row r="1236" hidden="1"/>
    <row r="1237" hidden="1"/>
    <row r="1238" hidden="1"/>
    <row r="1239" hidden="1"/>
    <row r="1240" hidden="1"/>
    <row r="1241" hidden="1"/>
    <row r="1242" hidden="1"/>
    <row r="1243" hidden="1"/>
    <row r="1244" hidden="1"/>
    <row r="1245" hidden="1"/>
    <row r="1246" hidden="1"/>
    <row r="1247" hidden="1"/>
    <row r="1248" hidden="1"/>
    <row r="1249" hidden="1"/>
    <row r="1250" hidden="1"/>
    <row r="1251" hidden="1"/>
    <row r="1252" hidden="1"/>
    <row r="1253" hidden="1"/>
    <row r="1254" hidden="1"/>
    <row r="1255" hidden="1"/>
    <row r="1256" hidden="1"/>
    <row r="1257" hidden="1"/>
    <row r="1258" hidden="1"/>
    <row r="1259" hidden="1"/>
    <row r="1260" hidden="1"/>
    <row r="1261" hidden="1"/>
    <row r="1262" hidden="1"/>
    <row r="1263" hidden="1"/>
    <row r="1264" hidden="1"/>
    <row r="1265" hidden="1"/>
    <row r="1266" hidden="1"/>
    <row r="1267" hidden="1"/>
    <row r="1268" hidden="1"/>
    <row r="1269" hidden="1"/>
    <row r="1270" hidden="1"/>
    <row r="1271" hidden="1"/>
    <row r="1272" hidden="1"/>
    <row r="1273" hidden="1"/>
    <row r="1274" hidden="1"/>
    <row r="1275" hidden="1"/>
    <row r="1276" hidden="1"/>
    <row r="1277" hidden="1"/>
    <row r="1278" hidden="1"/>
    <row r="1279" hidden="1"/>
    <row r="1280" hidden="1"/>
    <row r="1281" hidden="1"/>
    <row r="1282" hidden="1"/>
    <row r="1283" hidden="1"/>
    <row r="1284" hidden="1"/>
    <row r="1285" hidden="1"/>
    <row r="1286" hidden="1"/>
    <row r="1287" hidden="1"/>
    <row r="1288" hidden="1"/>
    <row r="1289" hidden="1"/>
    <row r="1290" hidden="1"/>
    <row r="1291" hidden="1"/>
    <row r="1292" hidden="1"/>
    <row r="1293" hidden="1"/>
    <row r="1294" hidden="1"/>
    <row r="1295" hidden="1"/>
    <row r="1296" hidden="1"/>
    <row r="1297" hidden="1"/>
    <row r="1298" hidden="1"/>
    <row r="1299" hidden="1"/>
    <row r="1300" hidden="1"/>
    <row r="1301" hidden="1"/>
    <row r="1302" hidden="1"/>
    <row r="1303" hidden="1"/>
    <row r="1304" hidden="1"/>
    <row r="1305" hidden="1"/>
    <row r="1306" hidden="1"/>
    <row r="1307" hidden="1"/>
    <row r="1308" hidden="1"/>
    <row r="1309" hidden="1"/>
    <row r="1310" hidden="1"/>
    <row r="1311" hidden="1"/>
    <row r="1312" hidden="1"/>
    <row r="1313" hidden="1"/>
    <row r="1314" hidden="1"/>
    <row r="1315" hidden="1"/>
    <row r="1316" hidden="1"/>
    <row r="1317" hidden="1"/>
    <row r="1318" hidden="1"/>
    <row r="1319" hidden="1"/>
    <row r="1320" hidden="1"/>
    <row r="1321" hidden="1"/>
    <row r="1322" hidden="1"/>
    <row r="1323" hidden="1"/>
    <row r="1324" hidden="1"/>
    <row r="1325" hidden="1"/>
    <row r="1326" hidden="1"/>
    <row r="1327" hidden="1"/>
    <row r="1328" hidden="1"/>
    <row r="1329" hidden="1"/>
    <row r="1330" hidden="1"/>
    <row r="1331" hidden="1"/>
    <row r="1332" hidden="1"/>
    <row r="1333" hidden="1"/>
    <row r="1334" hidden="1"/>
    <row r="1335" hidden="1"/>
    <row r="1336" hidden="1"/>
    <row r="1337" hidden="1"/>
    <row r="1338" hidden="1"/>
    <row r="1339" hidden="1"/>
    <row r="1340" hidden="1"/>
    <row r="1341" hidden="1"/>
    <row r="1342" hidden="1"/>
    <row r="1343" hidden="1"/>
    <row r="1344" hidden="1"/>
    <row r="1345" hidden="1"/>
    <row r="1346" hidden="1"/>
    <row r="1347" hidden="1"/>
    <row r="1348" hidden="1"/>
    <row r="1349" hidden="1"/>
    <row r="1350" hidden="1"/>
    <row r="1351" hidden="1"/>
    <row r="1352" hidden="1"/>
    <row r="1353" hidden="1"/>
    <row r="1354" hidden="1"/>
    <row r="1355" hidden="1"/>
    <row r="1356" hidden="1"/>
    <row r="1357" hidden="1"/>
    <row r="1358" hidden="1"/>
    <row r="1359" hidden="1"/>
    <row r="1360" hidden="1"/>
    <row r="1361" hidden="1"/>
    <row r="1362" hidden="1"/>
    <row r="1363" hidden="1"/>
    <row r="1364" hidden="1"/>
    <row r="1365" hidden="1"/>
    <row r="1366" hidden="1"/>
    <row r="1367" hidden="1"/>
    <row r="1368" hidden="1"/>
    <row r="1369" hidden="1"/>
    <row r="1370" hidden="1"/>
    <row r="1371" hidden="1"/>
    <row r="1372" hidden="1"/>
    <row r="1373" hidden="1"/>
    <row r="1374" hidden="1"/>
    <row r="1375" hidden="1"/>
    <row r="1376" hidden="1"/>
    <row r="1377" hidden="1"/>
    <row r="1378" hidden="1"/>
    <row r="1379" hidden="1"/>
    <row r="1380" hidden="1"/>
    <row r="1381" hidden="1"/>
    <row r="1382" hidden="1"/>
    <row r="1383" hidden="1"/>
    <row r="1384" hidden="1"/>
    <row r="1385" hidden="1"/>
    <row r="1386" hidden="1"/>
    <row r="1387" hidden="1"/>
    <row r="1388" hidden="1"/>
    <row r="1389" hidden="1"/>
    <row r="1390" hidden="1"/>
    <row r="1391" hidden="1"/>
    <row r="1392" hidden="1"/>
    <row r="1393" hidden="1"/>
    <row r="1394" hidden="1"/>
    <row r="1395" hidden="1"/>
    <row r="1396" hidden="1"/>
    <row r="1397" hidden="1"/>
    <row r="1398" hidden="1"/>
    <row r="1399" hidden="1"/>
    <row r="1400" hidden="1"/>
    <row r="1401" hidden="1"/>
    <row r="1402" hidden="1"/>
    <row r="1403" hidden="1"/>
    <row r="1404" hidden="1"/>
    <row r="1405" hidden="1"/>
    <row r="1406" hidden="1"/>
    <row r="1407" hidden="1"/>
    <row r="1408" hidden="1"/>
    <row r="1409" hidden="1"/>
    <row r="1410" hidden="1"/>
    <row r="1411" hidden="1"/>
    <row r="1412" hidden="1"/>
    <row r="1413" hidden="1"/>
    <row r="1414" hidden="1"/>
    <row r="1415" hidden="1"/>
    <row r="1416" hidden="1"/>
    <row r="1417" hidden="1"/>
    <row r="1418" hidden="1"/>
    <row r="1419" hidden="1"/>
    <row r="1420" hidden="1"/>
    <row r="1421" hidden="1"/>
    <row r="1422" hidden="1"/>
    <row r="1423" hidden="1"/>
    <row r="1424" hidden="1"/>
    <row r="1425" hidden="1"/>
    <row r="1426" hidden="1"/>
    <row r="1427" hidden="1"/>
    <row r="1428" hidden="1"/>
    <row r="1429" hidden="1"/>
    <row r="1430" hidden="1"/>
    <row r="1431" hidden="1"/>
    <row r="1432" hidden="1"/>
    <row r="1433" hidden="1"/>
    <row r="1434" hidden="1"/>
    <row r="1435" hidden="1"/>
    <row r="1436" hidden="1"/>
    <row r="1437" hidden="1"/>
    <row r="1438" hidden="1"/>
    <row r="1439" hidden="1"/>
    <row r="1440" hidden="1"/>
    <row r="1441" hidden="1"/>
    <row r="1442" hidden="1"/>
    <row r="1443" hidden="1"/>
    <row r="1444" hidden="1"/>
    <row r="1445" hidden="1"/>
    <row r="1446" hidden="1"/>
    <row r="1447" hidden="1"/>
    <row r="1448" hidden="1"/>
    <row r="1449" hidden="1"/>
    <row r="1450" hidden="1"/>
    <row r="1451" hidden="1"/>
    <row r="1452" hidden="1"/>
    <row r="1453" hidden="1"/>
    <row r="1454" hidden="1"/>
    <row r="1455" hidden="1"/>
    <row r="1456" hidden="1"/>
    <row r="1457" hidden="1"/>
    <row r="1458" hidden="1"/>
    <row r="1459" hidden="1"/>
    <row r="1460" hidden="1"/>
    <row r="1461" hidden="1"/>
    <row r="1462" hidden="1"/>
    <row r="1463" hidden="1"/>
    <row r="1464" hidden="1"/>
    <row r="1465" hidden="1"/>
    <row r="1466" hidden="1"/>
    <row r="1467" hidden="1"/>
    <row r="1468" hidden="1"/>
    <row r="1469" hidden="1"/>
    <row r="1470" hidden="1"/>
    <row r="1471" hidden="1"/>
    <row r="1472" hidden="1"/>
    <row r="1473" hidden="1"/>
    <row r="1474" hidden="1"/>
    <row r="1475" hidden="1"/>
    <row r="1476" hidden="1"/>
    <row r="1477" hidden="1"/>
    <row r="1478" hidden="1"/>
    <row r="1479" hidden="1"/>
    <row r="1480" hidden="1"/>
    <row r="1481" hidden="1"/>
    <row r="1482" hidden="1"/>
    <row r="1483" hidden="1"/>
    <row r="1484" hidden="1"/>
    <row r="1485" hidden="1"/>
    <row r="1486" hidden="1"/>
    <row r="1487" hidden="1"/>
    <row r="1488" hidden="1"/>
    <row r="1489" hidden="1"/>
    <row r="1490" hidden="1"/>
    <row r="1491" hidden="1"/>
    <row r="1492" hidden="1"/>
    <row r="1493" hidden="1"/>
    <row r="1494" hidden="1"/>
    <row r="1495" hidden="1"/>
    <row r="1496" hidden="1"/>
    <row r="1497" hidden="1"/>
    <row r="1498" hidden="1"/>
    <row r="1499" hidden="1"/>
  </sheetData>
  <sheetProtection algorithmName="SHA-512" hashValue="tZjoVAxd5Vjtvk9kvS/xhEf8y7sXi87/WkH0s3QiM/jJq2lBu2/ftcCuhO7ln0tMStC/PJhYhFSuv1Jrz6m7OA==" saltValue="XzQREXaEIbIX90iWU/643g==" spinCount="100000" sheet="1" objects="1" scenarios="1"/>
  <mergeCells count="13">
    <mergeCell ref="L218:M218"/>
    <mergeCell ref="H230:I230"/>
    <mergeCell ref="J230:K230"/>
    <mergeCell ref="H218:I218"/>
    <mergeCell ref="J218:K218"/>
    <mergeCell ref="AB218:AC218"/>
    <mergeCell ref="N218:O218"/>
    <mergeCell ref="P218:Q218"/>
    <mergeCell ref="R218:S218"/>
    <mergeCell ref="T218:U218"/>
    <mergeCell ref="V218:W218"/>
    <mergeCell ref="X218:Y218"/>
    <mergeCell ref="Z218:AA218"/>
  </mergeCells>
  <phoneticPr fontId="0" type="noConversion"/>
  <dataValidations count="5">
    <dataValidation type="list" allowBlank="1" showInputMessage="1" showErrorMessage="1" sqref="E16">
      <formula1>$L$194:$L$196</formula1>
    </dataValidation>
    <dataValidation type="list" allowBlank="1" showInputMessage="1" showErrorMessage="1" sqref="E17">
      <formula1>$L$203:$L$204</formula1>
    </dataValidation>
    <dataValidation type="list" allowBlank="1" showInputMessage="1" showErrorMessage="1" sqref="E9">
      <formula1>$M$119:$M$120</formula1>
    </dataValidation>
    <dataValidation type="list" allowBlank="1" showInputMessage="1" showErrorMessage="1" sqref="E20 E22 E50 E25 E30 E35 E40 E45 E57 E52 E27 E32 E37 E42 E47 E55 E60 E62">
      <formula1>$M$115:$M$118</formula1>
    </dataValidation>
    <dataValidation type="list" allowBlank="1" showInputMessage="1" showErrorMessage="1" sqref="F20 F25 F30 F35 F40 F45 F50 F55 F60">
      <formula1>$M$106:$M$110</formula1>
    </dataValidation>
  </dataValidations>
  <hyperlinks>
    <hyperlink ref="G95" r:id="rId1"/>
    <hyperlink ref="E90" r:id="rId2"/>
    <hyperlink ref="E91" r:id="rId3"/>
    <hyperlink ref="E92" r:id="rId4"/>
    <hyperlink ref="E93" r:id="rId5"/>
    <hyperlink ref="G89" r:id="rId6"/>
    <hyperlink ref="G90" r:id="rId7"/>
    <hyperlink ref="G91" r:id="rId8"/>
    <hyperlink ref="G92" r:id="rId9"/>
    <hyperlink ref="G93" r:id="rId10"/>
    <hyperlink ref="E89" r:id="rId11"/>
  </hyperlinks>
  <pageMargins left="0.75" right="0.75" top="1" bottom="1" header="0.5" footer="0.5"/>
  <pageSetup paperSize="9" orientation="landscape" horizontalDpi="4294967293" r:id="rId12"/>
  <headerFooter alignWithMargins="0"/>
  <legacyDrawing r:id="rId1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26:AX1073"/>
  <sheetViews>
    <sheetView topLeftCell="I150" workbookViewId="0">
      <selection activeCell="R171" sqref="R171"/>
    </sheetView>
  </sheetViews>
  <sheetFormatPr defaultRowHeight="12.75"/>
  <cols>
    <col min="6" max="6" width="10.140625" bestFit="1" customWidth="1"/>
    <col min="10" max="10" width="13.85546875" bestFit="1" customWidth="1"/>
    <col min="16" max="16" width="12.7109375" customWidth="1"/>
  </cols>
  <sheetData>
    <row r="126" spans="1:50">
      <c r="A126" s="87" t="s">
        <v>118</v>
      </c>
      <c r="B126" s="88"/>
      <c r="C126" s="88"/>
      <c r="D126" s="88"/>
      <c r="E126" s="68"/>
      <c r="F126" s="89"/>
      <c r="G126" s="68"/>
      <c r="H126" s="68"/>
      <c r="I126" s="68"/>
      <c r="J126" s="68"/>
      <c r="K126" s="68"/>
      <c r="L126" s="68"/>
      <c r="M126" s="68"/>
      <c r="N126" s="68"/>
      <c r="O126" s="68"/>
      <c r="P126" s="68"/>
      <c r="Q126" s="68"/>
      <c r="R126" s="68"/>
      <c r="S126" s="68"/>
      <c r="T126" s="68"/>
      <c r="U126" s="68"/>
      <c r="V126" s="68"/>
      <c r="W126" s="68"/>
      <c r="X126" s="68"/>
      <c r="Y126" s="68"/>
      <c r="Z126" s="68"/>
      <c r="AA126" s="68"/>
      <c r="AB126" s="68"/>
      <c r="AC126" s="68"/>
      <c r="AD126" s="68"/>
      <c r="AE126" s="68"/>
      <c r="AF126" s="68"/>
      <c r="AG126" s="68"/>
      <c r="AH126" s="68"/>
      <c r="AI126" s="66"/>
      <c r="AJ126" s="66"/>
      <c r="AK126" s="66"/>
      <c r="AL126" s="66"/>
      <c r="AM126" s="66"/>
      <c r="AN126" s="66"/>
      <c r="AO126" s="66"/>
      <c r="AP126" s="66"/>
      <c r="AQ126" s="66"/>
      <c r="AR126" s="66"/>
      <c r="AS126" s="66"/>
      <c r="AT126" s="66"/>
      <c r="AU126" s="66"/>
      <c r="AV126" s="66"/>
      <c r="AW126" s="66"/>
      <c r="AX126" s="66"/>
    </row>
    <row r="127" spans="1:50">
      <c r="A127" s="90"/>
      <c r="B127" s="90"/>
      <c r="C127" s="90"/>
      <c r="D127" s="90"/>
      <c r="E127" s="66"/>
      <c r="F127" s="91"/>
      <c r="G127" s="66"/>
      <c r="H127" s="66"/>
      <c r="I127" s="66"/>
      <c r="J127" s="66"/>
      <c r="K127" s="66"/>
      <c r="L127" s="66"/>
      <c r="M127" s="66"/>
      <c r="N127" s="66"/>
      <c r="O127" s="66"/>
      <c r="P127" s="66"/>
      <c r="Q127" s="66"/>
      <c r="R127" s="66"/>
      <c r="S127" s="66"/>
      <c r="T127" s="66"/>
      <c r="U127" s="66"/>
      <c r="V127" s="66"/>
      <c r="W127" s="66"/>
      <c r="X127" s="66"/>
      <c r="Y127" s="66"/>
      <c r="Z127" s="66"/>
      <c r="AA127" s="66"/>
      <c r="AB127" s="66"/>
      <c r="AC127" s="66"/>
      <c r="AD127" s="66"/>
      <c r="AE127" s="66"/>
      <c r="AF127" s="66"/>
      <c r="AG127" s="66"/>
      <c r="AH127" s="66"/>
      <c r="AI127" s="66"/>
      <c r="AJ127" s="66"/>
      <c r="AK127" s="66"/>
      <c r="AL127" s="66"/>
      <c r="AM127" s="66"/>
      <c r="AN127" s="66"/>
      <c r="AO127" s="66"/>
      <c r="AP127" s="66"/>
      <c r="AQ127" s="66"/>
      <c r="AR127" s="66"/>
      <c r="AS127" s="66"/>
      <c r="AT127" s="66"/>
      <c r="AU127" s="66"/>
      <c r="AV127" s="66"/>
      <c r="AW127" s="66"/>
      <c r="AX127" s="66"/>
    </row>
    <row r="128" spans="1:50">
      <c r="A128" s="92">
        <f>IF(AND(SCHOV!B21&lt;20,SCHOV!B21&gt;0),SCHOV!E7*18,0)</f>
        <v>0</v>
      </c>
      <c r="B128" s="92"/>
      <c r="C128" s="92"/>
      <c r="D128" s="92"/>
      <c r="E128" s="93">
        <f>IF(AND(SCHOV!B26&lt;20,SCHOV!B26&gt;0),SCHOV!E7*18,0)</f>
        <v>0</v>
      </c>
      <c r="F128" s="94">
        <f>IF(AND(SCHOV!B31&lt;20,SCHOV!B31&gt;0),SCHOV!E7*18,0)</f>
        <v>0</v>
      </c>
      <c r="G128" s="93">
        <f>IF(AND(SCHOV!B36&lt;20,SCHOV!B36&gt;0),SCHOV!E7*18,0)</f>
        <v>0</v>
      </c>
      <c r="H128" s="93">
        <f>IF(AND(SCHOV!B41&lt;20,SCHOV!B41&gt;0),SCHOV!E7*18,0)</f>
        <v>0</v>
      </c>
      <c r="I128" s="93">
        <f>IF(AND(SCHOV!B46&lt;20,SCHOV!B46&gt;0),SCHOV!E7*18,0)</f>
        <v>0</v>
      </c>
      <c r="J128" s="93">
        <f>IF(AND(SCHOV!B51&lt;20,SCHOV!B51&gt;0),SCHOV!E7*18,0)</f>
        <v>0</v>
      </c>
      <c r="K128" s="93">
        <f>IF(AND(SCHOV!B56&lt;20,SCHOV!B56&gt;0),SCHOV!E7*18,0)</f>
        <v>0</v>
      </c>
      <c r="L128" s="93"/>
      <c r="M128" s="93"/>
      <c r="N128" s="93">
        <f>IF(AND(SCHOV!B61&lt;20,SCHOV!B61&gt;0),SCHOV!E7*18,0)</f>
        <v>0</v>
      </c>
      <c r="O128" s="66"/>
      <c r="P128" s="95">
        <f>IF(SCHOV!E7*18&gt;SCHOV!E5*80%,SCHOV!E5*80%,A128)</f>
        <v>0</v>
      </c>
      <c r="Q128" s="96">
        <f>IF(SCHOV!E7*18&gt;SCHOV!E5*80%,SCHOV!E5*80%,E128)</f>
        <v>0</v>
      </c>
      <c r="R128" s="97">
        <f>IF(SCHOV!E7*18&gt;SCHOV!E5*80%,SCHOV!E5*80%,F128)</f>
        <v>0</v>
      </c>
      <c r="S128" s="96">
        <f>IF(SCHOV!E7*18&gt;SCHOV!E5*80%,SCHOV!E5*80%,G128)</f>
        <v>0</v>
      </c>
      <c r="T128" s="96">
        <f>IF(SCHOV!E7*18&gt;SCHOV!E5*80%,SCHOV!E5*80%,H128)</f>
        <v>0</v>
      </c>
      <c r="U128" s="96">
        <f>IF(SCHOV!E7*18&gt;SCHOV!E5*80%,SCHOV!E5*80%,I128)</f>
        <v>0</v>
      </c>
      <c r="V128" s="96">
        <f>IF(SCHOV!E7*18&gt;SCHOV!E5*80%,SCHOV!E5*80%,J128)</f>
        <v>0</v>
      </c>
      <c r="W128" s="96">
        <f>IF(SCHOV!E7*18&gt;SCHOV!E5*80%,SCHOV!E5*80%,K128)</f>
        <v>0</v>
      </c>
      <c r="X128" s="96">
        <f>IF(SCHOV!E7*18&gt;SCHOV!E5*80%,SCHOV!E5*80%,N128)</f>
        <v>0</v>
      </c>
      <c r="Y128" s="96"/>
      <c r="Z128" s="66"/>
      <c r="AA128" s="92">
        <f>IF(AND(SCHOV!B23&lt;20,SCHOV!B23&gt;0),SCHOV!E7*18,0)</f>
        <v>0</v>
      </c>
      <c r="AB128" s="92"/>
      <c r="AC128" s="92"/>
      <c r="AD128" s="92"/>
      <c r="AE128" s="93">
        <f>IF(AND(SCHOV!B28&lt;20,SCHOV!B28&gt;0),SCHOV!E7*18,0)</f>
        <v>0</v>
      </c>
      <c r="AF128" s="94">
        <f>IF(AND(SCHOV!B33&lt;20,SCHOV!B33&gt;0),SCHOV!E7*18,0)</f>
        <v>0</v>
      </c>
      <c r="AG128" s="93">
        <f>IF(AND(SCHOV!B38&lt;20,SCHOV!B38&gt;0),SCHOV!E7*18,0)</f>
        <v>0</v>
      </c>
      <c r="AH128" s="93">
        <f>IF(AND(SCHOV!B43&lt;20,SCHOV!B43&gt;0),SCHOV!E7*18,0)</f>
        <v>0</v>
      </c>
      <c r="AI128" s="93">
        <f>IF(AND(SCHOV!B48&lt;20,SCHOV!B48&gt;0),SCHOV!E7*18,0)</f>
        <v>0</v>
      </c>
      <c r="AJ128" s="93">
        <f>IF(AND(SCHOV!B53&lt;20,SCHOV!B53&gt;0),SCHOV!E7*18,0)</f>
        <v>0</v>
      </c>
      <c r="AK128" s="93">
        <f>IF(AND(SCHOV!B58&lt;20,SCHOV!B58&gt;0),SCHOV!E7*18,0)</f>
        <v>0</v>
      </c>
      <c r="AL128" s="93"/>
      <c r="AM128" s="93"/>
      <c r="AN128" s="93">
        <f>IF(AND(SCHOV!B63&lt;20,SCHOV!B63&gt;0),SCHOV!E7*18,0)</f>
        <v>0</v>
      </c>
      <c r="AO128" s="66"/>
      <c r="AP128" s="95">
        <f>IF(SCHOV!E7*18&gt;SCHOV!E5*80%,SCHOV!E5*80%,AA128)</f>
        <v>0</v>
      </c>
      <c r="AQ128" s="96">
        <f>IF(SCHOV!E7*18&gt;SCHOV!E5*80%,SCHOV!E5*80%,AE128)</f>
        <v>0</v>
      </c>
      <c r="AR128" s="97">
        <f>IF(SCHOV!E7*18&gt;SCHOV!E5*80%,SCHOV!E5*80%,AF128)</f>
        <v>0</v>
      </c>
      <c r="AS128" s="96">
        <f>IF(SCHOV!E7*18&gt;SCHOV!E5*80%,SCHOV!E5*80%,AG128)</f>
        <v>0</v>
      </c>
      <c r="AT128" s="96">
        <f>IF(SCHOV!E7*18&gt;SCHOV!E5*80%,SCHOV!E5*80%,AH128)</f>
        <v>0</v>
      </c>
      <c r="AU128" s="96">
        <f>IF(SCHOV!E7*18&gt;SCHOV!E5*80%,SCHOV!E5*80%,AI128)</f>
        <v>0</v>
      </c>
      <c r="AV128" s="96">
        <f>IF(SCHOV!E7*18&gt;SCHOV!E5*80%,SCHOV!E5*80%,AJ128)</f>
        <v>0</v>
      </c>
      <c r="AW128" s="96">
        <f>IF(SCHOV!E7*18&gt;SCHOV!E5*80%,SCHOV!E5*80%,AK128)</f>
        <v>0</v>
      </c>
      <c r="AX128" s="96">
        <f>IF(SCHOV!E7*18&gt;SCHOV!E5*80%,SCHOV!E5*80%,AN128)</f>
        <v>0</v>
      </c>
    </row>
    <row r="129" spans="1:50">
      <c r="A129" s="92"/>
      <c r="B129" s="92"/>
      <c r="C129" s="92"/>
      <c r="D129" s="92"/>
      <c r="E129" s="93"/>
      <c r="F129" s="94"/>
      <c r="G129" s="93"/>
      <c r="H129" s="93"/>
      <c r="I129" s="93"/>
      <c r="J129" s="93"/>
      <c r="K129" s="93"/>
      <c r="L129" s="93"/>
      <c r="M129" s="93"/>
      <c r="N129" s="93"/>
      <c r="O129" s="66"/>
      <c r="P129" s="95"/>
      <c r="Q129" s="96"/>
      <c r="R129" s="97"/>
      <c r="S129" s="96"/>
      <c r="T129" s="96"/>
      <c r="U129" s="96"/>
      <c r="V129" s="96"/>
      <c r="W129" s="96"/>
      <c r="X129" s="96"/>
      <c r="Y129" s="96"/>
      <c r="Z129" s="66"/>
      <c r="AA129" s="92"/>
      <c r="AB129" s="92"/>
      <c r="AC129" s="92"/>
      <c r="AD129" s="92"/>
      <c r="AE129" s="93"/>
      <c r="AF129" s="94"/>
      <c r="AG129" s="93"/>
      <c r="AH129" s="93"/>
      <c r="AI129" s="93"/>
      <c r="AJ129" s="93"/>
      <c r="AK129" s="93"/>
      <c r="AL129" s="93"/>
      <c r="AM129" s="93"/>
      <c r="AN129" s="93"/>
      <c r="AO129" s="66"/>
      <c r="AP129" s="95"/>
      <c r="AQ129" s="96"/>
      <c r="AR129" s="97"/>
      <c r="AS129" s="96"/>
      <c r="AT129" s="96"/>
      <c r="AU129" s="96"/>
      <c r="AV129" s="96"/>
      <c r="AW129" s="96"/>
      <c r="AX129" s="96"/>
    </row>
    <row r="130" spans="1:50">
      <c r="A130" s="92">
        <f>IF(AND(SCHOV!B21&gt;=20,SCHOV!B21&lt;=29),SCHOV!E7*17,0)</f>
        <v>0</v>
      </c>
      <c r="B130" s="92"/>
      <c r="C130" s="92"/>
      <c r="D130" s="92"/>
      <c r="E130" s="93">
        <f>IF(AND(SCHOV!B26&gt;=20,SCHOV!B26&lt;=29),SCHOV!E7*17,0)</f>
        <v>0</v>
      </c>
      <c r="F130" s="94">
        <f>IF(AND(SCHOV!B31&gt;=20,SCHOV!B31&lt;=29),SCHOV!E7*17,0)</f>
        <v>0</v>
      </c>
      <c r="G130" s="93">
        <f>IF(AND(SCHOV!B36&gt;=20,SCHOV!B36&lt;=29),SCHOV!E7*17,0)</f>
        <v>0</v>
      </c>
      <c r="H130" s="93">
        <f>IF(AND(SCHOV!B41&gt;=20,SCHOV!B41&lt;=29),SCHOV!E7*17,0)</f>
        <v>0</v>
      </c>
      <c r="I130" s="93">
        <f>IF(AND(SCHOV!B46&gt;=20,SCHOV!B46&lt;=29),SCHOV!E7*17,0)</f>
        <v>0</v>
      </c>
      <c r="J130" s="93">
        <f>IF(AND(SCHOV!B51&gt;=20,SCHOV!B51&lt;=29),SCHOV!E7*17,0)</f>
        <v>0</v>
      </c>
      <c r="K130" s="93">
        <f>IF(AND(SCHOV!B56&gt;=20,SCHOV!B56&lt;=29),SCHOV!E7*17,0)</f>
        <v>0</v>
      </c>
      <c r="L130" s="93"/>
      <c r="M130" s="93"/>
      <c r="N130" s="93">
        <f>IF(AND(SCHOV!B61&gt;=20,SCHOV!B61&lt;=29),SCHOV!E7*17,0)</f>
        <v>0</v>
      </c>
      <c r="O130" s="66"/>
      <c r="P130" s="95">
        <f>IF(SCHOV!E7*17&gt;SCHOV!E5*80%,SCHOV!E5*80%,A130)</f>
        <v>0</v>
      </c>
      <c r="Q130" s="96">
        <f>IF(SCHOV!E7*17&gt;SCHOV!E5*80%,SCHOV!E5*80%,E130)</f>
        <v>0</v>
      </c>
      <c r="R130" s="97">
        <f>IF(SCHOV!E7*17&gt;SCHOV!E5*80%,SCHOV!E5*80%,F130)</f>
        <v>0</v>
      </c>
      <c r="S130" s="96">
        <f>IF(SCHOV!E7*17&gt;SCHOV!E5*80%,SCHOV!E5*80%,G130)</f>
        <v>0</v>
      </c>
      <c r="T130" s="96">
        <f>IF(SCHOV!E7*17&gt;SCHOV!E5*80%,SCHOV!E5*80%,H130)</f>
        <v>0</v>
      </c>
      <c r="U130" s="96">
        <f>IF(SCHOV!E7*17&gt;SCHOV!E5*80%,SCHOV!E5*80%,I130)</f>
        <v>0</v>
      </c>
      <c r="V130" s="96">
        <f>IF(SCHOV!E7*17&gt;SCHOV!E5*80%,SCHOV!E5*80%,J130)</f>
        <v>0</v>
      </c>
      <c r="W130" s="96">
        <f>IF(SCHOV!E7*17&gt;SCHOV!E5*80%,SCHOV!E5*80%,K130)</f>
        <v>0</v>
      </c>
      <c r="X130" s="96">
        <f>IF(SCHOV!E7*18&gt;SCHOV!E5*80%,SCHOV!E5*80%,N130)</f>
        <v>0</v>
      </c>
      <c r="Y130" s="96"/>
      <c r="Z130" s="66"/>
      <c r="AA130" s="92">
        <f>IF(AND(SCHOV!B23&gt;=20,SCHOV!B23&lt;=29),SCHOV!E7*17,0)</f>
        <v>0</v>
      </c>
      <c r="AB130" s="92"/>
      <c r="AC130" s="92"/>
      <c r="AD130" s="92"/>
      <c r="AE130" s="93">
        <f>IF(AND(SCHOV!B28&gt;=20,SCHOV!B28&lt;=29),SCHOV!E7*17,0)</f>
        <v>0</v>
      </c>
      <c r="AF130" s="94">
        <f>IF(AND(SCHOV!B33&gt;=20,SCHOV!B33&lt;=29),SCHOV!E7*17,0)</f>
        <v>0</v>
      </c>
      <c r="AG130" s="93">
        <f>IF(AND(SCHOV!B38&gt;=20,SCHOV!B38&lt;=29),SCHOV!E7*17,0)</f>
        <v>0</v>
      </c>
      <c r="AH130" s="93">
        <f>IF(AND(SCHOV!B43&gt;=20,SCHOV!B43&lt;=29),SCHOV!E7*17,0)</f>
        <v>0</v>
      </c>
      <c r="AI130" s="93">
        <f>IF(AND(SCHOV!B48&gt;=20,SCHOV!B48&lt;=29),SCHOV!E7*17,0)</f>
        <v>0</v>
      </c>
      <c r="AJ130" s="93">
        <f>IF(AND(SCHOV!B53&gt;=20,SCHOV!B53&lt;=29),SCHOV!E7*17,0)</f>
        <v>0</v>
      </c>
      <c r="AK130" s="93">
        <f>IF(AND(SCHOV!B58&gt;=20,SCHOV!B58&lt;=29),SCHOV!E7*17,0)</f>
        <v>0</v>
      </c>
      <c r="AL130" s="93"/>
      <c r="AM130" s="93"/>
      <c r="AN130" s="93">
        <f>IF(AND(SCHOV!B63&gt;=20,SCHOV!B63&lt;=29),SCHOV!E7*17,0)</f>
        <v>0</v>
      </c>
      <c r="AO130" s="66"/>
      <c r="AP130" s="95">
        <f>IF(SCHOV!E7*17&gt;SCHOV!E5*80%,SCHOV!E5*80%,AA130)</f>
        <v>0</v>
      </c>
      <c r="AQ130" s="96">
        <f>IF(SCHOV!E7*17&gt;SCHOV!E5*80%,SCHOV!E5*80%,AE130)</f>
        <v>0</v>
      </c>
      <c r="AR130" s="97">
        <f>IF(SCHOV!E7*17&gt;SCHOV!E5*80%,SCHOV!E5*80%,AF130)</f>
        <v>0</v>
      </c>
      <c r="AS130" s="96">
        <f>IF(SCHOV!E7*17&gt;SCHOV!E5*80%,SCHOV!E5*80%,AG130)</f>
        <v>0</v>
      </c>
      <c r="AT130" s="96">
        <f>IF(SCHOV!E7*17&gt;SCHOV!E5*80%,SCHOV!E5*80%,AH130)</f>
        <v>0</v>
      </c>
      <c r="AU130" s="96">
        <f>IF(SCHOV!E7*17&gt;SCHOV!E5*80%,SCHOV!E5*80%,AI130)</f>
        <v>0</v>
      </c>
      <c r="AV130" s="96">
        <f>IF(SCHOV!E7*17&gt;SCHOV!E5*80%,SCHOV!E5*80%,AJ130)</f>
        <v>0</v>
      </c>
      <c r="AW130" s="96">
        <f>IF(SCHOV!E7*17&gt;SCHOV!E5*80%,SCHOV!E5*80%,AK130)</f>
        <v>0</v>
      </c>
      <c r="AX130" s="96">
        <f>IF(SCHOV!E7*18&gt;SCHOV!E5*80%,SCHOV!E5*80%,AN130)</f>
        <v>0</v>
      </c>
    </row>
    <row r="131" spans="1:50">
      <c r="A131" s="92"/>
      <c r="B131" s="92"/>
      <c r="C131" s="92"/>
      <c r="D131" s="92"/>
      <c r="E131" s="93"/>
      <c r="F131" s="94"/>
      <c r="G131" s="93"/>
      <c r="H131" s="93"/>
      <c r="I131" s="93"/>
      <c r="J131" s="93"/>
      <c r="K131" s="93"/>
      <c r="L131" s="93"/>
      <c r="M131" s="93"/>
      <c r="N131" s="93"/>
      <c r="O131" s="66"/>
      <c r="P131" s="95"/>
      <c r="Q131" s="96"/>
      <c r="R131" s="97"/>
      <c r="S131" s="96"/>
      <c r="T131" s="96"/>
      <c r="U131" s="96"/>
      <c r="V131" s="96"/>
      <c r="W131" s="96"/>
      <c r="X131" s="96"/>
      <c r="Y131" s="96"/>
      <c r="Z131" s="66"/>
      <c r="AA131" s="92"/>
      <c r="AB131" s="92"/>
      <c r="AC131" s="92"/>
      <c r="AD131" s="92"/>
      <c r="AE131" s="93"/>
      <c r="AF131" s="94"/>
      <c r="AG131" s="93"/>
      <c r="AH131" s="93"/>
      <c r="AI131" s="93"/>
      <c r="AJ131" s="93"/>
      <c r="AK131" s="93"/>
      <c r="AL131" s="93"/>
      <c r="AM131" s="93"/>
      <c r="AN131" s="93"/>
      <c r="AO131" s="66"/>
      <c r="AP131" s="95"/>
      <c r="AQ131" s="96"/>
      <c r="AR131" s="97"/>
      <c r="AS131" s="96"/>
      <c r="AT131" s="96"/>
      <c r="AU131" s="96"/>
      <c r="AV131" s="96"/>
      <c r="AW131" s="96"/>
      <c r="AX131" s="96"/>
    </row>
    <row r="132" spans="1:50">
      <c r="A132" s="92">
        <f>IF(AND(SCHOV!B21&gt;=30,SCHOV!B21&lt;=39),SCHOV!E7*16,0)</f>
        <v>0</v>
      </c>
      <c r="B132" s="92"/>
      <c r="C132" s="92"/>
      <c r="D132" s="92"/>
      <c r="E132" s="93">
        <f>IF(AND(SCHOV!B26&gt;=30,SCHOV!B26&lt;=39),SCHOV!E7*16,0)</f>
        <v>0</v>
      </c>
      <c r="F132" s="94">
        <f>IF(AND(SCHOV!B31&gt;=30,SCHOV!B31&lt;=39),SCHOV!E7*16,0)</f>
        <v>0</v>
      </c>
      <c r="G132" s="93">
        <f>IF(AND(SCHOV!B36&gt;=30,SCHOV!B36&lt;=39),SCHOV!E7*16,0)</f>
        <v>0</v>
      </c>
      <c r="H132" s="93">
        <f>IF(AND(SCHOV!B41&gt;=30,SCHOV!B41&lt;=39),SCHOV!E7*16,0)</f>
        <v>0</v>
      </c>
      <c r="I132" s="93">
        <f>IF(AND(SCHOV!B46&gt;=30,SCHOV!B46&lt;=39),SCHOV!E7*16,0)</f>
        <v>0</v>
      </c>
      <c r="J132" s="93">
        <f>IF(AND(SCHOV!B51&gt;=30,SCHOV!B51&lt;=39),SCHOV!E7*16,0)</f>
        <v>0</v>
      </c>
      <c r="K132" s="93">
        <f>IF(AND(SCHOV!B56&gt;=30,SCHOV!B56&lt;=39),SCHOV!E7*16,0)</f>
        <v>0</v>
      </c>
      <c r="L132" s="93"/>
      <c r="M132" s="93"/>
      <c r="N132" s="93">
        <f>IF(AND(SCHOV!B61&gt;=30,SCHOV!B61&lt;=39),SCHOV!E7*16,0)</f>
        <v>0</v>
      </c>
      <c r="O132" s="66"/>
      <c r="P132" s="95">
        <f>IF(SCHOV!E7*16&gt;SCHOV!E5*80%,SCHOV!E5*80%,A132)</f>
        <v>0</v>
      </c>
      <c r="Q132" s="96">
        <f>IF(SCHOV!E7*16&gt;SCHOV!E5*80%,SCHOV!E5*80%,E132)</f>
        <v>0</v>
      </c>
      <c r="R132" s="97">
        <f>IF(SCHOV!E7*16&gt;SCHOV!E5*80%,SCHOV!E5*80%,F132)</f>
        <v>0</v>
      </c>
      <c r="S132" s="96">
        <f>IF(SCHOV!E7*16&gt;SCHOV!E5*80%,SCHOV!E5*80%,G132)</f>
        <v>0</v>
      </c>
      <c r="T132" s="96">
        <f>IF(SCHOV!E7*16&gt;SCHOV!E5*80%,SCHOV!E5*80%,H132)</f>
        <v>0</v>
      </c>
      <c r="U132" s="96">
        <f>IF(SCHOV!E7*16&gt;SCHOV!E5*80%,SCHOV!E5*80%,I132)</f>
        <v>0</v>
      </c>
      <c r="V132" s="96">
        <f>IF(SCHOV!E7*16&gt;SCHOV!E5*80%,SCHOV!E5*80%,J132)</f>
        <v>0</v>
      </c>
      <c r="W132" s="96">
        <f>IF(SCHOV!E7*16&gt;SCHOV!E5*80%,SCHOV!E5*80%,K132)</f>
        <v>0</v>
      </c>
      <c r="X132" s="96">
        <f>IF(SCHOV!E7*16&gt;SCHOV!E5*80%,SCHOV!E5*80%,N132)</f>
        <v>0</v>
      </c>
      <c r="Y132" s="96"/>
      <c r="Z132" s="66"/>
      <c r="AA132" s="92">
        <f>IF(AND(SCHOV!B23&gt;=30,SCHOV!B23&lt;=39),SCHOV!E7*16,0)</f>
        <v>0</v>
      </c>
      <c r="AB132" s="92"/>
      <c r="AC132" s="92"/>
      <c r="AD132" s="92"/>
      <c r="AE132" s="93">
        <f>IF(AND(SCHOV!B28&gt;=30,SCHOV!B28&lt;=39),SCHOV!E7*16,0)</f>
        <v>0</v>
      </c>
      <c r="AF132" s="94">
        <f>IF(AND(SCHOV!B33&gt;=30,SCHOV!B33&lt;=39),SCHOV!E7*16,0)</f>
        <v>0</v>
      </c>
      <c r="AG132" s="93">
        <f>IF(AND(SCHOV!B38&gt;=30,SCHOV!B38&lt;=39),SCHOV!E7*16,0)</f>
        <v>0</v>
      </c>
      <c r="AH132" s="93">
        <f>IF(AND(SCHOV!B43&gt;=30,SCHOV!B43&lt;=39),SCHOV!E7*16,0)</f>
        <v>0</v>
      </c>
      <c r="AI132" s="93">
        <f>IF(AND(SCHOV!B48&gt;=30,SCHOV!B48&lt;=39),SCHOV!E7*16,0)</f>
        <v>0</v>
      </c>
      <c r="AJ132" s="93">
        <f>IF(AND(SCHOV!B53&gt;=30,SCHOV!B53&lt;=39),SCHOV!E7*16,0)</f>
        <v>0</v>
      </c>
      <c r="AK132" s="93">
        <f>IF(AND(SCHOV!B58&gt;=30,SCHOV!B58&lt;=39),SCHOV!E7*16,0)</f>
        <v>0</v>
      </c>
      <c r="AL132" s="93"/>
      <c r="AM132" s="93"/>
      <c r="AN132" s="93">
        <f>IF(AND(SCHOV!B63&gt;=30,SCHOV!B63&lt;=39),SCHOV!E7*16,0)</f>
        <v>0</v>
      </c>
      <c r="AO132" s="66"/>
      <c r="AP132" s="95">
        <f>IF(SCHOV!E7*16&gt;SCHOV!E5*80%,SCHOV!E5*80%,AA132)</f>
        <v>0</v>
      </c>
      <c r="AQ132" s="96">
        <f>IF(SCHOV!E7*16&gt;SCHOV!E5*80%,SCHOV!E5*80%,AE132)</f>
        <v>0</v>
      </c>
      <c r="AR132" s="97">
        <f>IF(SCHOV!E7*16&gt;SCHOV!E5*80%,SCHOV!E5*80%,AF132)</f>
        <v>0</v>
      </c>
      <c r="AS132" s="96">
        <f>IF(SCHOV!E7*16&gt;SCHOV!E5*80%,SCHOV!E5*80%,AG132)</f>
        <v>0</v>
      </c>
      <c r="AT132" s="96">
        <f>IF(SCHOV!E7*16&gt;SCHOV!E5*80%,SCHOV!E5*80%,AH132)</f>
        <v>0</v>
      </c>
      <c r="AU132" s="96">
        <f>IF(SCHOV!E7*16&gt;SCHOV!E5*80%,SCHOV!E5*80%,AI132)</f>
        <v>0</v>
      </c>
      <c r="AV132" s="96">
        <f>IF(SCHOV!E7*16&gt;SCHOV!E5*80%,SCHOV!E5*80%,AJ132)</f>
        <v>0</v>
      </c>
      <c r="AW132" s="96">
        <f>IF(SCHOV!E7*16&gt;SCHOV!E5*80%,SCHOV!E5*80%,AK132)</f>
        <v>0</v>
      </c>
      <c r="AX132" s="96">
        <f>IF(SCHOV!E7*16&gt;SCHOV!E5*80%,SCHOV!E5*80%,AN132)</f>
        <v>0</v>
      </c>
    </row>
    <row r="133" spans="1:50">
      <c r="A133" s="92"/>
      <c r="B133" s="92"/>
      <c r="C133" s="92"/>
      <c r="D133" s="92"/>
      <c r="E133" s="93"/>
      <c r="F133" s="94"/>
      <c r="G133" s="93"/>
      <c r="H133" s="93"/>
      <c r="I133" s="93"/>
      <c r="J133" s="93"/>
      <c r="K133" s="93"/>
      <c r="L133" s="93"/>
      <c r="M133" s="93"/>
      <c r="N133" s="93"/>
      <c r="O133" s="66"/>
      <c r="P133" s="95"/>
      <c r="Q133" s="96"/>
      <c r="R133" s="97"/>
      <c r="S133" s="96"/>
      <c r="T133" s="96"/>
      <c r="U133" s="96"/>
      <c r="V133" s="96"/>
      <c r="W133" s="96"/>
      <c r="X133" s="96"/>
      <c r="Y133" s="96"/>
      <c r="Z133" s="66"/>
      <c r="AA133" s="92"/>
      <c r="AB133" s="92"/>
      <c r="AC133" s="92"/>
      <c r="AD133" s="92"/>
      <c r="AE133" s="93"/>
      <c r="AF133" s="94"/>
      <c r="AG133" s="93"/>
      <c r="AH133" s="93"/>
      <c r="AI133" s="93"/>
      <c r="AJ133" s="93"/>
      <c r="AK133" s="93"/>
      <c r="AL133" s="93"/>
      <c r="AM133" s="93"/>
      <c r="AN133" s="93"/>
      <c r="AO133" s="66"/>
      <c r="AP133" s="95"/>
      <c r="AQ133" s="96"/>
      <c r="AR133" s="97"/>
      <c r="AS133" s="96"/>
      <c r="AT133" s="96"/>
      <c r="AU133" s="96"/>
      <c r="AV133" s="96"/>
      <c r="AW133" s="96"/>
      <c r="AX133" s="96"/>
    </row>
    <row r="134" spans="1:50">
      <c r="A134" s="92">
        <f>IF(AND(SCHOV!B21&gt;=40,SCHOV!B21&lt;=49),SCHOV!E7*14,0)</f>
        <v>0</v>
      </c>
      <c r="B134" s="92"/>
      <c r="C134" s="92"/>
      <c r="D134" s="92"/>
      <c r="E134" s="93">
        <f>IF(AND(SCHOV!B26&gt;=40,SCHOV!B26&lt;=49),SCHOV!E7*14,0)</f>
        <v>0</v>
      </c>
      <c r="F134" s="94">
        <f>IF(AND(SCHOV!B31&gt;=40,SCHOV!B31&lt;=49),SCHOV!E7*14,0)</f>
        <v>0</v>
      </c>
      <c r="G134" s="93">
        <f>IF(AND(SCHOV!B36&gt;=40,SCHOV!B36&lt;=49),SCHOV!E7*14,0)</f>
        <v>0</v>
      </c>
      <c r="H134" s="93">
        <f>IF(AND(SCHOV!B41&gt;=40,SCHOV!B41&lt;=49),SCHOV!E7*14,0)</f>
        <v>0</v>
      </c>
      <c r="I134" s="93">
        <f>IF(AND(SCHOV!B46&gt;=40,SCHOV!B46&lt;=49),SCHOV!E7*14,0)</f>
        <v>0</v>
      </c>
      <c r="J134" s="93">
        <f>IF(AND(SCHOV!B51&gt;=40,SCHOV!B51&lt;=49),SCHOV!E7*14,0)</f>
        <v>0</v>
      </c>
      <c r="K134" s="93">
        <f>IF(AND(SCHOV!B56&gt;=40,SCHOV!B56&lt;=49),SCHOV!E7*14,0)</f>
        <v>0</v>
      </c>
      <c r="L134" s="93"/>
      <c r="M134" s="93"/>
      <c r="N134" s="93">
        <f>IF(AND(SCHOV!B61&gt;=40,SCHOV!B61&lt;=49),SCHOV!E7*14,0)</f>
        <v>0</v>
      </c>
      <c r="O134" s="66"/>
      <c r="P134" s="95">
        <f>IF(SCHOV!E7*14&gt;SCHOV!E5*80%,SCHOV!E5*80%,A134)</f>
        <v>0</v>
      </c>
      <c r="Q134" s="96">
        <f>IF(SCHOV!E7*14&gt;SCHOV!E5*80%,SCHOV!E5*80%,E134)</f>
        <v>0</v>
      </c>
      <c r="R134" s="97">
        <f>IF(SCHOV!E7*14&gt;SCHOV!E5*80%,SCHOV!E5*80%,F134)</f>
        <v>0</v>
      </c>
      <c r="S134" s="96">
        <f>IF(SCHOV!E7*14&gt;SCHOV!E5*80%,SCHOV!E5*80%,G134)</f>
        <v>0</v>
      </c>
      <c r="T134" s="96">
        <f>IF(SCHOV!E7*14&gt;SCHOV!E5*80%,SCHOV!E5*80%,H134)</f>
        <v>0</v>
      </c>
      <c r="U134" s="96">
        <f>IF(SCHOV!E7*14&gt;SCHOV!E5*80%,SCHOV!E5*80%,I134)</f>
        <v>0</v>
      </c>
      <c r="V134" s="96">
        <f>IF(SCHOV!E7*14&gt;SCHOV!E5*80%,SCHOV!E5*80%,J134)</f>
        <v>0</v>
      </c>
      <c r="W134" s="96">
        <f>IF(SCHOV!E7*14&gt;SCHOV!E5*80%,SCHOV!E5*80%,K134)</f>
        <v>0</v>
      </c>
      <c r="X134" s="96">
        <f>IF(SCHOV!E7*14&gt;SCHOV!E5*80%,SCHOV!E5*80%,N134)</f>
        <v>0</v>
      </c>
      <c r="Y134" s="96"/>
      <c r="Z134" s="66"/>
      <c r="AA134" s="92">
        <f>IF(AND(SCHOV!B23&gt;=40,SCHOV!B23&lt;=49),SCHOV!E7*14,0)</f>
        <v>0</v>
      </c>
      <c r="AB134" s="92"/>
      <c r="AC134" s="92"/>
      <c r="AD134" s="92"/>
      <c r="AE134" s="93">
        <f>IF(AND(SCHOV!B28&gt;=40,SCHOV!B28&lt;=49),SCHOV!E7*14,0)</f>
        <v>0</v>
      </c>
      <c r="AF134" s="94">
        <f>IF(AND(SCHOV!B33&gt;=40,SCHOV!B33&lt;=49),SCHOV!E7*14,0)</f>
        <v>0</v>
      </c>
      <c r="AG134" s="93">
        <f>IF(AND(SCHOV!B38&gt;=40,SCHOV!B38&lt;=49),SCHOV!E7*14,0)</f>
        <v>0</v>
      </c>
      <c r="AH134" s="93">
        <f>IF(AND(SCHOV!B43&gt;=40,SCHOV!B43&lt;=49),SCHOV!E7*14,0)</f>
        <v>0</v>
      </c>
      <c r="AI134" s="93">
        <f>IF(AND(SCHOV!B48&gt;=40,SCHOV!B48&lt;=49),SCHOV!E7*14,0)</f>
        <v>0</v>
      </c>
      <c r="AJ134" s="93">
        <f>IF(AND(SCHOV!B53&gt;=40,SCHOV!B53&lt;=49),SCHOV!E7*14,0)</f>
        <v>0</v>
      </c>
      <c r="AK134" s="93">
        <f>IF(AND(SCHOV!B58&gt;=40,SCHOV!B58&lt;=49),SCHOV!E7*14,0)</f>
        <v>0</v>
      </c>
      <c r="AL134" s="93"/>
      <c r="AM134" s="93"/>
      <c r="AN134" s="93">
        <f>IF(AND(SCHOV!B63&gt;=40,SCHOV!B63&lt;=49),SCHOV!E7*14,0)</f>
        <v>0</v>
      </c>
      <c r="AO134" s="66"/>
      <c r="AP134" s="95">
        <f>IF(SCHOV!E7*14&gt;SCHOV!E5*80%,SCHOV!E5*80%,AA134)</f>
        <v>0</v>
      </c>
      <c r="AQ134" s="96">
        <f>IF(SCHOV!E7*14&gt;SCHOV!E5*80%,SCHOV!E5*80%,AE134)</f>
        <v>0</v>
      </c>
      <c r="AR134" s="97">
        <f>IF(SCHOV!E7*14&gt;SCHOV!E5*80%,SCHOV!E5*80%,AF134)</f>
        <v>0</v>
      </c>
      <c r="AS134" s="96">
        <f>IF(SCHOV!E7*14&gt;SCHOV!E5*80%,SCHOV!E5*80%,AG134)</f>
        <v>0</v>
      </c>
      <c r="AT134" s="96">
        <f>IF(SCHOV!E7*14&gt;SCHOV!E5*80%,SCHOV!E5*80%,AH134)</f>
        <v>0</v>
      </c>
      <c r="AU134" s="96">
        <f>IF(SCHOV!E7*14&gt;SCHOV!E5*80%,SCHOV!E5*80%,AI134)</f>
        <v>0</v>
      </c>
      <c r="AV134" s="96">
        <f>IF(SCHOV!E7*14&gt;SCHOV!E5*80%,SCHOV!E5*80%,AJ134)</f>
        <v>0</v>
      </c>
      <c r="AW134" s="96">
        <f>IF(SCHOV!E7*14&gt;SCHOV!E5*80%,SCHOV!E5*80%,AK134)</f>
        <v>0</v>
      </c>
      <c r="AX134" s="96">
        <f>IF(SCHOV!E7*14&gt;SCHOV!E5*80%,SCHOV!E5*80%,AN134)</f>
        <v>0</v>
      </c>
    </row>
    <row r="135" spans="1:50">
      <c r="A135" s="92"/>
      <c r="B135" s="92"/>
      <c r="C135" s="92"/>
      <c r="D135" s="92"/>
      <c r="E135" s="93"/>
      <c r="F135" s="94"/>
      <c r="G135" s="93"/>
      <c r="H135" s="93"/>
      <c r="I135" s="93"/>
      <c r="J135" s="93"/>
      <c r="K135" s="93"/>
      <c r="L135" s="93"/>
      <c r="M135" s="93"/>
      <c r="N135" s="93"/>
      <c r="O135" s="66"/>
      <c r="P135" s="95"/>
      <c r="Q135" s="96"/>
      <c r="R135" s="97"/>
      <c r="S135" s="96"/>
      <c r="T135" s="96"/>
      <c r="U135" s="96"/>
      <c r="V135" s="96"/>
      <c r="W135" s="96"/>
      <c r="X135" s="96"/>
      <c r="Y135" s="96"/>
      <c r="Z135" s="66"/>
      <c r="AA135" s="92"/>
      <c r="AB135" s="92"/>
      <c r="AC135" s="92"/>
      <c r="AD135" s="92"/>
      <c r="AE135" s="93"/>
      <c r="AF135" s="94"/>
      <c r="AG135" s="93"/>
      <c r="AH135" s="93"/>
      <c r="AI135" s="93"/>
      <c r="AJ135" s="93"/>
      <c r="AK135" s="93"/>
      <c r="AL135" s="93"/>
      <c r="AM135" s="93"/>
      <c r="AN135" s="93"/>
      <c r="AO135" s="66"/>
      <c r="AP135" s="95"/>
      <c r="AQ135" s="96"/>
      <c r="AR135" s="97"/>
      <c r="AS135" s="96"/>
      <c r="AT135" s="96"/>
      <c r="AU135" s="96"/>
      <c r="AV135" s="96"/>
      <c r="AW135" s="96"/>
      <c r="AX135" s="96"/>
    </row>
    <row r="136" spans="1:50">
      <c r="A136" s="92">
        <f>IF(AND(SCHOV!B21&gt;=50,SCHOV!B21&lt;=54),SCHOV!E7*13,0)</f>
        <v>0</v>
      </c>
      <c r="B136" s="92"/>
      <c r="C136" s="92"/>
      <c r="D136" s="92"/>
      <c r="E136" s="93">
        <f>IF(AND(SCHOV!B26&gt;=50,SCHOV!B26&lt;=54),SCHOV!E7*13,0)</f>
        <v>0</v>
      </c>
      <c r="F136" s="94">
        <f>IF(AND(SCHOV!B31&gt;=50,SCHOV!B31&lt;=54),SCHOV!E7*13,0)</f>
        <v>0</v>
      </c>
      <c r="G136" s="93">
        <f>IF(AND(SCHOV!B36&gt;=50,SCHOV!B36&lt;=54),SCHOV!E7*13,0)</f>
        <v>0</v>
      </c>
      <c r="H136" s="93">
        <f>IF(AND(SCHOV!B41&gt;=50,SCHOV!B41&lt;=54),SCHOV!E7*13,0)</f>
        <v>0</v>
      </c>
      <c r="I136" s="93">
        <f>IF(AND(SCHOV!B46&gt;=50,SCHOV!B46&lt;=54),SCHOV!E7*13,0)</f>
        <v>0</v>
      </c>
      <c r="J136" s="93">
        <f>IF(AND(SCHOV!B51&gt;=50,SCHOV!B51&lt;=54),SCHOV!E7*13,0)</f>
        <v>0</v>
      </c>
      <c r="K136" s="93">
        <f>IF(AND(SCHOV!B56&gt;=50,SCHOV!B56&lt;=54),SCHOV!E7*13,0)</f>
        <v>0</v>
      </c>
      <c r="L136" s="93"/>
      <c r="M136" s="93"/>
      <c r="N136" s="93">
        <f>IF(AND(SCHOV!B61&gt;=50,SCHOV!B61&lt;=54),SCHOV!E7*13,0)</f>
        <v>0</v>
      </c>
      <c r="O136" s="66"/>
      <c r="P136" s="95">
        <f>IF(SCHOV!E7*13&gt;SCHOV!E5*80%,SCHOV!E5*80%,A136)</f>
        <v>0</v>
      </c>
      <c r="Q136" s="96">
        <f>IF(SCHOV!E7*13&gt;SCHOV!E5*80%,SCHOV!E5*80%,E136)</f>
        <v>0</v>
      </c>
      <c r="R136" s="97">
        <f>IF(SCHOV!E7*13&gt;SCHOV!E5*80%,SCHOV!E5*80%,F136)</f>
        <v>0</v>
      </c>
      <c r="S136" s="96">
        <f>IF(SCHOV!E7*13&gt;SCHOV!E5*80%,SCHOV!E5*80%,G136)</f>
        <v>0</v>
      </c>
      <c r="T136" s="96">
        <f>IF(SCHOV!E7*13&gt;SCHOV!E5*80%,SCHOV!E5*80%,H136)</f>
        <v>0</v>
      </c>
      <c r="U136" s="96">
        <f>IF(SCHOV!E7*13&gt;SCHOV!E5*80%,SCHOV!E5*80%,I136)</f>
        <v>0</v>
      </c>
      <c r="V136" s="96">
        <f>IF(SCHOV!E7*13&gt;SCHOV!E5*80%,SCHOV!E5*80%,J136)</f>
        <v>0</v>
      </c>
      <c r="W136" s="96">
        <f>IF(SCHOV!E7*13&gt;SCHOV!E5*80%,SCHOV!E5*80%,K136)</f>
        <v>0</v>
      </c>
      <c r="X136" s="96">
        <f>IF(SCHOV!E7*13&gt;SCHOV!E5*80%,SCHOV!E5*80%,N136)</f>
        <v>0</v>
      </c>
      <c r="Y136" s="96"/>
      <c r="Z136" s="66"/>
      <c r="AA136" s="92">
        <f>IF(AND(SCHOV!B23&gt;=50,SCHOV!B23&lt;=54),SCHOV!E7*13,0)</f>
        <v>0</v>
      </c>
      <c r="AB136" s="92"/>
      <c r="AC136" s="92"/>
      <c r="AD136" s="92"/>
      <c r="AE136" s="93">
        <f>IF(AND(SCHOV!B28&gt;=50,SCHOV!B28&lt;=54),SCHOV!E7*13,0)</f>
        <v>0</v>
      </c>
      <c r="AF136" s="94">
        <f>IF(AND(SCHOV!B33&gt;=50,SCHOV!B33&lt;=54),SCHOV!E7*13,0)</f>
        <v>0</v>
      </c>
      <c r="AG136" s="93">
        <f>IF(AND(SCHOV!B38&gt;=50,SCHOV!B38&lt;=54),SCHOV!E7*13,0)</f>
        <v>0</v>
      </c>
      <c r="AH136" s="93">
        <f>IF(AND(SCHOV!B43&gt;=50,SCHOV!B43&lt;=54),SCHOV!E7*13,0)</f>
        <v>0</v>
      </c>
      <c r="AI136" s="93">
        <f>IF(AND(SCHOV!B48&gt;=50,SCHOV!B48&lt;=54),SCHOV!E7*13,0)</f>
        <v>0</v>
      </c>
      <c r="AJ136" s="93">
        <f>IF(AND(SCHOV!B53&gt;=50,SCHOV!B53&lt;=54),SCHOV!E7*13,0)</f>
        <v>0</v>
      </c>
      <c r="AK136" s="93">
        <f>IF(AND(SCHOV!B58&gt;=50,SCHOV!B58&lt;=54),SCHOV!E7*13,0)</f>
        <v>0</v>
      </c>
      <c r="AL136" s="93"/>
      <c r="AM136" s="93"/>
      <c r="AN136" s="93">
        <f>IF(AND(SCHOV!B63&gt;=50,SCHOV!B63&lt;=54),SCHOV!E7*13,0)</f>
        <v>0</v>
      </c>
      <c r="AO136" s="66"/>
      <c r="AP136" s="95">
        <f>IF(SCHOV!E7*13&gt;SCHOV!E5*80%,SCHOV!E5*80%,AA136)</f>
        <v>0</v>
      </c>
      <c r="AQ136" s="96">
        <f>IF(SCHOV!E7*13&gt;SCHOV!E5*80%,SCHOV!E5*80%,AE136)</f>
        <v>0</v>
      </c>
      <c r="AR136" s="97">
        <f>IF(SCHOV!E7*13&gt;SCHOV!E5*80%,SCHOV!E5*80%,AF136)</f>
        <v>0</v>
      </c>
      <c r="AS136" s="96">
        <f>IF(SCHOV!E7*13&gt;SCHOV!E5*80%,SCHOV!E5*80%,AG136)</f>
        <v>0</v>
      </c>
      <c r="AT136" s="96">
        <f>IF(SCHOV!E7*13&gt;SCHOV!E5*80%,SCHOV!E5*80%,AH136)</f>
        <v>0</v>
      </c>
      <c r="AU136" s="96">
        <f>IF(SCHOV!E7*13&gt;SCHOV!E5*80%,SCHOV!E5*80%,AI136)</f>
        <v>0</v>
      </c>
      <c r="AV136" s="96">
        <f>IF(SCHOV!E7*13&gt;SCHOV!E5*80%,SCHOV!E5*80%,AJ136)</f>
        <v>0</v>
      </c>
      <c r="AW136" s="96">
        <f>IF(SCHOV!E7*13&gt;SCHOV!E5*80%,SCHOV!E5*80%,AK136)</f>
        <v>0</v>
      </c>
      <c r="AX136" s="96">
        <f>IF(SCHOV!E7*13&gt;SCHOV!E5*80%,SCHOV!E5*80%,AN136)</f>
        <v>0</v>
      </c>
    </row>
    <row r="137" spans="1:50">
      <c r="A137" s="92"/>
      <c r="B137" s="92"/>
      <c r="C137" s="92"/>
      <c r="D137" s="92"/>
      <c r="E137" s="93"/>
      <c r="F137" s="94"/>
      <c r="G137" s="93"/>
      <c r="H137" s="93"/>
      <c r="I137" s="93"/>
      <c r="J137" s="93"/>
      <c r="K137" s="93"/>
      <c r="L137" s="93"/>
      <c r="M137" s="93"/>
      <c r="N137" s="93"/>
      <c r="O137" s="66"/>
      <c r="P137" s="95"/>
      <c r="Q137" s="96"/>
      <c r="R137" s="97"/>
      <c r="S137" s="96"/>
      <c r="T137" s="96"/>
      <c r="U137" s="96"/>
      <c r="V137" s="96"/>
      <c r="W137" s="96"/>
      <c r="X137" s="96"/>
      <c r="Y137" s="96"/>
      <c r="Z137" s="66"/>
      <c r="AA137" s="92"/>
      <c r="AB137" s="92"/>
      <c r="AC137" s="92"/>
      <c r="AD137" s="92"/>
      <c r="AE137" s="93"/>
      <c r="AF137" s="94"/>
      <c r="AG137" s="93"/>
      <c r="AH137" s="93"/>
      <c r="AI137" s="93"/>
      <c r="AJ137" s="93"/>
      <c r="AK137" s="93"/>
      <c r="AL137" s="93"/>
      <c r="AM137" s="93"/>
      <c r="AN137" s="93"/>
      <c r="AO137" s="66"/>
      <c r="AP137" s="95"/>
      <c r="AQ137" s="96"/>
      <c r="AR137" s="97"/>
      <c r="AS137" s="96"/>
      <c r="AT137" s="96"/>
      <c r="AU137" s="96"/>
      <c r="AV137" s="96"/>
      <c r="AW137" s="96"/>
      <c r="AX137" s="96"/>
    </row>
    <row r="138" spans="1:50">
      <c r="A138" s="92">
        <f>IF(AND(SCHOV!B21&gt;=55,SCHOV!B21&lt;=59),SCHOV!E7*11,0)</f>
        <v>0</v>
      </c>
      <c r="B138" s="92"/>
      <c r="C138" s="92"/>
      <c r="D138" s="92"/>
      <c r="E138" s="93">
        <f>IF(AND(SCHOV!B26&gt;=55,SCHOV!B26&lt;=59),SCHOV!E7*11,0)</f>
        <v>0</v>
      </c>
      <c r="F138" s="94">
        <f>IF(AND(SCHOV!B31&gt;=55,SCHOV!B31&lt;=59),SCHOV!E7*11,0)</f>
        <v>0</v>
      </c>
      <c r="G138" s="93">
        <f>IF(AND(SCHOV!B36&gt;=55,SCHOV!B36&lt;=59),SCHOV!E7*11,0)</f>
        <v>0</v>
      </c>
      <c r="H138" s="93">
        <f>IF(AND(SCHOV!B41&gt;=55,SCHOV!B41&lt;=59),SCHOV!E7*11,0)</f>
        <v>0</v>
      </c>
      <c r="I138" s="93">
        <f>IF(AND(SCHOV!B46&gt;=55,SCHOV!B46&lt;=59),SCHOV!E7*11,0)</f>
        <v>0</v>
      </c>
      <c r="J138" s="93">
        <f>IF(AND(SCHOV!B51&gt;=55,SCHOV!B51&lt;=59),SCHOV!E7*11,0)</f>
        <v>0</v>
      </c>
      <c r="K138" s="93">
        <f>IF(AND(SCHOV!B56&gt;=55,SCHOV!B56&lt;=59),SCHOV!E7*11,0)</f>
        <v>0</v>
      </c>
      <c r="L138" s="93"/>
      <c r="M138" s="93"/>
      <c r="N138" s="93">
        <f>IF(AND(SCHOV!B61&gt;=55,SCHOV!B61&lt;=59),SCHOV!E7*11,0)</f>
        <v>0</v>
      </c>
      <c r="O138" s="66"/>
      <c r="P138" s="95">
        <f>IF(SCHOV!E7*11&gt;SCHOV!E5*80%,SCHOV!E5*80%,A138)</f>
        <v>0</v>
      </c>
      <c r="Q138" s="96">
        <f>IF(SCHOV!E7*11&gt;SCHOV!E5*80%,SCHOV!E5*80%,E138)</f>
        <v>0</v>
      </c>
      <c r="R138" s="97">
        <f>IF(SCHOV!E7*11&gt;SCHOV!E5*80%,SCHOV!E5*80%,F138)</f>
        <v>0</v>
      </c>
      <c r="S138" s="96">
        <f>IF(SCHOV!E7*11&gt;SCHOV!E5*80%,SCHOV!E5*80%,G138)</f>
        <v>0</v>
      </c>
      <c r="T138" s="96">
        <f>IF(SCHOV!E7*11&gt;SCHOV!E5*80%,SCHOV!E5*80%,H138)</f>
        <v>0</v>
      </c>
      <c r="U138" s="96">
        <f>IF(SCHOV!E7*11&gt;SCHOV!E5*80%,SCHOV!E5*80%,I138)</f>
        <v>0</v>
      </c>
      <c r="V138" s="96">
        <f>IF(SCHOV!E7*11&gt;SCHOV!E5*80%,SCHOV!E5*80%,J138)</f>
        <v>0</v>
      </c>
      <c r="W138" s="96">
        <f>IF(SCHOV!E7*11&gt;SCHOV!E5*80%,SCHOV!E5*80%,K138)</f>
        <v>0</v>
      </c>
      <c r="X138" s="96">
        <f>IF(SCHOV!E7*11&gt;SCHOV!E5*80%,SCHOV!E5*80%,N138)</f>
        <v>0</v>
      </c>
      <c r="Y138" s="96"/>
      <c r="Z138" s="66"/>
      <c r="AA138" s="92">
        <f>IF(AND(SCHOV!B23&gt;=55,SCHOV!B23&lt;=59),SCHOV!E7*11,0)</f>
        <v>0</v>
      </c>
      <c r="AB138" s="92"/>
      <c r="AC138" s="92"/>
      <c r="AD138" s="92"/>
      <c r="AE138" s="93">
        <f>IF(AND(SCHOV!B28&gt;=55,SCHOV!B28&lt;=59),SCHOV!E7*11,0)</f>
        <v>0</v>
      </c>
      <c r="AF138" s="94">
        <f>IF(AND(SCHOV!B33&gt;=55,SCHOV!B33&lt;=59),SCHOV!E7*11,0)</f>
        <v>0</v>
      </c>
      <c r="AG138" s="93">
        <f>IF(AND(SCHOV!B38&gt;=55,SCHOV!B38&lt;=59),SCHOV!E7*11,0)</f>
        <v>0</v>
      </c>
      <c r="AH138" s="93">
        <f>IF(AND(SCHOV!B43&gt;=55,SCHOV!B43&lt;=59),SCHOV!E7*11,0)</f>
        <v>0</v>
      </c>
      <c r="AI138" s="93">
        <f>IF(AND(SCHOV!B48&gt;=55,SCHOV!B48&lt;=59),SCHOV!E7*11,0)</f>
        <v>0</v>
      </c>
      <c r="AJ138" s="93">
        <f>IF(AND(SCHOV!B53&gt;=55,SCHOV!B53&lt;=59),SCHOV!E7*11,0)</f>
        <v>0</v>
      </c>
      <c r="AK138" s="93">
        <f>IF(AND(SCHOV!B58&gt;=55,SCHOV!B58&lt;=59),SCHOV!E7*11,0)</f>
        <v>0</v>
      </c>
      <c r="AL138" s="93"/>
      <c r="AM138" s="93"/>
      <c r="AN138" s="93">
        <f>IF(AND(SCHOV!B63&gt;=55,SCHOV!B63&lt;=59),SCHOV!E7*11,0)</f>
        <v>0</v>
      </c>
      <c r="AO138" s="66"/>
      <c r="AP138" s="95">
        <f>IF(SCHOV!E7*11&gt;SCHOV!E5*80%,SCHOV!E5*80%,AA138)</f>
        <v>0</v>
      </c>
      <c r="AQ138" s="96">
        <f>IF(SCHOV!E7*11&gt;SCHOV!E5*80%,SCHOV!E5*80%,AE138)</f>
        <v>0</v>
      </c>
      <c r="AR138" s="97">
        <f>IF(SCHOV!E7*11&gt;SCHOV!E5*80%,SCHOV!E5*80%,AF138)</f>
        <v>0</v>
      </c>
      <c r="AS138" s="96">
        <f>IF(SCHOV!E7*11&gt;SCHOV!E5*80%,SCHOV!E5*80%,AG138)</f>
        <v>0</v>
      </c>
      <c r="AT138" s="96">
        <f>IF(SCHOV!E7*11&gt;SCHOV!E5*80%,SCHOV!E5*80%,AH138)</f>
        <v>0</v>
      </c>
      <c r="AU138" s="96">
        <f>IF(SCHOV!E7*11&gt;SCHOV!E5*80%,SCHOV!E5*80%,AI138)</f>
        <v>0</v>
      </c>
      <c r="AV138" s="96">
        <f>IF(SCHOV!E7*11&gt;SCHOV!E5*80%,SCHOV!E5*80%,AJ138)</f>
        <v>0</v>
      </c>
      <c r="AW138" s="96">
        <f>IF(SCHOV!E7*11&gt;SCHOV!E5*80%,SCHOV!E5*80%,AK138)</f>
        <v>0</v>
      </c>
      <c r="AX138" s="96">
        <f>IF(SCHOV!E7*11&gt;SCHOV!E5*80%,SCHOV!E5*80%,AN138)</f>
        <v>0</v>
      </c>
    </row>
    <row r="139" spans="1:50">
      <c r="A139" s="93"/>
      <c r="B139" s="93"/>
      <c r="C139" s="93"/>
      <c r="D139" s="93"/>
      <c r="E139" s="93"/>
      <c r="F139" s="94"/>
      <c r="G139" s="93"/>
      <c r="H139" s="93"/>
      <c r="I139" s="93"/>
      <c r="J139" s="93"/>
      <c r="K139" s="93"/>
      <c r="L139" s="93"/>
      <c r="M139" s="93"/>
      <c r="N139" s="93"/>
      <c r="O139" s="66"/>
      <c r="P139" s="96"/>
      <c r="Q139" s="96"/>
      <c r="R139" s="97"/>
      <c r="S139" s="96"/>
      <c r="T139" s="96"/>
      <c r="U139" s="96"/>
      <c r="V139" s="96"/>
      <c r="W139" s="96"/>
      <c r="X139" s="96"/>
      <c r="Y139" s="96"/>
      <c r="Z139" s="66"/>
      <c r="AA139" s="93"/>
      <c r="AB139" s="93"/>
      <c r="AC139" s="93"/>
      <c r="AD139" s="93"/>
      <c r="AE139" s="93"/>
      <c r="AF139" s="94"/>
      <c r="AG139" s="93"/>
      <c r="AH139" s="93"/>
      <c r="AI139" s="93"/>
      <c r="AJ139" s="93"/>
      <c r="AK139" s="93"/>
      <c r="AL139" s="93"/>
      <c r="AM139" s="93"/>
      <c r="AN139" s="93"/>
      <c r="AO139" s="66"/>
      <c r="AP139" s="96"/>
      <c r="AQ139" s="96"/>
      <c r="AR139" s="97"/>
      <c r="AS139" s="96"/>
      <c r="AT139" s="96"/>
      <c r="AU139" s="96"/>
      <c r="AV139" s="96"/>
      <c r="AW139" s="96"/>
      <c r="AX139" s="96"/>
    </row>
    <row r="140" spans="1:50">
      <c r="A140" s="92">
        <f>IF(AND(SCHOV!B21&gt;=60,SCHOV!B21&lt;=64),SCHOV!E7*9.5,0)</f>
        <v>0</v>
      </c>
      <c r="B140" s="92"/>
      <c r="C140" s="92"/>
      <c r="D140" s="92"/>
      <c r="E140" s="93">
        <f>IF(AND(SCHOV!B26&gt;=60,SCHOV!B26&lt;=64),SCHOV!E7*9.5,0)</f>
        <v>0</v>
      </c>
      <c r="F140" s="94">
        <f>IF(AND(SCHOV!B31&gt;=60,SCHOV!B31&lt;=64),SCHOV!E7*9.5,0)</f>
        <v>0</v>
      </c>
      <c r="G140" s="93">
        <f>IF(AND(SCHOV!B36&gt;=60,SCHOV!B36&lt;=64),SCHOV!E7*9.5,0)</f>
        <v>0</v>
      </c>
      <c r="H140" s="93">
        <f>IF(AND(SCHOV!B41&gt;=60,SCHOV!B41&lt;=64),SCHOV!E7*9.5,0)</f>
        <v>0</v>
      </c>
      <c r="I140" s="93">
        <f>IF(AND(SCHOV!B46&gt;=60,SCHOV!B46&lt;=64),SCHOV!E7*9.5,0)</f>
        <v>0</v>
      </c>
      <c r="J140" s="93">
        <f>IF(AND(SCHOV!B51&gt;=60,SCHOV!B51&lt;=64),SCHOV!E7*9.5,0)</f>
        <v>0</v>
      </c>
      <c r="K140" s="93">
        <f>IF(AND(SCHOV!B56&gt;=60,SCHOV!B56&lt;=64),SCHOV!E7*9.5,0)</f>
        <v>0</v>
      </c>
      <c r="L140" s="93"/>
      <c r="M140" s="93"/>
      <c r="N140" s="93">
        <f>IF(AND(SCHOV!B61&gt;=60,SCHOV!B61&lt;=64),SCHOV!E7*9.5,0)</f>
        <v>0</v>
      </c>
      <c r="O140" s="66"/>
      <c r="P140" s="95">
        <f>IF(SCHOV!E7*9&gt;SCHOV!E5*80%,SCHOV!E5*80%,A140)</f>
        <v>0</v>
      </c>
      <c r="Q140" s="96">
        <f>IF(SCHOV!E7*9&gt;SCHOV!E5*80%,SCHOV!E5*80%,E140)</f>
        <v>0</v>
      </c>
      <c r="R140" s="97">
        <f>IF(SCHOV!E7*9&gt;SCHOV!E5*80%,SCHOV!E5*80%,F140)</f>
        <v>0</v>
      </c>
      <c r="S140" s="96">
        <f>IF(SCHOV!E7*9&gt;SCHOV!E5*80%,SCHOV!E5*80%,G140)</f>
        <v>0</v>
      </c>
      <c r="T140" s="96">
        <f>IF(SCHOV!E7*9&gt;SCHOV!E5*80%,SCHOV!E5*80%,H140)</f>
        <v>0</v>
      </c>
      <c r="U140" s="96">
        <f>IF(SCHOV!E7*9&gt;SCHOV!E5*80%,SCHOV!E5*80%,I140)</f>
        <v>0</v>
      </c>
      <c r="V140" s="96">
        <f>IF(SCHOV!E7*9&gt;SCHOV!E5*80%,SCHOV!E5*80%,J140)</f>
        <v>0</v>
      </c>
      <c r="W140" s="96">
        <f>IF(SCHOV!E7*9&gt;SCHOV!E5*80%,SCHOV!E5*80%,K140)</f>
        <v>0</v>
      </c>
      <c r="X140" s="96">
        <f>IF(SCHOV!E7*9&gt;SCHOV!E5*80%,SCHOV!E5*80%,N140)</f>
        <v>0</v>
      </c>
      <c r="Y140" s="96"/>
      <c r="Z140" s="66"/>
      <c r="AA140" s="92">
        <f>IF(AND(SCHOV!B23&gt;=60,SCHOV!B23&lt;=64),SCHOV!E7*9.5,0)</f>
        <v>0</v>
      </c>
      <c r="AB140" s="92"/>
      <c r="AC140" s="92"/>
      <c r="AD140" s="92"/>
      <c r="AE140" s="93">
        <f>IF(AND(SCHOV!B28&gt;=60,SCHOV!B28&lt;=64),SCHOV!E7*9.5,0)</f>
        <v>0</v>
      </c>
      <c r="AF140" s="94">
        <f>IF(AND(SCHOV!B33&gt;=60,SCHOV!B33&lt;=64),SCHOV!E7*9.5,0)</f>
        <v>0</v>
      </c>
      <c r="AG140" s="93">
        <f>IF(AND(SCHOV!B38&gt;=60,SCHOV!B38&lt;=64),SCHOV!E7*9.5,0)</f>
        <v>0</v>
      </c>
      <c r="AH140" s="93">
        <f>IF(AND(SCHOV!B43&gt;=60,SCHOV!B43&lt;=64),SCHOV!E7*9.5,0)</f>
        <v>0</v>
      </c>
      <c r="AI140" s="93">
        <f>IF(AND(SCHOV!B48&gt;=60,SCHOV!B48&lt;=64),SCHOV!E7*9.5,0)</f>
        <v>0</v>
      </c>
      <c r="AJ140" s="93">
        <f>IF(AND(SCHOV!B53&gt;=60,SCHOV!B53&lt;=64),SCHOV!E7*9.5,0)</f>
        <v>0</v>
      </c>
      <c r="AK140" s="93">
        <f>IF(AND(SCHOV!B58&gt;=60,SCHOV!B58&lt;=64),SCHOV!E7*9.5,0)</f>
        <v>0</v>
      </c>
      <c r="AL140" s="93"/>
      <c r="AM140" s="93"/>
      <c r="AN140" s="93">
        <f>IF(AND(SCHOV!B63&gt;=60,SCHOV!B63&lt;=64),SCHOV!E7*9.5,0)</f>
        <v>0</v>
      </c>
      <c r="AO140" s="66"/>
      <c r="AP140" s="95">
        <f>IF(SCHOV!E7*9&gt;SCHOV!E5*80%,SCHOV!E5*80%,AA140)</f>
        <v>0</v>
      </c>
      <c r="AQ140" s="96">
        <f>IF(SCHOV!E7*9&gt;SCHOV!E5*80%,SCHOV!E5*80%,AE140)</f>
        <v>0</v>
      </c>
      <c r="AR140" s="97">
        <f>IF(SCHOV!E7*9&gt;SCHOV!E5*80%,SCHOV!E5*80%,AF140)</f>
        <v>0</v>
      </c>
      <c r="AS140" s="96">
        <f>IF(SCHOV!E7*9&gt;SCHOV!E5*80%,SCHOV!E5*80%,AG140)</f>
        <v>0</v>
      </c>
      <c r="AT140" s="96">
        <f>IF(SCHOV!E7*9&gt;SCHOV!E5*80%,SCHOV!E5*80%,AH140)</f>
        <v>0</v>
      </c>
      <c r="AU140" s="96">
        <f>IF(SCHOV!E7*9&gt;SCHOV!E5*80%,SCHOV!E5*80%,AI140)</f>
        <v>0</v>
      </c>
      <c r="AV140" s="96">
        <f>IF(SCHOV!E7*9&gt;SCHOV!E5*80%,SCHOV!E5*80%,AJ140)</f>
        <v>0</v>
      </c>
      <c r="AW140" s="96">
        <f>IF(SCHOV!E7*9&gt;SCHOV!E5*80%,SCHOV!E5*80%,AK140)</f>
        <v>0</v>
      </c>
      <c r="AX140" s="96">
        <f>IF(SCHOV!E7*9&gt;SCHOV!E5*80%,SCHOV!E5*80%,AN140)</f>
        <v>0</v>
      </c>
    </row>
    <row r="141" spans="1:50">
      <c r="A141" s="92"/>
      <c r="B141" s="92"/>
      <c r="C141" s="92"/>
      <c r="D141" s="92"/>
      <c r="E141" s="93"/>
      <c r="F141" s="94"/>
      <c r="G141" s="93"/>
      <c r="H141" s="93"/>
      <c r="I141" s="93"/>
      <c r="J141" s="93"/>
      <c r="K141" s="93"/>
      <c r="L141" s="93"/>
      <c r="M141" s="93"/>
      <c r="N141" s="93"/>
      <c r="O141" s="66"/>
      <c r="P141" s="95"/>
      <c r="Q141" s="96"/>
      <c r="R141" s="97"/>
      <c r="S141" s="96"/>
      <c r="T141" s="96"/>
      <c r="U141" s="96"/>
      <c r="V141" s="96"/>
      <c r="W141" s="96"/>
      <c r="X141" s="96"/>
      <c r="Y141" s="96"/>
      <c r="Z141" s="66"/>
      <c r="AA141" s="92"/>
      <c r="AB141" s="92"/>
      <c r="AC141" s="92"/>
      <c r="AD141" s="92"/>
      <c r="AE141" s="93"/>
      <c r="AF141" s="94"/>
      <c r="AG141" s="93"/>
      <c r="AH141" s="93"/>
      <c r="AI141" s="93"/>
      <c r="AJ141" s="93"/>
      <c r="AK141" s="93"/>
      <c r="AL141" s="93"/>
      <c r="AM141" s="93"/>
      <c r="AN141" s="93"/>
      <c r="AO141" s="66"/>
      <c r="AP141" s="95"/>
      <c r="AQ141" s="96"/>
      <c r="AR141" s="97"/>
      <c r="AS141" s="96"/>
      <c r="AT141" s="96"/>
      <c r="AU141" s="96"/>
      <c r="AV141" s="96"/>
      <c r="AW141" s="96"/>
      <c r="AX141" s="96"/>
    </row>
    <row r="142" spans="1:50">
      <c r="A142" s="92">
        <f>IF(AND(SCHOV!B21&gt;=65,SCHOV!B21&lt;=69),SCHOV!E7*8,0)</f>
        <v>0</v>
      </c>
      <c r="B142" s="92"/>
      <c r="C142" s="92"/>
      <c r="D142" s="92"/>
      <c r="E142" s="93">
        <f>IF(AND(SCHOV!B26&gt;=65,SCHOV!B26&lt;=69),SCHOV!E7*8,0)</f>
        <v>0</v>
      </c>
      <c r="F142" s="94">
        <f>IF(AND(SCHOV!B31&gt;=65,SCHOV!B31&lt;=69),SCHOV!E7*8,0)</f>
        <v>0</v>
      </c>
      <c r="G142" s="93">
        <f>IF(AND(SCHOV!B36&gt;=65,SCHOV!B36&lt;=69),SCHOV!E7*8,0)</f>
        <v>0</v>
      </c>
      <c r="H142" s="93">
        <f>IF(AND(SCHOV!B41&gt;=65,SCHOV!B41&lt;=69),SCHOV!E7*8,0)</f>
        <v>0</v>
      </c>
      <c r="I142" s="93">
        <f>IF(AND(SCHOV!B46&gt;=65,SCHOV!B46&lt;=69),SCHOV!E7*8,0)</f>
        <v>0</v>
      </c>
      <c r="J142" s="93">
        <f>IF(AND(SCHOV!B51&gt;=65,SCHOV!B51&lt;=69),SCHOV!E7*8,0)</f>
        <v>0</v>
      </c>
      <c r="K142" s="93">
        <f>IF(AND(SCHOV!B56&gt;=65,SCHOV!B56&lt;=69),SCHOV!E7*8,0)</f>
        <v>0</v>
      </c>
      <c r="L142" s="93"/>
      <c r="M142" s="93"/>
      <c r="N142" s="93">
        <f>IF(AND(SCHOV!B61&gt;=65,SCHOV!B61&lt;=69),SCHOV!E7*8,0)</f>
        <v>0</v>
      </c>
      <c r="O142" s="66"/>
      <c r="P142" s="95">
        <f>IF(SCHOV!E7*8&gt;SCHOV!E5*80%,SCHOV!E5*80%,A142)</f>
        <v>0</v>
      </c>
      <c r="Q142" s="96">
        <f>IF(SCHOV!E7*8&gt;SCHOV!E5*80%,SCHOV!E5*80%,E142)</f>
        <v>0</v>
      </c>
      <c r="R142" s="97">
        <f>IF(SCHOV!E7*8&gt;SCHOV!E5*80%,SCHOV!E5*80%,F142)</f>
        <v>0</v>
      </c>
      <c r="S142" s="96">
        <f>IF(SCHOV!E7*8&gt;SCHOV!E5*80%,SCHOV!E5*80%,G142)</f>
        <v>0</v>
      </c>
      <c r="T142" s="96">
        <f>IF(SCHOV!E7*8&gt;SCHOV!E5*80%,SCHOV!E5*80%,H142)</f>
        <v>0</v>
      </c>
      <c r="U142" s="96">
        <f>IF(SCHOV!E7*8&gt;SCHOV!E5*80%,SCHOV!E5*80%,I142)</f>
        <v>0</v>
      </c>
      <c r="V142" s="96">
        <f>IF(SCHOV!E7*8&gt;SCHOV!E5*80%,SCHOV!E5*80%,J142)</f>
        <v>0</v>
      </c>
      <c r="W142" s="96">
        <f>IF(SCHOV!E7*8&gt;SCHOV!E5*80%,SCHOV!E5*80%,K142)</f>
        <v>0</v>
      </c>
      <c r="X142" s="96">
        <f>IF(SCHOV!E7*8&gt;SCHOV!E5*80%,SCHOV!E5*80%,N142)</f>
        <v>0</v>
      </c>
      <c r="Y142" s="96"/>
      <c r="Z142" s="66"/>
      <c r="AA142" s="92">
        <f>IF(AND(SCHOV!B23&gt;=65,SCHOV!B23&lt;=69),SCHOV!E7*8,0)</f>
        <v>0</v>
      </c>
      <c r="AB142" s="92"/>
      <c r="AC142" s="92"/>
      <c r="AD142" s="92"/>
      <c r="AE142" s="93">
        <f>IF(AND(SCHOV!B28&gt;=65,SCHOV!B28&lt;=69),SCHOV!E7*8,0)</f>
        <v>0</v>
      </c>
      <c r="AF142" s="94">
        <f>IF(AND(SCHOV!B33&gt;=65,SCHOV!B33&lt;=69),SCHOV!E7*8,0)</f>
        <v>0</v>
      </c>
      <c r="AG142" s="93">
        <f>IF(AND(SCHOV!B38&gt;=65,SCHOV!B38&lt;=69),SCHOV!E7*8,0)</f>
        <v>0</v>
      </c>
      <c r="AH142" s="93">
        <f>IF(AND(SCHOV!B43&gt;=65,SCHOV!B43&lt;=69),SCHOV!E7*8,0)</f>
        <v>0</v>
      </c>
      <c r="AI142" s="93">
        <f>IF(AND(SCHOV!B48&gt;=65,SCHOV!B48&lt;=69),SCHOV!E7*8,0)</f>
        <v>0</v>
      </c>
      <c r="AJ142" s="93">
        <f>IF(AND(SCHOV!B53&gt;=65,SCHOV!B53&lt;=69),SCHOV!E7*8,0)</f>
        <v>0</v>
      </c>
      <c r="AK142" s="93">
        <f>IF(AND(SCHOV!B58&gt;=65,SCHOV!B58&lt;=69),SCHOV!E7*8,0)</f>
        <v>0</v>
      </c>
      <c r="AL142" s="93"/>
      <c r="AM142" s="93"/>
      <c r="AN142" s="93">
        <f>IF(AND(SCHOV!B63&gt;=65,SCHOV!B63&lt;=69),SCHOV!E7*8,0)</f>
        <v>0</v>
      </c>
      <c r="AO142" s="66"/>
      <c r="AP142" s="95">
        <f>IF(SCHOV!E7*8&gt;SCHOV!E5*80%,SCHOV!E5*80%,AA142)</f>
        <v>0</v>
      </c>
      <c r="AQ142" s="96">
        <f>IF(SCHOV!E7*8&gt;SCHOV!E5*80%,SCHOV!E5*80%,AE142)</f>
        <v>0</v>
      </c>
      <c r="AR142" s="97">
        <f>IF(SCHOV!E7*8&gt;SCHOV!E5*80%,SCHOV!E5*80%,AF142)</f>
        <v>0</v>
      </c>
      <c r="AS142" s="96">
        <f>IF(SCHOV!E7*8&gt;SCHOV!E5*80%,SCHOV!E5*80%,AG142)</f>
        <v>0</v>
      </c>
      <c r="AT142" s="96">
        <f>IF(SCHOV!E7*8&gt;SCHOV!E5*80%,SCHOV!E5*80%,AH142)</f>
        <v>0</v>
      </c>
      <c r="AU142" s="96">
        <f>IF(SCHOV!E7*8&gt;SCHOV!E5*80%,SCHOV!E5*80%,AI142)</f>
        <v>0</v>
      </c>
      <c r="AV142" s="96">
        <f>IF(SCHOV!E7*8&gt;SCHOV!E5*80%,SCHOV!E5*80%,AJ142)</f>
        <v>0</v>
      </c>
      <c r="AW142" s="96">
        <f>IF(SCHOV!E7*8&gt;SCHOV!E5*80%,SCHOV!E5*80%,AK142)</f>
        <v>0</v>
      </c>
      <c r="AX142" s="96">
        <f>IF(SCHOV!E7*8&gt;SCHOV!E5*80%,SCHOV!E5*80%,AN142)</f>
        <v>0</v>
      </c>
    </row>
    <row r="143" spans="1:50">
      <c r="A143" s="92"/>
      <c r="B143" s="92"/>
      <c r="C143" s="92"/>
      <c r="D143" s="92"/>
      <c r="E143" s="93"/>
      <c r="F143" s="94"/>
      <c r="G143" s="93"/>
      <c r="H143" s="93"/>
      <c r="I143" s="93"/>
      <c r="J143" s="93"/>
      <c r="K143" s="93"/>
      <c r="L143" s="93"/>
      <c r="M143" s="93"/>
      <c r="N143" s="93"/>
      <c r="O143" s="66"/>
      <c r="P143" s="95"/>
      <c r="Q143" s="96"/>
      <c r="R143" s="97"/>
      <c r="S143" s="96"/>
      <c r="T143" s="96"/>
      <c r="U143" s="96"/>
      <c r="V143" s="96"/>
      <c r="W143" s="96"/>
      <c r="X143" s="96"/>
      <c r="Y143" s="96"/>
      <c r="Z143" s="66"/>
      <c r="AA143" s="92"/>
      <c r="AB143" s="92"/>
      <c r="AC143" s="92"/>
      <c r="AD143" s="92"/>
      <c r="AE143" s="93"/>
      <c r="AF143" s="94"/>
      <c r="AG143" s="93"/>
      <c r="AH143" s="93"/>
      <c r="AI143" s="93"/>
      <c r="AJ143" s="93"/>
      <c r="AK143" s="93"/>
      <c r="AL143" s="93"/>
      <c r="AM143" s="93"/>
      <c r="AN143" s="93"/>
      <c r="AO143" s="66"/>
      <c r="AP143" s="95"/>
      <c r="AQ143" s="96"/>
      <c r="AR143" s="97"/>
      <c r="AS143" s="96"/>
      <c r="AT143" s="96"/>
      <c r="AU143" s="96"/>
      <c r="AV143" s="96"/>
      <c r="AW143" s="96"/>
      <c r="AX143" s="96"/>
    </row>
    <row r="144" spans="1:50">
      <c r="A144" s="92">
        <f>IF(AND(SCHOV!B21&gt;=70,SCHOV!B21&lt;=74),SCHOV!E7*6,0)</f>
        <v>0</v>
      </c>
      <c r="B144" s="92"/>
      <c r="C144" s="92"/>
      <c r="D144" s="92"/>
      <c r="E144" s="93">
        <f>IF(AND(SCHOV!B26&gt;=70,SCHOV!B26&lt;=74),SCHOV!E7*6,0)</f>
        <v>0</v>
      </c>
      <c r="F144" s="94">
        <f>IF(AND(SCHOV!B31&gt;=70,SCHOV!B31&lt;=74),SCHOV!E7*6,0)</f>
        <v>0</v>
      </c>
      <c r="G144" s="93">
        <f>IF(AND(SCHOV!B36&gt;=70,SCHOV!B36&lt;=74),SCHOV!E7*6,0)</f>
        <v>0</v>
      </c>
      <c r="H144" s="93">
        <f>IF(AND(SCHOV!B41&gt;=70,SCHOV!B41&lt;=74),SCHOV!E7*6,0)</f>
        <v>0</v>
      </c>
      <c r="I144" s="93">
        <f>IF(AND(SCHOV!B46&gt;=70,SCHOV!B46&lt;=74),SCHOV!E7*6,0)</f>
        <v>0</v>
      </c>
      <c r="J144" s="93">
        <f>IF(AND(SCHOV!B51&gt;=70,SCHOV!B51&lt;=74),SCHOV!E7*6,0)</f>
        <v>0</v>
      </c>
      <c r="K144" s="93">
        <f>IF(AND(SCHOV!B56&gt;=70,SCHOV!B56&lt;=74),SCHOV!E7*6,0)</f>
        <v>0</v>
      </c>
      <c r="L144" s="93"/>
      <c r="M144" s="93"/>
      <c r="N144" s="93">
        <f>IF(AND(SCHOV!B61&gt;=70,SCHOV!B61&lt;=74),SCHOV!E7*6,0)</f>
        <v>0</v>
      </c>
      <c r="O144" s="66"/>
      <c r="P144" s="95">
        <f>IF(SCHOV!E7*6&gt;SCHOV!E5*80%,SCHOV!E5*80%,A144)</f>
        <v>0</v>
      </c>
      <c r="Q144" s="96">
        <f>IF(SCHOV!E7*6&gt;SCHOV!E5*80%,SCHOV!E5*80%,E144)</f>
        <v>0</v>
      </c>
      <c r="R144" s="97">
        <f>IF(SCHOV!E7*6&gt;SCHOV!E5*80%,SCHOV!E5*80%,F144)</f>
        <v>0</v>
      </c>
      <c r="S144" s="96">
        <f>IF(SCHOV!E7*6&gt;SCHOV!E5*80%,SCHOV!E5*80%,G144)</f>
        <v>0</v>
      </c>
      <c r="T144" s="96">
        <f>IF(SCHOV!E7*6&gt;SCHOV!E5*80%,SCHOV!E5*80%,H144)</f>
        <v>0</v>
      </c>
      <c r="U144" s="96">
        <f>IF(SCHOV!E7*6&gt;SCHOV!E5*80%,SCHOV!E5*80%,I144)</f>
        <v>0</v>
      </c>
      <c r="V144" s="96">
        <f>IF(SCHOV!E7*6&gt;SCHOV!E5*80%,SCHOV!E5*80%,J144)</f>
        <v>0</v>
      </c>
      <c r="W144" s="96">
        <f>IF(SCHOV!E7*6&gt;SCHOV!E5*80%,SCHOV!E5*80%,K144)</f>
        <v>0</v>
      </c>
      <c r="X144" s="96">
        <f>IF(SCHOV!E7*6&gt;SCHOV!E5*80%,SCHOV!E5*80%,N144)</f>
        <v>0</v>
      </c>
      <c r="Y144" s="96"/>
      <c r="Z144" s="66"/>
      <c r="AA144" s="92">
        <f>IF(AND(SCHOV!B23&gt;=70,SCHOV!B23&lt;=74),SCHOV!E7*6,0)</f>
        <v>0</v>
      </c>
      <c r="AB144" s="92"/>
      <c r="AC144" s="92"/>
      <c r="AD144" s="92"/>
      <c r="AE144" s="93">
        <f>IF(AND(SCHOV!B28&gt;=70,SCHOV!B28&lt;=74),SCHOV!E7*6,0)</f>
        <v>0</v>
      </c>
      <c r="AF144" s="94">
        <f>IF(AND(SCHOV!B33&gt;=70,SCHOV!B33&lt;=74),SCHOV!E7*6,0)</f>
        <v>0</v>
      </c>
      <c r="AG144" s="93">
        <f>IF(AND(SCHOV!B38&gt;=70,SCHOV!B38&lt;=74),SCHOV!E7*6,0)</f>
        <v>0</v>
      </c>
      <c r="AH144" s="93">
        <f>IF(AND(SCHOV!B43&gt;=70,SCHOV!B43&lt;=74),SCHOV!E7*6,0)</f>
        <v>0</v>
      </c>
      <c r="AI144" s="93">
        <f>IF(AND(SCHOV!B48&gt;=70,SCHOV!B48&lt;=74),SCHOV!E7*6,0)</f>
        <v>0</v>
      </c>
      <c r="AJ144" s="93">
        <f>IF(AND(SCHOV!B53&gt;=70,SCHOV!B53&lt;=74),SCHOV!E7*6,0)</f>
        <v>0</v>
      </c>
      <c r="AK144" s="93">
        <f>IF(AND(SCHOV!B58&gt;=70,SCHOV!B58&lt;=74),SCHOV!E7*6,0)</f>
        <v>0</v>
      </c>
      <c r="AL144" s="93"/>
      <c r="AM144" s="93"/>
      <c r="AN144" s="93">
        <f>IF(AND(SCHOV!B63&gt;=70,SCHOV!B63&lt;=74),SCHOV!E7*6,0)</f>
        <v>0</v>
      </c>
      <c r="AO144" s="66"/>
      <c r="AP144" s="95">
        <f>IF(SCHOV!E7*6&gt;SCHOV!E5*80%,SCHOV!E5*80%,AA144)</f>
        <v>0</v>
      </c>
      <c r="AQ144" s="96">
        <f>IF(SCHOV!E7*6&gt;SCHOV!E5*80%,SCHOV!E5*80%,AE144)</f>
        <v>0</v>
      </c>
      <c r="AR144" s="97">
        <f>IF(SCHOV!E7*6&gt;SCHOV!E5*80%,SCHOV!E5*80%,AF144)</f>
        <v>0</v>
      </c>
      <c r="AS144" s="96">
        <f>IF(SCHOV!E7*6&gt;SCHOV!E5*80%,SCHOV!E5*80%,AG144)</f>
        <v>0</v>
      </c>
      <c r="AT144" s="96">
        <f>IF(SCHOV!E7*6&gt;SCHOV!E5*80%,SCHOV!E5*80%,AH144)</f>
        <v>0</v>
      </c>
      <c r="AU144" s="96">
        <f>IF(SCHOV!E7*6&gt;SCHOV!E5*80%,SCHOV!E5*80%,AI144)</f>
        <v>0</v>
      </c>
      <c r="AV144" s="96">
        <f>IF(SCHOV!E7*6&gt;SCHOV!E5*80%,SCHOV!E5*80%,AJ144)</f>
        <v>0</v>
      </c>
      <c r="AW144" s="96">
        <f>IF(SCHOV!E7*6&gt;SCHOV!E5*80%,SCHOV!E5*80%,AK144)</f>
        <v>0</v>
      </c>
      <c r="AX144" s="96">
        <f>IF(SCHOV!E7*6&gt;SCHOV!E5*80%,SCHOV!E5*80%,AN144)</f>
        <v>0</v>
      </c>
    </row>
    <row r="145" spans="1:50">
      <c r="A145" s="92"/>
      <c r="B145" s="92"/>
      <c r="C145" s="92"/>
      <c r="D145" s="92"/>
      <c r="E145" s="93"/>
      <c r="F145" s="94"/>
      <c r="G145" s="93"/>
      <c r="H145" s="93"/>
      <c r="I145" s="93"/>
      <c r="J145" s="93"/>
      <c r="K145" s="93"/>
      <c r="L145" s="93"/>
      <c r="M145" s="93"/>
      <c r="N145" s="93"/>
      <c r="O145" s="66"/>
      <c r="P145" s="95"/>
      <c r="Q145" s="96"/>
      <c r="R145" s="97"/>
      <c r="S145" s="96"/>
      <c r="T145" s="96"/>
      <c r="U145" s="96"/>
      <c r="V145" s="96"/>
      <c r="W145" s="96"/>
      <c r="X145" s="96"/>
      <c r="Y145" s="96"/>
      <c r="Z145" s="66"/>
      <c r="AA145" s="92"/>
      <c r="AB145" s="92"/>
      <c r="AC145" s="92"/>
      <c r="AD145" s="92"/>
      <c r="AE145" s="93"/>
      <c r="AF145" s="94"/>
      <c r="AG145" s="93"/>
      <c r="AH145" s="93"/>
      <c r="AI145" s="93"/>
      <c r="AJ145" s="93"/>
      <c r="AK145" s="93"/>
      <c r="AL145" s="93"/>
      <c r="AM145" s="93"/>
      <c r="AN145" s="93"/>
      <c r="AO145" s="66"/>
      <c r="AP145" s="95"/>
      <c r="AQ145" s="96"/>
      <c r="AR145" s="97"/>
      <c r="AS145" s="96"/>
      <c r="AT145" s="96"/>
      <c r="AU145" s="96"/>
      <c r="AV145" s="96"/>
      <c r="AW145" s="96"/>
      <c r="AX145" s="96"/>
    </row>
    <row r="146" spans="1:50">
      <c r="A146" s="92">
        <f>IF(AND(SCHOV!B21&gt;=75,SCHOV!B21&lt;=79),SCHOV!E7*4,0)</f>
        <v>0</v>
      </c>
      <c r="B146" s="92"/>
      <c r="C146" s="92"/>
      <c r="D146" s="92"/>
      <c r="E146" s="93">
        <f>IF(AND(SCHOV!B26&gt;=75,SCHOV!B26&lt;=79),SCHOV!E7*4,0)</f>
        <v>0</v>
      </c>
      <c r="F146" s="94">
        <f>IF(AND(SCHOV!B31&gt;=75,SCHOV!B31&lt;=79),SCHOV!E7*4,0)</f>
        <v>0</v>
      </c>
      <c r="G146" s="93">
        <f>IF(AND(SCHOV!B36&gt;=75,SCHOV!B36&lt;=79),SCHOV!E7*4,0)</f>
        <v>0</v>
      </c>
      <c r="H146" s="93">
        <f>IF(AND(SCHOV!B41&gt;=75,SCHOV!B41&lt;=79),SCHOV!E7*4,0)</f>
        <v>0</v>
      </c>
      <c r="I146" s="93">
        <f>IF(AND(SCHOV!B46&gt;=75,SCHOV!B46&lt;=79),SCHOV!E7*4,0)</f>
        <v>0</v>
      </c>
      <c r="J146" s="93">
        <f>IF(AND(SCHOV!B51&gt;=75,SCHOV!B51&lt;=79),SCHOV!E7*4,0)</f>
        <v>0</v>
      </c>
      <c r="K146" s="93">
        <f>IF(AND(SCHOV!B56&gt;=75,SCHOV!B56&lt;=79),SCHOV!E7*4,0)</f>
        <v>0</v>
      </c>
      <c r="L146" s="93"/>
      <c r="M146" s="93"/>
      <c r="N146" s="93">
        <f>IF(AND(SCHOV!B61&gt;=75,SCHOV!B61&lt;=79),SCHOV!E7*4,0)</f>
        <v>0</v>
      </c>
      <c r="O146" s="66"/>
      <c r="P146" s="95">
        <f>IF(SCHOV!E7*4&gt;SCHOV!E5*80%,SCHOV!E5*80%,A146)</f>
        <v>0</v>
      </c>
      <c r="Q146" s="96">
        <f>IF(SCHOV!E7*4&gt;SCHOV!E5*80%,SCHOV!E5*80%,E146)</f>
        <v>0</v>
      </c>
      <c r="R146" s="97">
        <f>IF(SCHOV!E7*4&gt;SCHOV!E5*80%,SCHOV!E5*80%,F146)</f>
        <v>0</v>
      </c>
      <c r="S146" s="96">
        <f>IF(SCHOV!E7*4&gt;SCHOV!E5*80%,SCHOV!E5*80%,G146)</f>
        <v>0</v>
      </c>
      <c r="T146" s="96">
        <f>IF(SCHOV!E7*4&gt;SCHOV!E5*80%,SCHOV!E5*80%,H146)</f>
        <v>0</v>
      </c>
      <c r="U146" s="96">
        <f>IF(SCHOV!E7*4&gt;SCHOV!E5*80%,SCHOV!E5*80%,I146)</f>
        <v>0</v>
      </c>
      <c r="V146" s="96">
        <f>IF(SCHOV!E7*4&gt;SCHOV!E5*80%,SCHOV!E5*80%,J146)</f>
        <v>0</v>
      </c>
      <c r="W146" s="96">
        <f>IF(SCHOV!E7*4&gt;SCHOV!E5*80%,SCHOV!E5*80%,K146)</f>
        <v>0</v>
      </c>
      <c r="X146" s="96">
        <f>IF(SCHOV!E7*4&gt;SCHOV!E5*80%,SCHOV!E5*80%,N146)</f>
        <v>0</v>
      </c>
      <c r="Y146" s="96"/>
      <c r="Z146" s="66"/>
      <c r="AA146" s="92">
        <f>IF(AND(SCHOV!B23&gt;=75,SCHOV!B23&lt;=79),SCHOV!E7*4,0)</f>
        <v>0</v>
      </c>
      <c r="AB146" s="92"/>
      <c r="AC146" s="92"/>
      <c r="AD146" s="92"/>
      <c r="AE146" s="93">
        <f>IF(AND(SCHOV!B28&gt;=75,SCHOV!B28&lt;=79),SCHOV!E7*4,0)</f>
        <v>0</v>
      </c>
      <c r="AF146" s="94">
        <f>IF(AND(SCHOV!B33&gt;=75,SCHOV!B33&lt;=79),SCHOV!E7*4,0)</f>
        <v>0</v>
      </c>
      <c r="AG146" s="93">
        <f>IF(AND(SCHOV!B38&gt;=75,SCHOV!B38&lt;=79),SCHOV!E7*4,0)</f>
        <v>0</v>
      </c>
      <c r="AH146" s="93">
        <f>IF(AND(SCHOV!B43&gt;=75,SCHOV!B43&lt;=79),SCHOV!E7*4,0)</f>
        <v>0</v>
      </c>
      <c r="AI146" s="93">
        <f>IF(AND(SCHOV!B48&gt;=75,SCHOV!B48&lt;=79),SCHOV!E7*4,0)</f>
        <v>0</v>
      </c>
      <c r="AJ146" s="93">
        <f>IF(AND(SCHOV!B53&gt;=75,SCHOV!B53&lt;=79),SCHOV!E7*4,0)</f>
        <v>0</v>
      </c>
      <c r="AK146" s="93">
        <f>IF(AND(SCHOV!B58&gt;=75,SCHOV!B58&lt;=79),SCHOV!E7*4,0)</f>
        <v>0</v>
      </c>
      <c r="AL146" s="93"/>
      <c r="AM146" s="93"/>
      <c r="AN146" s="93">
        <f>IF(AND(SCHOV!B63&gt;=75,SCHOV!B63&lt;=79),SCHOV!E7*4,0)</f>
        <v>0</v>
      </c>
      <c r="AO146" s="66"/>
      <c r="AP146" s="95">
        <f>IF(SCHOV!E7*4&gt;SCHOV!E5*80%,SCHOV!E5*80%,AA146)</f>
        <v>0</v>
      </c>
      <c r="AQ146" s="96">
        <f>IF(SCHOV!E7*4&gt;SCHOV!E5*80%,SCHOV!E5*80%,AE146)</f>
        <v>0</v>
      </c>
      <c r="AR146" s="97">
        <f>IF(SCHOV!E7*4&gt;SCHOV!E5*80%,SCHOV!E5*80%,AF146)</f>
        <v>0</v>
      </c>
      <c r="AS146" s="96">
        <f>IF(SCHOV!E7*4&gt;SCHOV!E5*80%,SCHOV!E5*80%,AG146)</f>
        <v>0</v>
      </c>
      <c r="AT146" s="96">
        <f>IF(SCHOV!E7*4&gt;SCHOV!E5*80%,SCHOV!E5*80%,AH146)</f>
        <v>0</v>
      </c>
      <c r="AU146" s="96">
        <f>IF(SCHOV!E7*4&gt;SCHOV!E5*80%,SCHOV!E5*80%,AI146)</f>
        <v>0</v>
      </c>
      <c r="AV146" s="96">
        <f>IF(SCHOV!E7*4&gt;SCHOV!E5*80%,SCHOV!E5*80%,AJ146)</f>
        <v>0</v>
      </c>
      <c r="AW146" s="96">
        <f>IF(SCHOV!E7*4&gt;SCHOV!E5*80%,SCHOV!E5*80%,AK146)</f>
        <v>0</v>
      </c>
      <c r="AX146" s="96">
        <f>IF(SCHOV!E7*4&gt;SCHOV!E5*80%,SCHOV!E5*80%,AN146)</f>
        <v>0</v>
      </c>
    </row>
    <row r="147" spans="1:50">
      <c r="A147" s="92"/>
      <c r="B147" s="92"/>
      <c r="C147" s="92"/>
      <c r="D147" s="92"/>
      <c r="E147" s="93"/>
      <c r="F147" s="94"/>
      <c r="G147" s="93"/>
      <c r="H147" s="93"/>
      <c r="I147" s="93"/>
      <c r="J147" s="93"/>
      <c r="K147" s="93"/>
      <c r="L147" s="93"/>
      <c r="M147" s="93"/>
      <c r="N147" s="93"/>
      <c r="O147" s="66"/>
      <c r="P147" s="95"/>
      <c r="Q147" s="96"/>
      <c r="R147" s="97"/>
      <c r="S147" s="96"/>
      <c r="T147" s="96"/>
      <c r="U147" s="96"/>
      <c r="V147" s="96"/>
      <c r="W147" s="96"/>
      <c r="X147" s="96"/>
      <c r="Y147" s="96"/>
      <c r="Z147" s="66"/>
      <c r="AA147" s="92"/>
      <c r="AB147" s="92"/>
      <c r="AC147" s="92"/>
      <c r="AD147" s="92"/>
      <c r="AE147" s="93"/>
      <c r="AF147" s="94"/>
      <c r="AG147" s="93"/>
      <c r="AH147" s="93"/>
      <c r="AI147" s="93"/>
      <c r="AJ147" s="93"/>
      <c r="AK147" s="93"/>
      <c r="AL147" s="93"/>
      <c r="AM147" s="93"/>
      <c r="AN147" s="93"/>
      <c r="AO147" s="66"/>
      <c r="AP147" s="95"/>
      <c r="AQ147" s="96"/>
      <c r="AR147" s="97"/>
      <c r="AS147" s="96"/>
      <c r="AT147" s="96"/>
      <c r="AU147" s="96"/>
      <c r="AV147" s="96"/>
      <c r="AW147" s="96"/>
      <c r="AX147" s="96"/>
    </row>
    <row r="148" spans="1:50">
      <c r="A148" s="92">
        <f>IF(SCHOV!B21&gt;=80,SCHOV!E7*2,0)</f>
        <v>0</v>
      </c>
      <c r="B148" s="92"/>
      <c r="C148" s="92"/>
      <c r="D148" s="92"/>
      <c r="E148" s="93">
        <f>IF(SCHOV!B26&gt;=80,SCHOV!E7*2,0)</f>
        <v>0</v>
      </c>
      <c r="F148" s="94">
        <f>IF(SCHOV!B31&gt;=80,SCHOV!E7*2,0)</f>
        <v>0</v>
      </c>
      <c r="G148" s="93">
        <f>IF(SCHOV!B36&gt;=80,SCHOV!E7*2,0)</f>
        <v>0</v>
      </c>
      <c r="H148" s="93">
        <f>IF(SCHOV!B41&gt;=80,SCHOV!E7*2,0)</f>
        <v>0</v>
      </c>
      <c r="I148" s="93">
        <f>IF(SCHOV!B46&gt;=80,SCHOV!E7*2,0)</f>
        <v>0</v>
      </c>
      <c r="J148" s="93">
        <f>IF(SCHOV!B51&gt;=80,SCHOV!E7*2,0)</f>
        <v>0</v>
      </c>
      <c r="K148" s="93">
        <f>IF(SCHOV!B56&gt;=80,SCHOV!E7*2,0)</f>
        <v>0</v>
      </c>
      <c r="L148" s="93"/>
      <c r="M148" s="93"/>
      <c r="N148" s="93">
        <f>IF(SCHOV!B61&gt;=80,SCHOV!E7*2,0)</f>
        <v>0</v>
      </c>
      <c r="O148" s="66"/>
      <c r="P148" s="95">
        <f>IF(SCHOV!E7*2&gt;SCHOV!E5*80%,SCHOV!E5*80%,A148)</f>
        <v>0</v>
      </c>
      <c r="Q148" s="96">
        <f>IF(SCHOV!E7*2&gt;SCHOV!E5*80%,SCHOV!E5*80%,E148)</f>
        <v>0</v>
      </c>
      <c r="R148" s="97">
        <f>IF(SCHOV!E7*2&gt;SCHOV!E5*80%,SCHOV!E5*80%,F148)</f>
        <v>0</v>
      </c>
      <c r="S148" s="96">
        <f>IF(SCHOV!E7*2&gt;SCHOV!E5*80%,SCHOV!E5*80%,G148)</f>
        <v>0</v>
      </c>
      <c r="T148" s="96">
        <f>IF(SCHOV!E7*2&gt;SCHOV!E5*80%,SCHOV!E5*80%,H148)</f>
        <v>0</v>
      </c>
      <c r="U148" s="96">
        <f>IF(SCHOV!E7*2&gt;SCHOV!E5*80%,SCHOV!E5*80%,I148)</f>
        <v>0</v>
      </c>
      <c r="V148" s="96">
        <f>IF(SCHOV!E7*2&gt;SCHOV!E5*80%,SCHOV!E5*80%,J148)</f>
        <v>0</v>
      </c>
      <c r="W148" s="96">
        <f>IF(SCHOV!E7*2&gt;SCHOV!E5*80%,SCHOV!E5*80%,K148)</f>
        <v>0</v>
      </c>
      <c r="X148" s="96">
        <f>IF(SCHOV!E7*2&gt;SCHOV!E5*80%,SCHOV!E5*80%,N148)</f>
        <v>0</v>
      </c>
      <c r="Y148" s="96"/>
      <c r="Z148" s="66"/>
      <c r="AA148" s="92">
        <f>IF(SCHOV!B23&gt;=80,SCHOV!E7*2,0)</f>
        <v>0</v>
      </c>
      <c r="AB148" s="92"/>
      <c r="AC148" s="92"/>
      <c r="AD148" s="92"/>
      <c r="AE148" s="93">
        <f>IF(SCHOV!B28&gt;=80,SCHOV!E7*2,0)</f>
        <v>0</v>
      </c>
      <c r="AF148" s="94">
        <f>IF(SCHOV!B33&gt;=80,SCHOV!E7*2,0)</f>
        <v>0</v>
      </c>
      <c r="AG148" s="93">
        <f>IF(SCHOV!B38&gt;=80,SCHOV!E7*2,0)</f>
        <v>0</v>
      </c>
      <c r="AH148" s="93">
        <f>IF(SCHOV!B43&gt;=80,SCHOV!E7*2,0)</f>
        <v>0</v>
      </c>
      <c r="AI148" s="93">
        <f>IF(SCHOV!B48&gt;=80,SCHOV!E7*2,0)</f>
        <v>0</v>
      </c>
      <c r="AJ148" s="93">
        <f>IF(SCHOV!B53&gt;=80,SCHOV!E7*2,0)</f>
        <v>0</v>
      </c>
      <c r="AK148" s="93">
        <f>IF(SCHOV!B58&gt;=80,SCHOV!E7*2,0)</f>
        <v>0</v>
      </c>
      <c r="AL148" s="93"/>
      <c r="AM148" s="93"/>
      <c r="AN148" s="93">
        <f>IF(SCHOV!B63&gt;=80,SCHOV!E7*2,0)</f>
        <v>0</v>
      </c>
      <c r="AO148" s="66"/>
      <c r="AP148" s="95">
        <f>IF(SCHOV!E7*2&gt;SCHOV!E5*80%,SCHOV!E5*80%,AA148)</f>
        <v>0</v>
      </c>
      <c r="AQ148" s="96">
        <f>IF(SCHOV!E7*2&gt;SCHOV!E5*80%,SCHOV!E5*80%,AE148)</f>
        <v>0</v>
      </c>
      <c r="AR148" s="97">
        <f>IF(SCHOV!E7*2&gt;SCHOV!E5*80%,SCHOV!E5*80%,AF148)</f>
        <v>0</v>
      </c>
      <c r="AS148" s="96">
        <f>IF(SCHOV!E7*2&gt;SCHOV!E5*80%,SCHOV!E5*80%,AG148)</f>
        <v>0</v>
      </c>
      <c r="AT148" s="96">
        <f>IF(SCHOV!E7*2&gt;SCHOV!E5*80%,SCHOV!E5*80%,AH148)</f>
        <v>0</v>
      </c>
      <c r="AU148" s="96">
        <f>IF(SCHOV!E7*2&gt;SCHOV!E5*80%,SCHOV!E5*80%,AI148)</f>
        <v>0</v>
      </c>
      <c r="AV148" s="96">
        <f>IF(SCHOV!E7*2&gt;SCHOV!E5*80%,SCHOV!E5*80%,AJ148)</f>
        <v>0</v>
      </c>
      <c r="AW148" s="96">
        <f>IF(SCHOV!E7*2&gt;SCHOV!E5*80%,SCHOV!E5*80%,AK148)</f>
        <v>0</v>
      </c>
      <c r="AX148" s="96">
        <f>IF(SCHOV!E7*2&gt;SCHOV!E5*80%,SCHOV!E5*80%,AN148)</f>
        <v>0</v>
      </c>
    </row>
    <row r="149" spans="1:50" ht="13.5" thickBot="1">
      <c r="A149" s="92"/>
      <c r="B149" s="92"/>
      <c r="C149" s="92"/>
      <c r="D149" s="92"/>
      <c r="E149" s="93"/>
      <c r="F149" s="94"/>
      <c r="G149" s="93"/>
      <c r="H149" s="93"/>
      <c r="I149" s="93"/>
      <c r="J149" s="93"/>
      <c r="K149" s="93"/>
      <c r="L149" s="93"/>
      <c r="M149" s="93"/>
      <c r="N149" s="93"/>
      <c r="O149" s="66"/>
      <c r="P149" s="86"/>
      <c r="Q149" s="66"/>
      <c r="R149" s="91"/>
      <c r="S149" s="66"/>
      <c r="T149" s="66"/>
      <c r="U149" s="66"/>
      <c r="V149" s="66"/>
      <c r="W149" s="66"/>
      <c r="X149" s="66"/>
      <c r="Y149" s="66"/>
      <c r="Z149" s="66"/>
      <c r="AA149" s="92"/>
      <c r="AB149" s="92"/>
      <c r="AC149" s="92"/>
      <c r="AD149" s="92"/>
      <c r="AE149" s="93"/>
      <c r="AF149" s="94"/>
      <c r="AG149" s="93"/>
      <c r="AH149" s="93"/>
      <c r="AI149" s="93"/>
      <c r="AJ149" s="93"/>
      <c r="AK149" s="93"/>
      <c r="AL149" s="93"/>
      <c r="AM149" s="93"/>
      <c r="AN149" s="93"/>
      <c r="AO149" s="66"/>
      <c r="AP149" s="86"/>
      <c r="AQ149" s="66"/>
      <c r="AR149" s="91"/>
      <c r="AS149" s="66"/>
      <c r="AT149" s="66"/>
      <c r="AU149" s="66"/>
      <c r="AV149" s="66"/>
      <c r="AW149" s="66"/>
      <c r="AX149" s="66"/>
    </row>
    <row r="150" spans="1:50" ht="13.5" thickBot="1">
      <c r="A150" s="98">
        <f t="shared" ref="A150:I150" si="0">SUM(A128:A148)</f>
        <v>0</v>
      </c>
      <c r="B150" s="98"/>
      <c r="C150" s="98"/>
      <c r="D150" s="98"/>
      <c r="E150" s="99">
        <f t="shared" si="0"/>
        <v>0</v>
      </c>
      <c r="F150" s="100">
        <f t="shared" si="0"/>
        <v>0</v>
      </c>
      <c r="G150" s="99">
        <f t="shared" si="0"/>
        <v>0</v>
      </c>
      <c r="H150" s="99">
        <f t="shared" si="0"/>
        <v>0</v>
      </c>
      <c r="I150" s="99">
        <f t="shared" si="0"/>
        <v>0</v>
      </c>
      <c r="J150" s="99">
        <f>SUM(I128:I148)</f>
        <v>0</v>
      </c>
      <c r="K150" s="99">
        <f>SUM(K128:K148)</f>
        <v>0</v>
      </c>
      <c r="L150" s="99"/>
      <c r="M150" s="99"/>
      <c r="N150" s="99">
        <f>SUM(N128:N148)</f>
        <v>0</v>
      </c>
      <c r="O150" s="66"/>
      <c r="P150" s="86"/>
      <c r="Q150" s="66"/>
      <c r="R150" s="91"/>
      <c r="S150" s="66"/>
      <c r="T150" s="66"/>
      <c r="U150" s="66"/>
      <c r="V150" s="66"/>
      <c r="W150" s="66"/>
      <c r="X150" s="66"/>
      <c r="Y150" s="66"/>
      <c r="Z150" s="66"/>
      <c r="AA150" s="98">
        <f>SUM(AA128:AA148)</f>
        <v>0</v>
      </c>
      <c r="AB150" s="98"/>
      <c r="AC150" s="98"/>
      <c r="AD150" s="98"/>
      <c r="AE150" s="99">
        <f>SUM(AE128:AE148)</f>
        <v>0</v>
      </c>
      <c r="AF150" s="100">
        <f>SUM(AF128:AF148)</f>
        <v>0</v>
      </c>
      <c r="AG150" s="99">
        <f>SUM(AG128:AG148)</f>
        <v>0</v>
      </c>
      <c r="AH150" s="99">
        <f>SUM(AH128:AH148)</f>
        <v>0</v>
      </c>
      <c r="AI150" s="99">
        <f>SUM(AI128:AI148)</f>
        <v>0</v>
      </c>
      <c r="AJ150" s="99">
        <f>SUM(AI128:AI148)</f>
        <v>0</v>
      </c>
      <c r="AK150" s="99">
        <f>SUM(AK128:AK148)</f>
        <v>0</v>
      </c>
      <c r="AL150" s="99"/>
      <c r="AM150" s="99"/>
      <c r="AN150" s="99">
        <f>SUM(AN128:AN148)</f>
        <v>0</v>
      </c>
      <c r="AO150" s="66"/>
      <c r="AP150" s="86"/>
      <c r="AQ150" s="66"/>
      <c r="AR150" s="91"/>
      <c r="AS150" s="66"/>
      <c r="AT150" s="66"/>
      <c r="AU150" s="66"/>
      <c r="AV150" s="66"/>
      <c r="AW150" s="66"/>
      <c r="AX150" s="66"/>
    </row>
    <row r="151" spans="1:50">
      <c r="A151" s="86"/>
      <c r="B151" s="86"/>
      <c r="C151" s="86"/>
      <c r="D151" s="86"/>
      <c r="E151" s="66"/>
      <c r="F151" s="91"/>
      <c r="G151" s="66"/>
      <c r="H151" s="66"/>
      <c r="I151" s="66"/>
      <c r="J151" s="66"/>
      <c r="K151" s="66"/>
      <c r="L151" s="66"/>
      <c r="M151" s="66"/>
      <c r="N151" s="66"/>
      <c r="O151" s="66"/>
      <c r="P151" s="86"/>
      <c r="Q151" s="66"/>
      <c r="R151" s="91"/>
      <c r="S151" s="66"/>
      <c r="T151" s="66"/>
      <c r="U151" s="66"/>
      <c r="V151" s="66"/>
      <c r="W151" s="66"/>
      <c r="X151" s="66"/>
      <c r="Y151" s="66"/>
      <c r="Z151" s="66"/>
      <c r="AA151" s="66"/>
      <c r="AB151" s="66"/>
      <c r="AC151" s="66"/>
      <c r="AD151" s="66"/>
      <c r="AE151" s="66"/>
      <c r="AF151" s="66"/>
      <c r="AG151" s="66"/>
      <c r="AH151" s="66"/>
      <c r="AI151" s="66"/>
      <c r="AJ151" s="66"/>
      <c r="AK151" s="66"/>
      <c r="AL151" s="66"/>
      <c r="AM151" s="66"/>
      <c r="AN151" s="66"/>
      <c r="AO151" s="66"/>
      <c r="AP151" s="66"/>
      <c r="AQ151" s="66"/>
      <c r="AR151" s="66"/>
      <c r="AS151" s="66"/>
      <c r="AT151" s="66"/>
      <c r="AU151" s="66"/>
      <c r="AV151" s="66"/>
      <c r="AW151" s="66"/>
      <c r="AX151" s="66"/>
    </row>
    <row r="152" spans="1:50">
      <c r="A152" s="86">
        <f>SUM(A150:N150)</f>
        <v>0</v>
      </c>
      <c r="B152" s="86"/>
      <c r="C152" s="86"/>
      <c r="D152" s="86"/>
      <c r="E152" s="66"/>
      <c r="F152" s="91"/>
      <c r="G152" s="66"/>
      <c r="H152" s="66"/>
      <c r="I152" s="66"/>
      <c r="J152" s="66"/>
      <c r="K152" s="66"/>
      <c r="L152" s="66"/>
      <c r="M152" s="66"/>
      <c r="N152" s="66"/>
      <c r="O152" s="66"/>
      <c r="P152" s="86"/>
      <c r="Q152" s="66"/>
      <c r="R152" s="91"/>
      <c r="S152" s="66"/>
      <c r="T152" s="66"/>
      <c r="U152" s="66"/>
      <c r="V152" s="66"/>
      <c r="W152" s="66"/>
      <c r="X152" s="66"/>
      <c r="Y152" s="66"/>
      <c r="Z152" s="66"/>
      <c r="AA152" s="66"/>
      <c r="AB152" s="66"/>
      <c r="AC152" s="66"/>
      <c r="AD152" s="66"/>
      <c r="AE152" s="66"/>
      <c r="AF152" s="66"/>
      <c r="AG152" s="66"/>
      <c r="AH152" s="66"/>
      <c r="AI152" s="66"/>
      <c r="AJ152" s="66"/>
      <c r="AK152" s="66"/>
      <c r="AL152" s="66"/>
      <c r="AM152" s="66"/>
      <c r="AN152" s="66"/>
      <c r="AO152" s="66"/>
      <c r="AP152" s="66"/>
      <c r="AQ152" s="66"/>
      <c r="AR152" s="66"/>
      <c r="AS152" s="66"/>
      <c r="AT152" s="66"/>
      <c r="AU152" s="66"/>
      <c r="AV152" s="66"/>
      <c r="AW152" s="66"/>
      <c r="AX152" s="66"/>
    </row>
    <row r="153" spans="1:50">
      <c r="A153" s="86"/>
      <c r="B153" s="86"/>
      <c r="C153" s="86"/>
      <c r="D153" s="86"/>
      <c r="E153" s="66"/>
      <c r="F153" s="91"/>
      <c r="G153" s="66"/>
      <c r="H153" s="66"/>
      <c r="I153" s="66"/>
      <c r="J153" s="66"/>
      <c r="K153" s="66"/>
      <c r="L153" s="66"/>
      <c r="M153" s="66"/>
      <c r="N153" s="66"/>
      <c r="O153" s="66"/>
      <c r="P153" s="66"/>
      <c r="Q153" s="66"/>
      <c r="R153" s="66"/>
      <c r="S153" s="66"/>
      <c r="T153" s="66"/>
      <c r="U153" s="66"/>
      <c r="V153" s="66"/>
      <c r="W153" s="66"/>
      <c r="X153" s="66"/>
      <c r="Y153" s="66"/>
      <c r="Z153" s="66"/>
      <c r="AA153" s="66"/>
      <c r="AB153" s="66"/>
      <c r="AC153" s="66"/>
      <c r="AD153" s="66"/>
      <c r="AE153" s="66"/>
      <c r="AF153" s="66"/>
      <c r="AG153" s="66"/>
      <c r="AH153" s="66"/>
      <c r="AI153" s="66"/>
      <c r="AJ153" s="66"/>
      <c r="AK153" s="66"/>
      <c r="AL153" s="66"/>
      <c r="AM153" s="66"/>
      <c r="AN153" s="66"/>
      <c r="AO153" s="66"/>
      <c r="AP153" s="66"/>
      <c r="AQ153" s="66"/>
      <c r="AR153" s="66"/>
      <c r="AS153" s="66"/>
      <c r="AT153" s="66"/>
      <c r="AU153" s="66"/>
      <c r="AV153" s="66"/>
      <c r="AW153" s="66"/>
      <c r="AX153" s="66"/>
    </row>
    <row r="154" spans="1:50">
      <c r="A154" s="86"/>
      <c r="B154" s="86"/>
      <c r="C154" s="86"/>
      <c r="D154" s="86"/>
      <c r="E154" s="66"/>
      <c r="F154" s="91"/>
      <c r="G154" s="66"/>
      <c r="H154" s="66"/>
      <c r="I154" s="66"/>
      <c r="J154" s="66"/>
      <c r="K154" s="66"/>
      <c r="L154" s="66"/>
      <c r="M154" s="66"/>
      <c r="N154" s="66"/>
      <c r="O154" s="66"/>
      <c r="P154" s="66"/>
      <c r="Q154" s="66"/>
      <c r="R154" s="66"/>
      <c r="S154" s="66"/>
      <c r="T154" s="66"/>
      <c r="U154" s="66"/>
      <c r="V154" s="66"/>
      <c r="W154" s="66"/>
      <c r="X154" s="66"/>
      <c r="Y154" s="66"/>
      <c r="Z154" s="66"/>
      <c r="AA154" s="66"/>
      <c r="AB154" s="66"/>
      <c r="AC154" s="66"/>
      <c r="AD154" s="66"/>
      <c r="AE154" s="66"/>
      <c r="AF154" s="66"/>
      <c r="AG154" s="66"/>
      <c r="AH154" s="66"/>
      <c r="AI154" s="66"/>
      <c r="AJ154" s="66"/>
      <c r="AK154" s="66"/>
      <c r="AL154" s="66"/>
      <c r="AM154" s="66"/>
      <c r="AN154" s="66"/>
      <c r="AO154" s="66"/>
      <c r="AP154" s="66"/>
      <c r="AQ154" s="66"/>
      <c r="AR154" s="66"/>
      <c r="AS154" s="66"/>
      <c r="AT154" s="66"/>
      <c r="AU154" s="66"/>
      <c r="AV154" s="66"/>
      <c r="AW154" s="66"/>
      <c r="AX154" s="66"/>
    </row>
    <row r="155" spans="1:50">
      <c r="A155" s="66"/>
      <c r="B155" s="66"/>
      <c r="C155" s="66"/>
      <c r="D155" s="66"/>
      <c r="E155" s="66"/>
      <c r="F155" s="91"/>
      <c r="G155" s="66"/>
      <c r="H155" s="66"/>
      <c r="I155" s="66"/>
      <c r="J155" s="66"/>
      <c r="K155" s="66"/>
      <c r="L155" s="66"/>
      <c r="M155" s="66"/>
      <c r="N155" s="66"/>
      <c r="O155" s="66"/>
      <c r="P155" s="66"/>
      <c r="Q155" s="66"/>
      <c r="R155" s="66"/>
      <c r="S155" s="66"/>
      <c r="T155" s="66"/>
      <c r="U155" s="66"/>
      <c r="V155" s="66"/>
      <c r="W155" s="66"/>
      <c r="X155" s="66"/>
      <c r="Y155" s="66"/>
      <c r="Z155" s="66"/>
      <c r="AA155" s="66"/>
      <c r="AB155" s="66"/>
      <c r="AC155" s="66"/>
      <c r="AD155" s="66"/>
      <c r="AE155" s="66"/>
      <c r="AF155" s="66"/>
      <c r="AG155" s="66"/>
      <c r="AH155" s="66"/>
      <c r="AI155" s="66"/>
      <c r="AJ155" s="66"/>
      <c r="AK155" s="66"/>
      <c r="AL155" s="66"/>
      <c r="AM155" s="66"/>
      <c r="AN155" s="66"/>
      <c r="AO155" s="66"/>
      <c r="AP155" s="66"/>
      <c r="AQ155" s="66"/>
      <c r="AR155" s="66"/>
      <c r="AS155" s="66"/>
      <c r="AT155" s="66"/>
      <c r="AU155" s="66"/>
      <c r="AV155" s="66"/>
      <c r="AW155" s="66"/>
      <c r="AX155" s="66"/>
    </row>
    <row r="156" spans="1:50">
      <c r="A156" s="68"/>
      <c r="B156" s="68"/>
      <c r="C156" s="68"/>
      <c r="D156" s="68"/>
      <c r="E156" s="68"/>
      <c r="F156" s="89"/>
      <c r="G156" s="68"/>
      <c r="H156" s="68"/>
      <c r="I156" s="68"/>
      <c r="J156" s="68"/>
      <c r="K156" s="68"/>
      <c r="L156" s="68"/>
      <c r="M156" s="68"/>
      <c r="N156" s="68"/>
      <c r="O156" s="68"/>
      <c r="P156" s="66"/>
      <c r="Q156" s="66"/>
      <c r="R156" s="66"/>
      <c r="S156" s="66"/>
      <c r="T156" s="66"/>
      <c r="U156" s="66"/>
      <c r="V156" s="66"/>
      <c r="W156" s="66"/>
      <c r="X156" s="66"/>
      <c r="Y156" s="66"/>
      <c r="Z156" s="66"/>
      <c r="AA156" s="66"/>
      <c r="AB156" s="66"/>
      <c r="AC156" s="66"/>
      <c r="AD156" s="66"/>
      <c r="AE156" s="66"/>
      <c r="AF156" s="66"/>
      <c r="AG156" s="66"/>
      <c r="AH156" s="66"/>
      <c r="AI156" s="66"/>
      <c r="AJ156" s="66"/>
      <c r="AK156" s="66"/>
      <c r="AL156" s="66"/>
      <c r="AM156" s="66"/>
      <c r="AN156" s="66"/>
      <c r="AO156" s="66"/>
      <c r="AP156" s="66"/>
      <c r="AQ156" s="66"/>
      <c r="AR156" s="66"/>
      <c r="AS156" s="66"/>
      <c r="AT156" s="66"/>
      <c r="AU156" s="66"/>
      <c r="AV156" s="66"/>
      <c r="AW156" s="66"/>
      <c r="AX156" s="66"/>
    </row>
    <row r="157" spans="1:50">
      <c r="A157" s="68"/>
      <c r="B157" s="68"/>
      <c r="C157" s="68"/>
      <c r="D157" s="68"/>
      <c r="E157" s="68"/>
      <c r="F157" s="68"/>
      <c r="G157" s="68"/>
      <c r="H157" s="68"/>
      <c r="I157" s="68"/>
      <c r="J157" s="68"/>
      <c r="K157" s="68"/>
      <c r="L157" s="68"/>
      <c r="M157" s="68"/>
      <c r="N157" s="68"/>
      <c r="O157" s="68"/>
      <c r="P157" s="101">
        <f>IF(SCHOV!B21&lt;20,P128,0)</f>
        <v>0</v>
      </c>
      <c r="Q157" s="102">
        <f>IF(SCHOV!B26&lt;20,Q128,0)</f>
        <v>0</v>
      </c>
      <c r="R157" s="103">
        <f>IF(SCHOV!B31&lt;20,R128,0)</f>
        <v>0</v>
      </c>
      <c r="S157" s="102">
        <f>IF(SCHOV!B36&lt;20,S128,0)</f>
        <v>0</v>
      </c>
      <c r="T157" s="102">
        <f>IF(SCHOV!B41&lt;20,T128,0)</f>
        <v>0</v>
      </c>
      <c r="U157" s="102">
        <f>IF(SCHOV!B46&lt;20,U128,0)</f>
        <v>0</v>
      </c>
      <c r="V157" s="102">
        <f>IF(SCHOV!B51&lt;20,V128,0)</f>
        <v>0</v>
      </c>
      <c r="W157" s="102">
        <f>IF(SCHOV!B56&lt;20,W128,0)</f>
        <v>0</v>
      </c>
      <c r="X157" s="102">
        <f>IF(SCHOV!B61&lt;20,X128,0)</f>
        <v>0</v>
      </c>
      <c r="Y157" s="66"/>
      <c r="Z157" s="66"/>
      <c r="AA157" s="66"/>
      <c r="AB157" s="66"/>
      <c r="AC157" s="66"/>
      <c r="AD157" s="66"/>
      <c r="AE157" s="66"/>
      <c r="AF157" s="66"/>
      <c r="AG157" s="66"/>
      <c r="AH157" s="66"/>
      <c r="AI157" s="66"/>
      <c r="AJ157" s="66"/>
      <c r="AK157" s="66"/>
      <c r="AL157" s="66"/>
      <c r="AM157" s="66"/>
      <c r="AN157" s="66"/>
      <c r="AO157" s="66"/>
      <c r="AP157" s="101">
        <f>IF(SCHOV!B23&lt;20,AP128,0)</f>
        <v>0</v>
      </c>
      <c r="AQ157" s="102">
        <f>IF(SCHOV!B28&lt;20,AQ128,0)</f>
        <v>0</v>
      </c>
      <c r="AR157" s="103">
        <f>IF(SCHOV!B33&lt;20,AR128,0)</f>
        <v>0</v>
      </c>
      <c r="AS157" s="102">
        <f>IF(SCHOV!B38&lt;20,AS128,0)</f>
        <v>0</v>
      </c>
      <c r="AT157" s="102">
        <f>IF(SCHOV!B43&lt;20,AT128,0)</f>
        <v>0</v>
      </c>
      <c r="AU157" s="102">
        <f>IF(SCHOV!B48&lt;20,AU128,0)</f>
        <v>0</v>
      </c>
      <c r="AV157" s="102">
        <f>IF(SCHOV!B53&lt;20,AV128,0)</f>
        <v>0</v>
      </c>
      <c r="AW157" s="102">
        <f>IF(SCHOV!B58&lt;20,AW128,0)</f>
        <v>0</v>
      </c>
      <c r="AX157" s="102">
        <f>IF(SCHOV!B63&lt;20,AX128,0)</f>
        <v>0</v>
      </c>
    </row>
    <row r="158" spans="1:50">
      <c r="A158" s="68"/>
      <c r="B158" s="68"/>
      <c r="C158" s="68"/>
      <c r="D158" s="68"/>
      <c r="E158" s="68"/>
      <c r="F158" s="89"/>
      <c r="G158" s="68"/>
      <c r="H158" s="68"/>
      <c r="I158" s="68"/>
      <c r="J158" s="68"/>
      <c r="K158" s="68"/>
      <c r="L158" s="68"/>
      <c r="M158" s="68"/>
      <c r="N158" s="68"/>
      <c r="O158" s="68"/>
      <c r="P158" s="101"/>
      <c r="Q158" s="102"/>
      <c r="R158" s="103"/>
      <c r="S158" s="102"/>
      <c r="T158" s="102"/>
      <c r="U158" s="102"/>
      <c r="V158" s="102"/>
      <c r="W158" s="102"/>
      <c r="X158" s="102"/>
      <c r="Y158" s="66"/>
      <c r="Z158" s="66"/>
      <c r="AA158" s="66"/>
      <c r="AB158" s="66"/>
      <c r="AC158" s="66"/>
      <c r="AD158" s="66"/>
      <c r="AE158" s="66"/>
      <c r="AF158" s="66"/>
      <c r="AG158" s="66"/>
      <c r="AH158" s="66"/>
      <c r="AI158" s="66"/>
      <c r="AJ158" s="66"/>
      <c r="AK158" s="66"/>
      <c r="AL158" s="66"/>
      <c r="AM158" s="66"/>
      <c r="AN158" s="66"/>
      <c r="AO158" s="66"/>
      <c r="AP158" s="101"/>
      <c r="AQ158" s="102"/>
      <c r="AR158" s="103"/>
      <c r="AS158" s="102"/>
      <c r="AT158" s="102"/>
      <c r="AU158" s="102"/>
      <c r="AV158" s="102"/>
      <c r="AW158" s="102"/>
      <c r="AX158" s="102"/>
    </row>
    <row r="159" spans="1:50">
      <c r="A159" s="68"/>
      <c r="B159" s="68"/>
      <c r="C159" s="68"/>
      <c r="D159" s="68"/>
      <c r="E159" s="68"/>
      <c r="F159" s="89"/>
      <c r="G159" s="68"/>
      <c r="H159" s="68"/>
      <c r="I159" s="68"/>
      <c r="J159" s="68"/>
      <c r="K159" s="68"/>
      <c r="L159" s="68"/>
      <c r="M159" s="68"/>
      <c r="N159" s="68"/>
      <c r="O159" s="68"/>
      <c r="P159" s="101">
        <f>IF(AND(SCHOV!B21&gt;=20,SCHOV!B21&lt;=29),P130,0)</f>
        <v>0</v>
      </c>
      <c r="Q159" s="102">
        <f>IF(AND(SCHOV!B26&gt;=20,SCHOV!B26&lt;=29),Q130,0)</f>
        <v>0</v>
      </c>
      <c r="R159" s="103">
        <f>IF(AND(SCHOV!B31&gt;=20,SCHOV!B31&lt;=29),R130,0)</f>
        <v>0</v>
      </c>
      <c r="S159" s="102">
        <f>IF(AND(SCHOV!B36&gt;=20,SCHOV!B36&lt;=29),S130,0)</f>
        <v>0</v>
      </c>
      <c r="T159" s="102">
        <f>IF(AND(SCHOV!B41&gt;=20,SCHOV!B41&lt;=29),T130,0)</f>
        <v>0</v>
      </c>
      <c r="U159" s="102">
        <f>IF(AND(SCHOV!B46&gt;=20,SCHOV!B46&lt;=29),U130,0)</f>
        <v>0</v>
      </c>
      <c r="V159" s="102">
        <f>IF(AND(SCHOV!B51&gt;=20,SCHOV!B51&lt;=29),V130,0)</f>
        <v>0</v>
      </c>
      <c r="W159" s="102">
        <f>IF(AND(SCHOV!B56&gt;=20,SCHOV!B56&lt;=29),W130,0)</f>
        <v>0</v>
      </c>
      <c r="X159" s="102">
        <f>IF(AND(SCHOV!B61&gt;=20,SCHOV!B61&lt;=29),X130,0)</f>
        <v>0</v>
      </c>
      <c r="Y159" s="66"/>
      <c r="Z159" s="66"/>
      <c r="AA159" s="66"/>
      <c r="AB159" s="66"/>
      <c r="AC159" s="66"/>
      <c r="AD159" s="66"/>
      <c r="AE159" s="66"/>
      <c r="AF159" s="66"/>
      <c r="AG159" s="66"/>
      <c r="AH159" s="66"/>
      <c r="AI159" s="66"/>
      <c r="AJ159" s="66"/>
      <c r="AK159" s="66"/>
      <c r="AL159" s="66"/>
      <c r="AM159" s="66"/>
      <c r="AN159" s="66"/>
      <c r="AO159" s="66"/>
      <c r="AP159" s="101">
        <f>IF(AND(SCHOV!B23&gt;=20,SCHOV!B23&lt;=29),AP130,0)</f>
        <v>0</v>
      </c>
      <c r="AQ159" s="102">
        <f>IF(AND(SCHOV!B28&gt;=20,SCHOV!B28&lt;=29),AQ130,0)</f>
        <v>0</v>
      </c>
      <c r="AR159" s="103">
        <f>IF(AND(SCHOV!B33&gt;=20,SCHOV!B33&lt;=29),AR130,0)</f>
        <v>0</v>
      </c>
      <c r="AS159" s="102">
        <f>IF(AND(SCHOV!B38&gt;=20,SCHOV!B38&lt;=29),AS130,0)</f>
        <v>0</v>
      </c>
      <c r="AT159" s="102">
        <f>IF(AND(SCHOV!B43&gt;=20,SCHOV!B43&lt;=29),AT130,0)</f>
        <v>0</v>
      </c>
      <c r="AU159" s="102">
        <f>IF(AND(SCHOV!B48&gt;=20,SCHOV!B48&lt;=29),AU130,0)</f>
        <v>0</v>
      </c>
      <c r="AV159" s="102">
        <f>IF(AND(SCHOV!B53&gt;=20,SCHOV!B53&lt;=29),AV130,0)</f>
        <v>0</v>
      </c>
      <c r="AW159" s="102">
        <f>IF(AND(SCHOV!B58&gt;=20,SCHOV!B58&lt;=29),AW130,0)</f>
        <v>0</v>
      </c>
      <c r="AX159" s="102">
        <f>IF(AND(SCHOV!B63&gt;=20,SCHOV!B63&lt;=29),AX130,0)</f>
        <v>0</v>
      </c>
    </row>
    <row r="160" spans="1:50">
      <c r="A160" s="68"/>
      <c r="B160" s="68"/>
      <c r="C160" s="68"/>
      <c r="D160" s="68"/>
      <c r="E160" s="68"/>
      <c r="F160" s="89"/>
      <c r="G160" s="68"/>
      <c r="H160" s="68"/>
      <c r="I160" s="68"/>
      <c r="J160" s="68"/>
      <c r="K160" s="68"/>
      <c r="L160" s="68"/>
      <c r="M160" s="68"/>
      <c r="N160" s="68"/>
      <c r="O160" s="68"/>
      <c r="P160" s="101"/>
      <c r="Q160" s="102"/>
      <c r="R160" s="103"/>
      <c r="S160" s="102"/>
      <c r="T160" s="102"/>
      <c r="U160" s="102"/>
      <c r="V160" s="102"/>
      <c r="W160" s="102"/>
      <c r="X160" s="102"/>
      <c r="Y160" s="66"/>
      <c r="Z160" s="66"/>
      <c r="AA160" s="66"/>
      <c r="AB160" s="66"/>
      <c r="AC160" s="66"/>
      <c r="AD160" s="66"/>
      <c r="AE160" s="66"/>
      <c r="AF160" s="66"/>
      <c r="AG160" s="66"/>
      <c r="AH160" s="66"/>
      <c r="AI160" s="66"/>
      <c r="AJ160" s="66"/>
      <c r="AK160" s="66"/>
      <c r="AL160" s="66"/>
      <c r="AM160" s="66"/>
      <c r="AN160" s="66"/>
      <c r="AO160" s="66"/>
      <c r="AP160" s="101"/>
      <c r="AQ160" s="102"/>
      <c r="AR160" s="103"/>
      <c r="AS160" s="102"/>
      <c r="AT160" s="102"/>
      <c r="AU160" s="102"/>
      <c r="AV160" s="102"/>
      <c r="AW160" s="102"/>
      <c r="AX160" s="102"/>
    </row>
    <row r="161" spans="1:50">
      <c r="A161" s="68"/>
      <c r="B161" s="68"/>
      <c r="C161" s="68"/>
      <c r="D161" s="68"/>
      <c r="E161" s="68"/>
      <c r="F161" s="89"/>
      <c r="G161" s="68"/>
      <c r="H161" s="68"/>
      <c r="I161" s="68"/>
      <c r="J161" s="68"/>
      <c r="K161" s="68"/>
      <c r="L161" s="68"/>
      <c r="M161" s="68"/>
      <c r="N161" s="68"/>
      <c r="O161" s="68"/>
      <c r="P161" s="101">
        <f>IF(AND(SCHOV!B21&gt;=30,SCHOV!B21&lt;=39),P132,0)</f>
        <v>0</v>
      </c>
      <c r="Q161" s="102">
        <f>IF(AND(SCHOV!B26&gt;=30,SCHOV!B26&lt;=39),Q132,0)</f>
        <v>0</v>
      </c>
      <c r="R161" s="103">
        <f>IF(AND(SCHOV!B31&gt;=30,SCHOV!B31&lt;=39),R132,0)</f>
        <v>0</v>
      </c>
      <c r="S161" s="102">
        <f>IF(AND(SCHOV!B36&gt;=30,SCHOV!B36&lt;=39),S132,0)</f>
        <v>0</v>
      </c>
      <c r="T161" s="102">
        <f>IF(AND(SCHOV!B41&gt;=30,SCHOV!B41&lt;=39),T132,0)</f>
        <v>0</v>
      </c>
      <c r="U161" s="102">
        <f>IF(AND(SCHOV!B46&gt;=30,SCHOV!B46&lt;=39),U132,0)</f>
        <v>0</v>
      </c>
      <c r="V161" s="102">
        <f>IF(AND(SCHOV!B51&gt;=30,SCHOV!B51&lt;=39),V132,0)</f>
        <v>0</v>
      </c>
      <c r="W161" s="102">
        <f>IF(AND(SCHOV!B56&gt;=30,SCHOV!B56&lt;=39),W132,0)</f>
        <v>0</v>
      </c>
      <c r="X161" s="102">
        <f>IF(AND(SCHOV!B61&gt;=30,SCHOV!B61&lt;=39),X132,0)</f>
        <v>0</v>
      </c>
      <c r="Y161" s="66"/>
      <c r="Z161" s="66"/>
      <c r="AA161" s="66"/>
      <c r="AB161" s="66"/>
      <c r="AC161" s="66"/>
      <c r="AD161" s="66"/>
      <c r="AE161" s="66"/>
      <c r="AF161" s="66"/>
      <c r="AG161" s="66"/>
      <c r="AH161" s="66"/>
      <c r="AI161" s="66"/>
      <c r="AJ161" s="66"/>
      <c r="AK161" s="66"/>
      <c r="AL161" s="66"/>
      <c r="AM161" s="66"/>
      <c r="AN161" s="66"/>
      <c r="AO161" s="66"/>
      <c r="AP161" s="101">
        <f>IF(AND(SCHOV!B23&gt;=30,SCHOV!B23&lt;=39),AP132,0)</f>
        <v>0</v>
      </c>
      <c r="AQ161" s="102">
        <f>IF(AND(SCHOV!B28&gt;=30,SCHOV!B28&lt;=39),AQ132,0)</f>
        <v>0</v>
      </c>
      <c r="AR161" s="103">
        <f>IF(AND(SCHOV!B33&gt;=30,SCHOV!B33&lt;=39),AR132,0)</f>
        <v>0</v>
      </c>
      <c r="AS161" s="102">
        <f>IF(AND(SCHOV!B38&gt;=30,SCHOV!B38&lt;=39),AS132,0)</f>
        <v>0</v>
      </c>
      <c r="AT161" s="102">
        <f>IF(AND(SCHOV!B43&gt;=30,SCHOV!B43&lt;=39),AT132,0)</f>
        <v>0</v>
      </c>
      <c r="AU161" s="102">
        <f>IF(AND(SCHOV!B48&gt;=30,SCHOV!B48&lt;=39),AU132,0)</f>
        <v>0</v>
      </c>
      <c r="AV161" s="102">
        <f>IF(AND(SCHOV!B53&gt;=30,SCHOV!B53&lt;=39),AV132,0)</f>
        <v>0</v>
      </c>
      <c r="AW161" s="102">
        <f>IF(AND(SCHOV!B58&gt;=30,SCHOV!B58&lt;=39),AW132,0)</f>
        <v>0</v>
      </c>
      <c r="AX161" s="102">
        <f>IF(AND(SCHOV!B63&gt;=30,SCHOV!B63&lt;=39),AX132,0)</f>
        <v>0</v>
      </c>
    </row>
    <row r="162" spans="1:50">
      <c r="A162" s="68"/>
      <c r="B162" s="68"/>
      <c r="C162" s="68"/>
      <c r="D162" s="68"/>
      <c r="E162" s="68"/>
      <c r="F162" s="89"/>
      <c r="G162" s="68"/>
      <c r="H162" s="68"/>
      <c r="I162" s="68"/>
      <c r="J162" s="68"/>
      <c r="K162" s="68"/>
      <c r="L162" s="68"/>
      <c r="M162" s="68"/>
      <c r="N162" s="68"/>
      <c r="O162" s="68"/>
      <c r="P162" s="101"/>
      <c r="Q162" s="102"/>
      <c r="R162" s="103"/>
      <c r="S162" s="102"/>
      <c r="T162" s="102"/>
      <c r="U162" s="102"/>
      <c r="V162" s="102"/>
      <c r="W162" s="102"/>
      <c r="X162" s="102"/>
      <c r="Y162" s="66"/>
      <c r="Z162" s="66"/>
      <c r="AA162" s="66"/>
      <c r="AB162" s="66"/>
      <c r="AC162" s="66"/>
      <c r="AD162" s="66"/>
      <c r="AE162" s="66"/>
      <c r="AF162" s="66"/>
      <c r="AG162" s="66"/>
      <c r="AH162" s="66"/>
      <c r="AI162" s="66"/>
      <c r="AJ162" s="66"/>
      <c r="AK162" s="66"/>
      <c r="AL162" s="66"/>
      <c r="AM162" s="66"/>
      <c r="AN162" s="66"/>
      <c r="AO162" s="66"/>
      <c r="AP162" s="101"/>
      <c r="AQ162" s="102"/>
      <c r="AR162" s="103"/>
      <c r="AS162" s="102"/>
      <c r="AT162" s="102"/>
      <c r="AU162" s="102"/>
      <c r="AV162" s="102"/>
      <c r="AW162" s="102"/>
      <c r="AX162" s="102"/>
    </row>
    <row r="163" spans="1:50">
      <c r="A163" s="68"/>
      <c r="B163" s="68"/>
      <c r="C163" s="68"/>
      <c r="D163" s="68"/>
      <c r="E163" s="68"/>
      <c r="F163" s="89"/>
      <c r="G163" s="68"/>
      <c r="H163" s="68"/>
      <c r="I163" s="68"/>
      <c r="J163" s="68"/>
      <c r="K163" s="68"/>
      <c r="L163" s="68"/>
      <c r="M163" s="68"/>
      <c r="N163" s="68"/>
      <c r="O163" s="68"/>
      <c r="P163" s="101"/>
      <c r="Q163" s="102"/>
      <c r="R163" s="103"/>
      <c r="S163" s="102"/>
      <c r="T163" s="102"/>
      <c r="U163" s="102"/>
      <c r="V163" s="102"/>
      <c r="W163" s="102"/>
      <c r="X163" s="102"/>
      <c r="Y163" s="66"/>
      <c r="Z163" s="66"/>
      <c r="AA163" s="66"/>
      <c r="AB163" s="66"/>
      <c r="AC163" s="66"/>
      <c r="AD163" s="66"/>
      <c r="AE163" s="66"/>
      <c r="AF163" s="66"/>
      <c r="AG163" s="66"/>
      <c r="AH163" s="66"/>
      <c r="AI163" s="66"/>
      <c r="AJ163" s="66"/>
      <c r="AK163" s="66"/>
      <c r="AL163" s="66"/>
      <c r="AM163" s="66"/>
      <c r="AN163" s="66"/>
      <c r="AO163" s="66"/>
      <c r="AP163" s="101"/>
      <c r="AQ163" s="102"/>
      <c r="AR163" s="103"/>
      <c r="AS163" s="102"/>
      <c r="AT163" s="102"/>
      <c r="AU163" s="102"/>
      <c r="AV163" s="102"/>
      <c r="AW163" s="102"/>
      <c r="AX163" s="102"/>
    </row>
    <row r="164" spans="1:50">
      <c r="A164" s="68"/>
      <c r="B164" s="68"/>
      <c r="C164" s="68"/>
      <c r="D164" s="68"/>
      <c r="E164" s="68"/>
      <c r="F164" s="89"/>
      <c r="G164" s="68"/>
      <c r="H164" s="68"/>
      <c r="I164" s="68"/>
      <c r="J164" s="68"/>
      <c r="K164" s="68"/>
      <c r="L164" s="68"/>
      <c r="M164" s="68"/>
      <c r="N164" s="68"/>
      <c r="O164" s="68"/>
      <c r="P164" s="101"/>
      <c r="Q164" s="102"/>
      <c r="R164" s="103"/>
      <c r="S164" s="102"/>
      <c r="T164" s="102"/>
      <c r="U164" s="102"/>
      <c r="V164" s="102"/>
      <c r="W164" s="102"/>
      <c r="X164" s="102"/>
      <c r="Y164" s="66"/>
      <c r="Z164" s="66"/>
      <c r="AA164" s="66"/>
      <c r="AB164" s="66"/>
      <c r="AC164" s="66"/>
      <c r="AD164" s="66"/>
      <c r="AE164" s="66"/>
      <c r="AF164" s="66"/>
      <c r="AG164" s="66"/>
      <c r="AH164" s="66"/>
      <c r="AI164" s="66"/>
      <c r="AJ164" s="66"/>
      <c r="AK164" s="66"/>
      <c r="AL164" s="66"/>
      <c r="AM164" s="66"/>
      <c r="AN164" s="66"/>
      <c r="AO164" s="66"/>
      <c r="AP164" s="101"/>
      <c r="AQ164" s="102"/>
      <c r="AR164" s="103"/>
      <c r="AS164" s="102"/>
      <c r="AT164" s="102"/>
      <c r="AU164" s="102"/>
      <c r="AV164" s="102"/>
      <c r="AW164" s="102"/>
      <c r="AX164" s="102"/>
    </row>
    <row r="165" spans="1:50">
      <c r="A165" s="68"/>
      <c r="B165" s="68"/>
      <c r="C165" s="68"/>
      <c r="D165" s="68"/>
      <c r="E165" s="68"/>
      <c r="F165" s="68"/>
      <c r="G165" s="68"/>
      <c r="H165" s="68"/>
      <c r="I165" s="68"/>
      <c r="J165" s="68"/>
      <c r="K165" s="68"/>
      <c r="L165" s="68"/>
      <c r="M165" s="68"/>
      <c r="N165" s="68"/>
      <c r="O165" s="68"/>
      <c r="P165" s="101">
        <f>IF(AND(SCHOV!B21&gt;=40,SCHOV!B21&lt;=49),P134,0)</f>
        <v>0</v>
      </c>
      <c r="Q165" s="102">
        <f>IF(AND(SCHOV!B26&gt;=40,SCHOV!B26&lt;=49),Q134,0)</f>
        <v>0</v>
      </c>
      <c r="R165" s="103">
        <f>IF(AND(SCHOV!B31&gt;=40,SCHOV!B31&lt;=49),R134,0)</f>
        <v>0</v>
      </c>
      <c r="S165" s="102">
        <f>IF(AND(SCHOV!B36&gt;=40,SCHOV!B36&lt;=49),S134,0)</f>
        <v>0</v>
      </c>
      <c r="T165" s="102">
        <f>IF(AND(SCHOV!B41&gt;=40,SCHOV!B41&lt;=49),T134,0)</f>
        <v>0</v>
      </c>
      <c r="U165" s="102">
        <f>IF(AND(SCHOV!B46&gt;=40,SCHOV!B46&lt;=49),U134,0)</f>
        <v>0</v>
      </c>
      <c r="V165" s="102">
        <f>IF(AND(SCHOV!B51&gt;=40,SCHOV!B51&lt;=49),V134,0)</f>
        <v>0</v>
      </c>
      <c r="W165" s="102">
        <f>IF(AND(SCHOV!B56&gt;=40,SCHOV!B56&lt;=49),W134,0)</f>
        <v>0</v>
      </c>
      <c r="X165" s="102">
        <f>IF(AND(SCHOV!B61&gt;=40,SCHOV!B61&lt;=49),X134,0)</f>
        <v>0</v>
      </c>
      <c r="Y165" s="66"/>
      <c r="Z165" s="66"/>
      <c r="AA165" s="66"/>
      <c r="AB165" s="66"/>
      <c r="AC165" s="66"/>
      <c r="AD165" s="66"/>
      <c r="AE165" s="66"/>
      <c r="AF165" s="66"/>
      <c r="AG165" s="66"/>
      <c r="AH165" s="66"/>
      <c r="AI165" s="66"/>
      <c r="AJ165" s="66"/>
      <c r="AK165" s="66"/>
      <c r="AL165" s="66"/>
      <c r="AM165" s="66"/>
      <c r="AN165" s="66"/>
      <c r="AO165" s="66"/>
      <c r="AP165" s="101">
        <f>IF(AND(SCHOV!B23&gt;=40,SCHOV!B23&lt;=49),AP134,0)</f>
        <v>0</v>
      </c>
      <c r="AQ165" s="102">
        <f>IF(AND(SCHOV!B28&gt;=40,SCHOV!B28&lt;=49),AQ134,0)</f>
        <v>0</v>
      </c>
      <c r="AR165" s="103">
        <f>IF(AND(SCHOV!B33&gt;=40,SCHOV!B33&lt;=49),AR134,0)</f>
        <v>0</v>
      </c>
      <c r="AS165" s="102">
        <f>IF(AND(SCHOV!B38&gt;=40,SCHOV!B38&lt;=49),AS134,0)</f>
        <v>0</v>
      </c>
      <c r="AT165" s="102">
        <f>IF(AND(SCHOV!B43&gt;=40,SCHOV!B43&lt;=49),AT134,0)</f>
        <v>0</v>
      </c>
      <c r="AU165" s="102">
        <f>IF(AND(SCHOV!B48&gt;=40,SCHOV!B48&lt;=49),AU134,0)</f>
        <v>0</v>
      </c>
      <c r="AV165" s="102">
        <f>IF(AND(SCHOV!B53&gt;=40,SCHOV!B53&lt;=49),AV134,0)</f>
        <v>0</v>
      </c>
      <c r="AW165" s="102">
        <f>IF(AND(SCHOV!B58&gt;=40,SCHOV!B58&lt;=49),AW134,0)</f>
        <v>0</v>
      </c>
      <c r="AX165" s="102">
        <f>IF(AND(SCHOV!B63&gt;=40,SCHOV!B63&lt;=49),AX134,0)</f>
        <v>0</v>
      </c>
    </row>
    <row r="166" spans="1:50">
      <c r="A166" s="68"/>
      <c r="B166" s="68"/>
      <c r="C166" s="68"/>
      <c r="D166" s="68"/>
      <c r="E166" s="68"/>
      <c r="F166" s="89"/>
      <c r="G166" s="68"/>
      <c r="H166" s="68"/>
      <c r="I166" s="68"/>
      <c r="J166" s="68"/>
      <c r="K166" s="68"/>
      <c r="L166" s="68"/>
      <c r="M166" s="68"/>
      <c r="N166" s="68"/>
      <c r="O166" s="68"/>
      <c r="P166" s="101"/>
      <c r="Q166" s="102"/>
      <c r="R166" s="103"/>
      <c r="S166" s="102"/>
      <c r="T166" s="102"/>
      <c r="U166" s="102"/>
      <c r="V166" s="102"/>
      <c r="W166" s="102"/>
      <c r="X166" s="102"/>
      <c r="Y166" s="66"/>
      <c r="Z166" s="66"/>
      <c r="AA166" s="66"/>
      <c r="AB166" s="66"/>
      <c r="AC166" s="66"/>
      <c r="AD166" s="66"/>
      <c r="AE166" s="66"/>
      <c r="AF166" s="66"/>
      <c r="AG166" s="66"/>
      <c r="AH166" s="66"/>
      <c r="AI166" s="66"/>
      <c r="AJ166" s="66"/>
      <c r="AK166" s="66"/>
      <c r="AL166" s="66"/>
      <c r="AM166" s="66"/>
      <c r="AN166" s="66"/>
      <c r="AO166" s="66"/>
      <c r="AP166" s="101"/>
      <c r="AQ166" s="102"/>
      <c r="AR166" s="103"/>
      <c r="AS166" s="102"/>
      <c r="AT166" s="102"/>
      <c r="AU166" s="102"/>
      <c r="AV166" s="102"/>
      <c r="AW166" s="102"/>
      <c r="AX166" s="102"/>
    </row>
    <row r="167" spans="1:50">
      <c r="A167" s="68"/>
      <c r="B167" s="68"/>
      <c r="C167" s="68"/>
      <c r="D167" s="68"/>
      <c r="E167" s="68"/>
      <c r="F167" s="89"/>
      <c r="G167" s="68"/>
      <c r="H167" s="68"/>
      <c r="I167" s="68"/>
      <c r="J167" s="68"/>
      <c r="K167" s="68"/>
      <c r="L167" s="68"/>
      <c r="M167" s="68"/>
      <c r="N167" s="68"/>
      <c r="O167" s="68"/>
      <c r="P167" s="101">
        <f>IF(AND(SCHOV!B21&gt;=50,SCHOV!B21&lt;=54),P136,0)</f>
        <v>0</v>
      </c>
      <c r="Q167" s="102">
        <f>IF(AND(SCHOV!B26&gt;=50,SCHOV!B26&lt;=54),Q136,0)</f>
        <v>0</v>
      </c>
      <c r="R167" s="103">
        <f>IF(AND(SCHOV!B31&gt;=50,SCHOV!B31&lt;=54),R136,0)</f>
        <v>0</v>
      </c>
      <c r="S167" s="102">
        <f>IF(AND(SCHOV!B36&gt;=50,SCHOV!B36&lt;=54),S136,0)</f>
        <v>0</v>
      </c>
      <c r="T167" s="102">
        <f>IF(AND(SCHOV!B41&gt;=50,SCHOV!B41&lt;=54),T136,0)</f>
        <v>0</v>
      </c>
      <c r="U167" s="102">
        <f>IF(AND(SCHOV!B46&gt;=50,SCHOV!B46&lt;=54),U136,0)</f>
        <v>0</v>
      </c>
      <c r="V167" s="102">
        <f>IF(AND(SCHOV!B51&gt;=50,SCHOV!B51&lt;=54),V136,0)</f>
        <v>0</v>
      </c>
      <c r="W167" s="102">
        <f>IF(AND(SCHOV!B56&gt;=50,SCHOV!B56&lt;=54),W136,0)</f>
        <v>0</v>
      </c>
      <c r="X167" s="102">
        <f>IF(AND(SCHOV!B61&gt;=50,SCHOV!B61&lt;=54),X136,0)</f>
        <v>0</v>
      </c>
      <c r="Y167" s="66"/>
      <c r="Z167" s="66"/>
      <c r="AA167" s="66"/>
      <c r="AB167" s="66"/>
      <c r="AC167" s="66"/>
      <c r="AD167" s="66"/>
      <c r="AE167" s="66"/>
      <c r="AF167" s="66"/>
      <c r="AG167" s="66"/>
      <c r="AH167" s="66"/>
      <c r="AI167" s="66"/>
      <c r="AJ167" s="66"/>
      <c r="AK167" s="66"/>
      <c r="AL167" s="66"/>
      <c r="AM167" s="66"/>
      <c r="AN167" s="66"/>
      <c r="AO167" s="66"/>
      <c r="AP167" s="101">
        <f>IF(AND(SCHOV!B23&gt;=50,SCHOV!B23&lt;=54),AP136,0)</f>
        <v>0</v>
      </c>
      <c r="AQ167" s="102">
        <f>IF(AND(SCHOV!B28&gt;=50,SCHOV!B28&lt;=54),AQ136,0)</f>
        <v>0</v>
      </c>
      <c r="AR167" s="103">
        <f>IF(AND(SCHOV!B33&gt;=50,SCHOV!B33&lt;=54),AR136,0)</f>
        <v>0</v>
      </c>
      <c r="AS167" s="102">
        <f>IF(AND(SCHOV!B38&gt;=50,SCHOV!B38&lt;=54),AS136,0)</f>
        <v>0</v>
      </c>
      <c r="AT167" s="102">
        <f>IF(AND(SCHOV!B43&gt;=50,SCHOV!B43&lt;=54),AT136,0)</f>
        <v>0</v>
      </c>
      <c r="AU167" s="102">
        <f>IF(AND(SCHOV!B48&gt;=50,SCHOV!B48&lt;=54),AU136,0)</f>
        <v>0</v>
      </c>
      <c r="AV167" s="102">
        <f>IF(AND(SCHOV!B53&gt;=50,SCHOV!B53&lt;=54),AV136,0)</f>
        <v>0</v>
      </c>
      <c r="AW167" s="102">
        <f>IF(AND(SCHOV!B58&gt;=50,SCHOV!B58&lt;=54),AW136,0)</f>
        <v>0</v>
      </c>
      <c r="AX167" s="102">
        <f>IF(AND(SCHOV!B63&gt;=50,SCHOV!B63&lt;=54),AX136,0)</f>
        <v>0</v>
      </c>
    </row>
    <row r="168" spans="1:50">
      <c r="A168" s="104"/>
      <c r="B168" s="104"/>
      <c r="C168" s="104"/>
      <c r="D168" s="104"/>
      <c r="E168" s="84"/>
      <c r="F168" s="105"/>
      <c r="G168" s="84"/>
      <c r="H168" s="84"/>
      <c r="I168" s="106"/>
      <c r="J168" s="107"/>
      <c r="K168" s="106"/>
      <c r="L168" s="106"/>
      <c r="M168" s="106"/>
      <c r="N168" s="68"/>
      <c r="O168" s="68"/>
      <c r="P168" s="101"/>
      <c r="Q168" s="102"/>
      <c r="R168" s="103"/>
      <c r="S168" s="102"/>
      <c r="T168" s="102"/>
      <c r="U168" s="102"/>
      <c r="V168" s="102"/>
      <c r="W168" s="102"/>
      <c r="X168" s="102"/>
      <c r="Y168" s="66"/>
      <c r="Z168" s="66"/>
      <c r="AA168" s="66"/>
      <c r="AB168" s="66"/>
      <c r="AC168" s="66"/>
      <c r="AD168" s="66"/>
      <c r="AE168" s="66"/>
      <c r="AF168" s="66"/>
      <c r="AG168" s="66"/>
      <c r="AH168" s="66"/>
      <c r="AI168" s="66"/>
      <c r="AJ168" s="66"/>
      <c r="AK168" s="66"/>
      <c r="AL168" s="66"/>
      <c r="AM168" s="66"/>
      <c r="AN168" s="66"/>
      <c r="AO168" s="66"/>
      <c r="AP168" s="101"/>
      <c r="AQ168" s="102"/>
      <c r="AR168" s="103"/>
      <c r="AS168" s="102"/>
      <c r="AT168" s="102"/>
      <c r="AU168" s="102"/>
      <c r="AV168" s="102"/>
      <c r="AW168" s="102"/>
      <c r="AX168" s="102"/>
    </row>
    <row r="169" spans="1:50">
      <c r="A169" s="36" t="s">
        <v>10</v>
      </c>
      <c r="B169" s="36"/>
      <c r="C169" s="36"/>
      <c r="D169" s="36"/>
      <c r="E169" s="36"/>
      <c r="F169" s="36">
        <f>SCHOV!G21</f>
        <v>0</v>
      </c>
      <c r="G169" s="41"/>
      <c r="H169" s="36"/>
      <c r="I169" s="36"/>
      <c r="J169" s="77"/>
      <c r="K169" s="36"/>
      <c r="L169" s="36"/>
      <c r="M169" s="36" t="e">
        <f>IF(AND(SCHOV!#REF!="ja",SCHOV!F19="rechte lijn"),H181,0)</f>
        <v>#REF!</v>
      </c>
      <c r="N169" s="68"/>
      <c r="O169" s="68"/>
      <c r="P169" s="101">
        <f>IF(AND(SCHOV!B21&gt;=55,SCHOV!B21&lt;=59),P138,0)</f>
        <v>0</v>
      </c>
      <c r="Q169" s="102">
        <f>IF(AND(SCHOV!B26&gt;=55,SCHOV!B26&lt;=59),Q138,0)</f>
        <v>0</v>
      </c>
      <c r="R169" s="103">
        <f>IF(AND(SCHOV!B31&gt;=55,SCHOV!B31&lt;=59),R138,0)</f>
        <v>0</v>
      </c>
      <c r="S169" s="102">
        <f>IF(AND(SCHOV!B36&gt;=55,SCHOV!B36&lt;=59),S138,0)</f>
        <v>0</v>
      </c>
      <c r="T169" s="102">
        <f>IF(AND(SCHOV!B41&gt;=55,SCHOV!B41&lt;=59),T138,0)</f>
        <v>0</v>
      </c>
      <c r="U169" s="102">
        <f>IF(AND(SCHOV!B46&gt;=55,SCHOV!B46&lt;=59),U138,0)</f>
        <v>0</v>
      </c>
      <c r="V169" s="102">
        <f>IF(AND(SCHOV!B51&gt;=55,SCHOV!B51&lt;=59),V138,0)</f>
        <v>0</v>
      </c>
      <c r="W169" s="102">
        <f>IF(AND(SCHOV!B56&gt;=55,SCHOV!B56&lt;=59),W138,0)</f>
        <v>0</v>
      </c>
      <c r="X169" s="102">
        <f>IF(AND(SCHOV!B61&gt;=55,SCHOV!B61&lt;=59),X138,0)</f>
        <v>0</v>
      </c>
      <c r="Y169" s="66"/>
      <c r="Z169" s="66"/>
      <c r="AA169" s="66"/>
      <c r="AB169" s="66"/>
      <c r="AC169" s="66"/>
      <c r="AD169" s="66"/>
      <c r="AE169" s="66"/>
      <c r="AF169" s="66"/>
      <c r="AG169" s="66"/>
      <c r="AH169" s="66"/>
      <c r="AI169" s="66"/>
      <c r="AJ169" s="66"/>
      <c r="AK169" s="66"/>
      <c r="AL169" s="66"/>
      <c r="AM169" s="66"/>
      <c r="AN169" s="66"/>
      <c r="AO169" s="66"/>
      <c r="AP169" s="101">
        <f>IF(AND(SCHOV!B23&gt;=55,SCHOV!B23&lt;=59),AP138,0)</f>
        <v>0</v>
      </c>
      <c r="AQ169" s="102">
        <f>IF(AND(SCHOV!B28&gt;=55,SCHOV!B28&lt;=59),AQ138,0)</f>
        <v>0</v>
      </c>
      <c r="AR169" s="103">
        <f>IF(AND(SCHOV!B33&gt;=55,SCHOV!B33&lt;=59),AR138,0)</f>
        <v>0</v>
      </c>
      <c r="AS169" s="102">
        <f>IF(AND(SCHOV!B38&gt;=55,SCHOV!B38&lt;=59),AS138,0)</f>
        <v>0</v>
      </c>
      <c r="AT169" s="102">
        <f>IF(AND(SCHOV!B43&gt;=55,SCHOV!B43&lt;=59),AT138,0)</f>
        <v>0</v>
      </c>
      <c r="AU169" s="102">
        <f>IF(AND(SCHOV!B48&gt;=55,SCHOV!B48&lt;=59),AU138,0)</f>
        <v>0</v>
      </c>
      <c r="AV169" s="102">
        <f>IF(AND(SCHOV!B53&gt;=55,SCHOV!B53&lt;=59),AV138,0)</f>
        <v>0</v>
      </c>
      <c r="AW169" s="102">
        <f>IF(AND(SCHOV!B58&gt;=55,SCHOV!B58&lt;=59),AW138,0)</f>
        <v>0</v>
      </c>
      <c r="AX169" s="102">
        <f>IF(AND(SCHOV!B63&gt;=55,SCHOV!B63&lt;=59),AX138,0)</f>
        <v>0</v>
      </c>
    </row>
    <row r="170" spans="1:50">
      <c r="A170" s="36"/>
      <c r="B170" s="36"/>
      <c r="C170" s="36"/>
      <c r="D170" s="36"/>
      <c r="E170" s="36"/>
      <c r="F170" s="36"/>
      <c r="G170" s="36"/>
      <c r="H170" s="36"/>
      <c r="I170" s="36"/>
      <c r="J170" s="77"/>
      <c r="K170" s="36"/>
      <c r="L170" s="36"/>
      <c r="M170" s="36" t="e">
        <f>IF(AND(SCHOV!#REF!="ja",SCHOV!F19="echtgeno(o)t(e)"),H181,0)</f>
        <v>#REF!</v>
      </c>
      <c r="N170" s="68"/>
      <c r="O170" s="68"/>
      <c r="P170" s="102"/>
      <c r="Q170" s="102"/>
      <c r="R170" s="103"/>
      <c r="S170" s="102"/>
      <c r="T170" s="102"/>
      <c r="U170" s="102"/>
      <c r="V170" s="102"/>
      <c r="W170" s="102"/>
      <c r="X170" s="102"/>
      <c r="Y170" s="66"/>
      <c r="Z170" s="66"/>
      <c r="AA170" s="66"/>
      <c r="AB170" s="66"/>
      <c r="AC170" s="66"/>
      <c r="AD170" s="66"/>
      <c r="AE170" s="66"/>
      <c r="AF170" s="66"/>
      <c r="AG170" s="66"/>
      <c r="AH170" s="66"/>
      <c r="AI170" s="66"/>
      <c r="AJ170" s="66"/>
      <c r="AK170" s="66"/>
      <c r="AL170" s="66"/>
      <c r="AM170" s="66"/>
      <c r="AN170" s="66"/>
      <c r="AO170" s="66"/>
      <c r="AP170" s="102"/>
      <c r="AQ170" s="102"/>
      <c r="AR170" s="103"/>
      <c r="AS170" s="102"/>
      <c r="AT170" s="102"/>
      <c r="AU170" s="102"/>
      <c r="AV170" s="102"/>
      <c r="AW170" s="102"/>
      <c r="AX170" s="102"/>
    </row>
    <row r="171" spans="1:50">
      <c r="A171" s="37" t="s">
        <v>11</v>
      </c>
      <c r="B171" s="37"/>
      <c r="C171" s="37"/>
      <c r="D171" s="37"/>
      <c r="E171" s="36"/>
      <c r="F171" s="36"/>
      <c r="G171" s="38" t="s">
        <v>12</v>
      </c>
      <c r="H171" s="38" t="s">
        <v>119</v>
      </c>
      <c r="I171" s="36"/>
      <c r="J171" s="77"/>
      <c r="K171" s="36"/>
      <c r="L171" s="36"/>
      <c r="M171" s="36" t="e">
        <f>IF(AND(SCHOV!#REF!="neen",SCHOV!F19="rechte lijn"),G181,0)</f>
        <v>#REF!</v>
      </c>
      <c r="N171" s="68"/>
      <c r="O171" s="68"/>
      <c r="P171" s="101">
        <f>IF(AND(SCHOV!B21&gt;=60,SCHOV!B21&lt;=64),P140,0)</f>
        <v>0</v>
      </c>
      <c r="Q171" s="102">
        <f>IF(AND(SCHOV!B26&gt;=60,SCHOV!B26&lt;=64),Q140,0)</f>
        <v>0</v>
      </c>
      <c r="R171" s="103">
        <f>IF(AND(SCHOV!B31&gt;=60,SCHOV!B31&lt;=64),R140,0)</f>
        <v>0</v>
      </c>
      <c r="S171" s="102">
        <f>IF(AND(SCHOV!B36&gt;=60,SCHOV!B36&lt;=64),S140,0)</f>
        <v>0</v>
      </c>
      <c r="T171" s="102">
        <f>IF(AND(SCHOV!B41&gt;=60,SCHOV!B41&lt;=64),T140,0)</f>
        <v>0</v>
      </c>
      <c r="U171" s="102">
        <f>IF(AND(SCHOV!B46&gt;=60,SCHOV!B46&lt;=64),U140,0)</f>
        <v>0</v>
      </c>
      <c r="V171" s="102">
        <f>IF(AND(SCHOV!B51&gt;=60,SCHOV!B51&lt;=64),V140,0)</f>
        <v>0</v>
      </c>
      <c r="W171" s="102">
        <f>IF(AND(SCHOV!B56&gt;=60,SCHOV!B56&lt;=64),W140,0)</f>
        <v>0</v>
      </c>
      <c r="X171" s="102">
        <f>IF(AND(SCHOV!B61&gt;=60,SCHOV!B61&lt;=64),X140,0)</f>
        <v>0</v>
      </c>
      <c r="Y171" s="66"/>
      <c r="Z171" s="66"/>
      <c r="AA171" s="66"/>
      <c r="AB171" s="66"/>
      <c r="AC171" s="66"/>
      <c r="AD171" s="66"/>
      <c r="AE171" s="66"/>
      <c r="AF171" s="66"/>
      <c r="AG171" s="66"/>
      <c r="AH171" s="66"/>
      <c r="AI171" s="66"/>
      <c r="AJ171" s="66"/>
      <c r="AK171" s="66"/>
      <c r="AL171" s="66"/>
      <c r="AM171" s="66"/>
      <c r="AN171" s="66"/>
      <c r="AO171" s="66"/>
      <c r="AP171" s="101">
        <f>IF(AND(SCHOV!B23&gt;=60,SCHOV!B23&lt;=64),AP140,0)</f>
        <v>0</v>
      </c>
      <c r="AQ171" s="102">
        <f>IF(AND(SCHOV!B28&gt;=60,SCHOV!B28&lt;=64),AQ140,0)</f>
        <v>0</v>
      </c>
      <c r="AR171" s="103">
        <f>IF(AND(SCHOV!B33&gt;=60,SCHOV!B33&lt;=64),AR140,0)</f>
        <v>0</v>
      </c>
      <c r="AS171" s="102">
        <f>IF(AND(SCHOV!B38&gt;=60,SCHOV!B38&lt;=64),AS140,0)</f>
        <v>0</v>
      </c>
      <c r="AT171" s="102">
        <f>IF(AND(SCHOV!B43&gt;=60,SCHOV!B43&lt;=64),AT140,0)</f>
        <v>0</v>
      </c>
      <c r="AU171" s="102">
        <f>IF(AND(SCHOV!B48&gt;=60,SCHOV!B48&lt;=64),AU140,0)</f>
        <v>0</v>
      </c>
      <c r="AV171" s="102">
        <f>IF(AND(SCHOV!B53&gt;=60,SCHOV!B53&lt;=64),AV140,0)</f>
        <v>0</v>
      </c>
      <c r="AW171" s="102">
        <f>IF(AND(SCHOV!B58&gt;=60,SCHOV!B58&lt;=64),AW140,0)</f>
        <v>0</v>
      </c>
      <c r="AX171" s="102">
        <f>IF(AND(SCHOV!B63&gt;=60,SCHOV!B63&lt;=64),AX140,0)</f>
        <v>0</v>
      </c>
    </row>
    <row r="172" spans="1:50">
      <c r="A172" s="36">
        <v>0</v>
      </c>
      <c r="B172" s="36"/>
      <c r="C172" s="36"/>
      <c r="D172" s="36"/>
      <c r="E172" s="36">
        <v>50000</v>
      </c>
      <c r="F172" s="36">
        <f>IF(AND(F169&gt;A172, F169&lt;=E172),F169,0)</f>
        <v>0</v>
      </c>
      <c r="G172" s="36">
        <f>0+(3/100)*(-A172+F172)</f>
        <v>0</v>
      </c>
      <c r="H172" s="36">
        <f>0+(2/100)*(-A172+F172)</f>
        <v>0</v>
      </c>
      <c r="I172" s="36"/>
      <c r="J172" s="77"/>
      <c r="K172" s="36"/>
      <c r="L172" s="36"/>
      <c r="M172" s="36" t="e">
        <f>IF(AND(SCHOV!#REF!="neen",SCHOV!F19="echtgeno(o)t(e)"),G181,0)</f>
        <v>#REF!</v>
      </c>
      <c r="N172" s="68"/>
      <c r="O172" s="68"/>
      <c r="P172" s="101"/>
      <c r="Q172" s="102"/>
      <c r="R172" s="103"/>
      <c r="S172" s="102"/>
      <c r="T172" s="102"/>
      <c r="U172" s="102"/>
      <c r="V172" s="102"/>
      <c r="W172" s="102"/>
      <c r="X172" s="102"/>
      <c r="Y172" s="66"/>
      <c r="Z172" s="66"/>
      <c r="AA172" s="66"/>
      <c r="AB172" s="66"/>
      <c r="AC172" s="66"/>
      <c r="AD172" s="66"/>
      <c r="AE172" s="66"/>
      <c r="AF172" s="66"/>
      <c r="AG172" s="66"/>
      <c r="AH172" s="66"/>
      <c r="AI172" s="66"/>
      <c r="AJ172" s="66"/>
      <c r="AK172" s="66"/>
      <c r="AL172" s="66"/>
      <c r="AM172" s="66"/>
      <c r="AN172" s="66"/>
      <c r="AO172" s="66"/>
      <c r="AP172" s="101"/>
      <c r="AQ172" s="102"/>
      <c r="AR172" s="103"/>
      <c r="AS172" s="102"/>
      <c r="AT172" s="102"/>
      <c r="AU172" s="102"/>
      <c r="AV172" s="102"/>
      <c r="AW172" s="102"/>
      <c r="AX172" s="102"/>
    </row>
    <row r="173" spans="1:50">
      <c r="A173" s="36">
        <f>E172</f>
        <v>50000</v>
      </c>
      <c r="B173" s="36"/>
      <c r="C173" s="36"/>
      <c r="D173" s="36"/>
      <c r="E173" s="36">
        <v>100000</v>
      </c>
      <c r="F173" s="36">
        <f>IF(AND(F169&gt;A173, F169&lt;=E173),F169,0)</f>
        <v>0</v>
      </c>
      <c r="G173" s="36">
        <f>(50000/100*3)+(8/100)*(-A173+F173)</f>
        <v>-2500</v>
      </c>
      <c r="H173" s="36">
        <f>(50000/100*2)+(5.3/100)*(-A173+F173)</f>
        <v>-1650</v>
      </c>
      <c r="I173" s="36"/>
      <c r="J173" s="77"/>
      <c r="K173" s="36"/>
      <c r="L173" s="36"/>
      <c r="M173" s="36">
        <f>IF(SCHOV!F19="broer/zuster",G192,0)</f>
        <v>0</v>
      </c>
      <c r="N173" s="68"/>
      <c r="O173" s="68"/>
      <c r="P173" s="101">
        <f>IF(AND(SCHOV!B21&gt;=65,SCHOV!B21&lt;=69),P142,0)</f>
        <v>0</v>
      </c>
      <c r="Q173" s="102">
        <f>IF(AND(SCHOV!B26&gt;=65,SCHOV!B26&lt;=69),Q142,0)</f>
        <v>0</v>
      </c>
      <c r="R173" s="103">
        <f>IF(AND(SCHOV!B31&gt;=65,SCHOV!B31&lt;=69),R142,0)</f>
        <v>0</v>
      </c>
      <c r="S173" s="102">
        <f>IF(AND(SCHOV!B36&gt;=65,SCHOV!B36&lt;=69),S142,0)</f>
        <v>0</v>
      </c>
      <c r="T173" s="102">
        <f>IF(AND(SCHOV!B41&gt;=65,SCHOV!B41&lt;=69),T142,0)</f>
        <v>0</v>
      </c>
      <c r="U173" s="102">
        <f>IF(AND(SCHOV!B46&gt;=65,SCHOV!B46&lt;=69),U142,0)</f>
        <v>0</v>
      </c>
      <c r="V173" s="102">
        <f>IF(AND(SCHOV!B51&gt;=65,SCHOV!B51&lt;=69),V142,0)</f>
        <v>0</v>
      </c>
      <c r="W173" s="102">
        <f>IF(AND(SCHOV!B56&gt;=65,SCHOV!B56&lt;=69),W142,0)</f>
        <v>0</v>
      </c>
      <c r="X173" s="102">
        <f>IF(AND(SCHOV!B61&gt;=65,SCHOV!B61&lt;=69),X142,0)</f>
        <v>0</v>
      </c>
      <c r="Y173" s="66"/>
      <c r="Z173" s="66"/>
      <c r="AA173" s="66"/>
      <c r="AB173" s="66"/>
      <c r="AC173" s="66"/>
      <c r="AD173" s="66"/>
      <c r="AE173" s="66"/>
      <c r="AF173" s="66"/>
      <c r="AG173" s="66"/>
      <c r="AH173" s="66"/>
      <c r="AI173" s="66"/>
      <c r="AJ173" s="66"/>
      <c r="AK173" s="66"/>
      <c r="AL173" s="66"/>
      <c r="AM173" s="66"/>
      <c r="AN173" s="66"/>
      <c r="AO173" s="66"/>
      <c r="AP173" s="101">
        <f>IF(AND(SCHOV!B23&gt;=65,SCHOV!B23&lt;=69),AP142,0)</f>
        <v>0</v>
      </c>
      <c r="AQ173" s="102">
        <f>IF(AND(SCHOV!B28&gt;=65,SCHOV!B28&lt;=69),AQ142,0)</f>
        <v>0</v>
      </c>
      <c r="AR173" s="103">
        <f>IF(AND(SCHOV!B33&gt;=65,SCHOV!B33&lt;=69),AR142,0)</f>
        <v>0</v>
      </c>
      <c r="AS173" s="102">
        <f>IF(AND(SCHOV!B38&gt;=65,SCHOV!B38&lt;=69),AS142,0)</f>
        <v>0</v>
      </c>
      <c r="AT173" s="102">
        <f>IF(AND(SCHOV!B43&gt;=65,SCHOV!B43&lt;=69),AT142,0)</f>
        <v>0</v>
      </c>
      <c r="AU173" s="102">
        <f>IF(AND(SCHOV!B48&gt;=65,SCHOV!B48&lt;=69),AU142,0)</f>
        <v>0</v>
      </c>
      <c r="AV173" s="102">
        <f>IF(AND(SCHOV!B53&gt;=65,SCHOV!B53&lt;=69),AV142,0)</f>
        <v>0</v>
      </c>
      <c r="AW173" s="102">
        <f>IF(AND(SCHOV!B58&gt;=65,SCHOV!B58&lt;=69),AW142,0)</f>
        <v>0</v>
      </c>
      <c r="AX173" s="102">
        <f>IF(AND(SCHOV!B63&gt;=65,SCHOV!B63&lt;=69),AX142,0)</f>
        <v>0</v>
      </c>
    </row>
    <row r="174" spans="1:50">
      <c r="A174" s="36">
        <f>E173</f>
        <v>100000</v>
      </c>
      <c r="B174" s="36"/>
      <c r="C174" s="36"/>
      <c r="D174" s="36"/>
      <c r="E174" s="36">
        <v>175000</v>
      </c>
      <c r="F174" s="36">
        <f>IF(AND(F169&gt;A174, F169&lt;=E174),F169,0)</f>
        <v>0</v>
      </c>
      <c r="G174" s="36">
        <f>(50000/100*3)+(50000/100*8)+((9/100)*(-A174+F174))</f>
        <v>-3500</v>
      </c>
      <c r="H174" s="36">
        <f>(50000/100*2)+(50000/100*5.3)+((6/100)*(-A174+F174))</f>
        <v>-2350</v>
      </c>
      <c r="I174" s="36"/>
      <c r="J174" s="77"/>
      <c r="K174" s="36"/>
      <c r="L174" s="36"/>
      <c r="M174" s="36">
        <f>IF(SCHOV!F19="oom-tante/neef-nicht",G205,0)</f>
        <v>0</v>
      </c>
      <c r="N174" s="68"/>
      <c r="O174" s="68"/>
      <c r="P174" s="101"/>
      <c r="Q174" s="102"/>
      <c r="R174" s="103"/>
      <c r="S174" s="102"/>
      <c r="T174" s="102"/>
      <c r="U174" s="102"/>
      <c r="V174" s="102"/>
      <c r="W174" s="102"/>
      <c r="X174" s="102"/>
      <c r="Y174" s="66"/>
      <c r="Z174" s="66"/>
      <c r="AA174" s="66"/>
      <c r="AB174" s="66"/>
      <c r="AC174" s="66"/>
      <c r="AD174" s="66"/>
      <c r="AE174" s="66"/>
      <c r="AF174" s="66"/>
      <c r="AG174" s="66"/>
      <c r="AH174" s="66"/>
      <c r="AI174" s="66"/>
      <c r="AJ174" s="66"/>
      <c r="AK174" s="66"/>
      <c r="AL174" s="66"/>
      <c r="AM174" s="66"/>
      <c r="AN174" s="66"/>
      <c r="AO174" s="66"/>
      <c r="AP174" s="101"/>
      <c r="AQ174" s="102"/>
      <c r="AR174" s="103"/>
      <c r="AS174" s="102"/>
      <c r="AT174" s="102"/>
      <c r="AU174" s="102"/>
      <c r="AV174" s="102"/>
      <c r="AW174" s="102"/>
      <c r="AX174" s="102"/>
    </row>
    <row r="175" spans="1:50">
      <c r="A175" s="36">
        <f>E174</f>
        <v>175000</v>
      </c>
      <c r="B175" s="36"/>
      <c r="C175" s="36"/>
      <c r="D175" s="36"/>
      <c r="E175" s="36">
        <v>250000</v>
      </c>
      <c r="F175" s="36">
        <f>IF(AND(F169&gt;A175, F169&lt;=E175),F169,0)</f>
        <v>0</v>
      </c>
      <c r="G175" s="36">
        <f>(50000/100*3)+(50000/100*8)+(75000/100*9)+((18/100)*(-A175+F175))</f>
        <v>-19250</v>
      </c>
      <c r="H175" s="36">
        <f>(50000/100*2)+(50000/100*5.3)+(75000/100*6)+((12/100)*(-A175+F175))</f>
        <v>-12850</v>
      </c>
      <c r="I175" s="36"/>
      <c r="J175" s="77"/>
      <c r="K175" s="36"/>
      <c r="L175" s="36"/>
      <c r="M175" s="36">
        <f>IF(SCHOV!F19="vreemden",M205,0)</f>
        <v>0</v>
      </c>
      <c r="N175" s="68"/>
      <c r="O175" s="68"/>
      <c r="P175" s="101">
        <f>IF(AND(SCHOV!B21&gt;=70,SCHOV!B21&lt;=74),P144,0)</f>
        <v>0</v>
      </c>
      <c r="Q175" s="102">
        <f>IF(AND(SCHOV!B26&gt;=70,SCHOV!B26&lt;=74),Q144,0)</f>
        <v>0</v>
      </c>
      <c r="R175" s="103">
        <f>IF(AND(SCHOV!B31&gt;=70,SCHOV!B31&lt;=74),R144,0)</f>
        <v>0</v>
      </c>
      <c r="S175" s="102">
        <f>IF(AND(SCHOV!B36&gt;=70,SCHOV!B36&lt;=74),S144,0)</f>
        <v>0</v>
      </c>
      <c r="T175" s="102">
        <f>IF(AND(SCHOV!B41&gt;=70,SCHOV!B41&lt;=74),T144,0)</f>
        <v>0</v>
      </c>
      <c r="U175" s="102">
        <f>IF(AND(SCHOV!B46&gt;=70,SCHOV!B46&lt;=74),U144,0)</f>
        <v>0</v>
      </c>
      <c r="V175" s="102">
        <f>IF(AND(SCHOV!B51&gt;=70,SCHOV!B51&lt;=74),V144,0)</f>
        <v>0</v>
      </c>
      <c r="W175" s="102">
        <f>IF(AND(SCHOV!B56&gt;=70,SCHOV!B56&lt;=74),W144,0)</f>
        <v>0</v>
      </c>
      <c r="X175" s="102">
        <f>IF(AND(SCHOV!B61&gt;=70,SCHOV!B61&lt;=74),X144,0)</f>
        <v>0</v>
      </c>
      <c r="Y175" s="66"/>
      <c r="Z175" s="66"/>
      <c r="AA175" s="66"/>
      <c r="AB175" s="66"/>
      <c r="AC175" s="66"/>
      <c r="AD175" s="66"/>
      <c r="AE175" s="66"/>
      <c r="AF175" s="66"/>
      <c r="AG175" s="66"/>
      <c r="AH175" s="66"/>
      <c r="AI175" s="66"/>
      <c r="AJ175" s="66"/>
      <c r="AK175" s="66"/>
      <c r="AL175" s="66"/>
      <c r="AM175" s="66"/>
      <c r="AN175" s="66"/>
      <c r="AO175" s="66"/>
      <c r="AP175" s="101">
        <f>IF(AND(SCHOV!B23&gt;=70,SCHOV!B23&lt;=74),AP144,0)</f>
        <v>0</v>
      </c>
      <c r="AQ175" s="102">
        <f>IF(AND(SCHOV!B28&gt;=70,SCHOV!B28&lt;=74),AQ144,0)</f>
        <v>0</v>
      </c>
      <c r="AR175" s="103">
        <f>IF(AND(SCHOV!B33&gt;=70,SCHOV!B33&lt;=74),AR144,0)</f>
        <v>0</v>
      </c>
      <c r="AS175" s="102">
        <f>IF(AND(SCHOV!B38&gt;=70,SCHOV!B38&lt;=74),AS144,0)</f>
        <v>0</v>
      </c>
      <c r="AT175" s="102">
        <f>IF(AND(SCHOV!B43&gt;=70,SCHOV!B43&lt;=74),AT144,0)</f>
        <v>0</v>
      </c>
      <c r="AU175" s="102">
        <f>IF(AND(SCHOV!B48&gt;=70,SCHOV!B48&lt;=74),AU144,0)</f>
        <v>0</v>
      </c>
      <c r="AV175" s="102">
        <f>IF(AND(SCHOV!B53&gt;=70,SCHOV!B53&lt;=74),AV144,0)</f>
        <v>0</v>
      </c>
      <c r="AW175" s="102">
        <f>IF(AND(SCHOV!B58&gt;=70,SCHOV!B58&lt;=74),AW144,0)</f>
        <v>0</v>
      </c>
      <c r="AX175" s="102">
        <f>IF(AND(SCHOV!B63&gt;=70,SCHOV!B63&lt;=74),AX144,0)</f>
        <v>0</v>
      </c>
    </row>
    <row r="176" spans="1:50">
      <c r="A176" s="36">
        <f>E175</f>
        <v>250000</v>
      </c>
      <c r="B176" s="36"/>
      <c r="C176" s="36"/>
      <c r="D176" s="36"/>
      <c r="E176" s="36">
        <v>500000</v>
      </c>
      <c r="F176" s="36">
        <f>IF(AND(F169&gt;A176, F169&lt;=E176),F169,0)</f>
        <v>0</v>
      </c>
      <c r="G176" s="36">
        <f>(50000/100*3)+(50000/100*8)+(75000/100*9)+(75000/100*18)+((24/100)*(-A176+F176))</f>
        <v>-34250</v>
      </c>
      <c r="H176" s="36">
        <f>(50000/100*2)+(50000/100*5.3)+(75000/100*6)+(75000/100*12)+((24/100)*(-A176+F176))</f>
        <v>-42850</v>
      </c>
      <c r="I176" s="36"/>
      <c r="J176" s="36"/>
      <c r="K176" s="36"/>
      <c r="L176" s="36"/>
      <c r="M176" s="36"/>
      <c r="N176" s="68"/>
      <c r="O176" s="68"/>
      <c r="P176" s="101"/>
      <c r="Q176" s="102"/>
      <c r="R176" s="103"/>
      <c r="S176" s="102"/>
      <c r="T176" s="102"/>
      <c r="U176" s="102"/>
      <c r="V176" s="102"/>
      <c r="W176" s="102"/>
      <c r="X176" s="102"/>
      <c r="Y176" s="66"/>
      <c r="Z176" s="66"/>
      <c r="AA176" s="66"/>
      <c r="AB176" s="66"/>
      <c r="AC176" s="66"/>
      <c r="AD176" s="66"/>
      <c r="AE176" s="66"/>
      <c r="AF176" s="66"/>
      <c r="AG176" s="66"/>
      <c r="AH176" s="66"/>
      <c r="AI176" s="66"/>
      <c r="AJ176" s="66"/>
      <c r="AK176" s="66"/>
      <c r="AL176" s="66"/>
      <c r="AM176" s="66"/>
      <c r="AN176" s="66"/>
      <c r="AO176" s="66"/>
      <c r="AP176" s="101"/>
      <c r="AQ176" s="102"/>
      <c r="AR176" s="103"/>
      <c r="AS176" s="102"/>
      <c r="AT176" s="102"/>
      <c r="AU176" s="102"/>
      <c r="AV176" s="102"/>
      <c r="AW176" s="102"/>
      <c r="AX176" s="102"/>
    </row>
    <row r="177" spans="1:50">
      <c r="A177" s="36">
        <f>E176</f>
        <v>500000</v>
      </c>
      <c r="B177" s="36"/>
      <c r="C177" s="36"/>
      <c r="D177" s="36"/>
      <c r="E177" s="36">
        <v>999999999</v>
      </c>
      <c r="F177" s="36">
        <f>IF(AND(F169&gt;A177, F169&lt;=E177),F169,0)</f>
        <v>0</v>
      </c>
      <c r="G177" s="36">
        <f>(50000/100*3)+(50000/100*8)+(75000/100*9)+(75000/100*18)+(250000/100*24)+((30/100)*(-A177+F177))</f>
        <v>-64250</v>
      </c>
      <c r="H177" s="36">
        <f>(50000/100*2)+(50000/100*5.3)+(75000/100*6)+(75000/100*12)+(250000/100*24)+((30/100)*(-A177+F177))</f>
        <v>-72850</v>
      </c>
      <c r="I177" s="36"/>
      <c r="J177" s="36"/>
      <c r="K177" s="36"/>
      <c r="L177" s="36"/>
      <c r="M177" s="36" t="e">
        <f>SUM(M169:M176)</f>
        <v>#REF!</v>
      </c>
      <c r="N177" s="68"/>
      <c r="O177" s="68"/>
      <c r="P177" s="101">
        <f>IF(AND(SCHOV!B21&gt;=75,SCHOV!B21&lt;=79),P146,0)</f>
        <v>0</v>
      </c>
      <c r="Q177" s="102">
        <f>IF(AND(SCHOV!B26&gt;=75,SCHOV!B26&lt;=79),Q146,0)</f>
        <v>0</v>
      </c>
      <c r="R177" s="103">
        <f>IF(AND(SCHOV!B31&gt;=75,SCHOV!B31&lt;=79),R146,0)</f>
        <v>0</v>
      </c>
      <c r="S177" s="102">
        <f>IF(AND(SCHOV!B36&gt;=75,SCHOV!B36&lt;=79),S146,0)</f>
        <v>0</v>
      </c>
      <c r="T177" s="102">
        <f>IF(AND(SCHOV!B41&gt;=75,SCHOV!B41&lt;=79),T146,0)</f>
        <v>0</v>
      </c>
      <c r="U177" s="102">
        <f>IF(AND(SCHOV!B46&gt;=75,SCHOV!B46&lt;=79),U146,0)</f>
        <v>0</v>
      </c>
      <c r="V177" s="102">
        <f>IF(AND(SCHOV!B51&gt;=75,SCHOV!B51&lt;=79),V146,0)</f>
        <v>0</v>
      </c>
      <c r="W177" s="102">
        <f>IF(AND(SCHOV!B56&gt;=75,SCHOV!B56&lt;=79),W146,0)</f>
        <v>0</v>
      </c>
      <c r="X177" s="102">
        <f>IF(AND(SCHOV!B61&gt;=75,SCHOV!B61&lt;=79),X146,0)</f>
        <v>0</v>
      </c>
      <c r="Y177" s="66"/>
      <c r="Z177" s="66"/>
      <c r="AA177" s="66"/>
      <c r="AB177" s="66"/>
      <c r="AC177" s="66"/>
      <c r="AD177" s="66"/>
      <c r="AE177" s="66"/>
      <c r="AF177" s="66"/>
      <c r="AG177" s="66"/>
      <c r="AH177" s="66"/>
      <c r="AI177" s="66"/>
      <c r="AJ177" s="66"/>
      <c r="AK177" s="66"/>
      <c r="AL177" s="66"/>
      <c r="AM177" s="66"/>
      <c r="AN177" s="66"/>
      <c r="AO177" s="66"/>
      <c r="AP177" s="101">
        <f>IF(AND(SCHOV!B23&gt;=75,SCHOV!B23&lt;=79),AP146,0)</f>
        <v>0</v>
      </c>
      <c r="AQ177" s="102">
        <f>IF(AND(SCHOV!B28&gt;=75,SCHOV!B28&lt;=79),AQ146,0)</f>
        <v>0</v>
      </c>
      <c r="AR177" s="103">
        <f>IF(AND(SCHOV!B33&gt;=75,SCHOV!B33&lt;=79),AR146,0)</f>
        <v>0</v>
      </c>
      <c r="AS177" s="102">
        <f>IF(AND(SCHOV!B38&gt;=75,SCHOV!B38&lt;=79),AS146,0)</f>
        <v>0</v>
      </c>
      <c r="AT177" s="102">
        <f>IF(AND(SCHOV!B43&gt;=75,SCHOV!B43&lt;=79),AT146,0)</f>
        <v>0</v>
      </c>
      <c r="AU177" s="102">
        <f>IF(AND(SCHOV!B48&gt;=75,SCHOV!B48&lt;=79),AU146,0)</f>
        <v>0</v>
      </c>
      <c r="AV177" s="102">
        <f>IF(AND(SCHOV!B53&gt;=75,SCHOV!B53&lt;=79),AV146,0)</f>
        <v>0</v>
      </c>
      <c r="AW177" s="102">
        <f>IF(AND(SCHOV!B58&gt;=75,SCHOV!B58&lt;=79),AW146,0)</f>
        <v>0</v>
      </c>
      <c r="AX177" s="102">
        <f>IF(AND(SCHOV!B63&gt;=75,SCHOV!B63&lt;=79),AX146,0)</f>
        <v>0</v>
      </c>
    </row>
    <row r="178" spans="1:50">
      <c r="A178" s="36"/>
      <c r="B178" s="36"/>
      <c r="C178" s="36"/>
      <c r="D178" s="36"/>
      <c r="E178" s="36"/>
      <c r="F178" s="36"/>
      <c r="G178" s="36"/>
      <c r="H178" s="36"/>
      <c r="I178" s="36"/>
      <c r="J178" s="36"/>
      <c r="K178" s="36"/>
      <c r="L178" s="36"/>
      <c r="M178" s="36"/>
      <c r="N178" s="68"/>
      <c r="O178" s="68"/>
      <c r="P178" s="101"/>
      <c r="Q178" s="102"/>
      <c r="R178" s="103"/>
      <c r="S178" s="102"/>
      <c r="T178" s="102"/>
      <c r="U178" s="102"/>
      <c r="V178" s="102"/>
      <c r="W178" s="102"/>
      <c r="X178" s="102"/>
      <c r="Y178" s="66"/>
      <c r="Z178" s="66"/>
      <c r="AA178" s="66"/>
      <c r="AB178" s="66"/>
      <c r="AC178" s="66"/>
      <c r="AD178" s="66"/>
      <c r="AE178" s="66"/>
      <c r="AF178" s="66"/>
      <c r="AG178" s="66"/>
      <c r="AH178" s="66"/>
      <c r="AI178" s="66"/>
      <c r="AJ178" s="66"/>
      <c r="AK178" s="66"/>
      <c r="AL178" s="66"/>
      <c r="AM178" s="66"/>
      <c r="AN178" s="66"/>
      <c r="AO178" s="66"/>
      <c r="AP178" s="101"/>
      <c r="AQ178" s="102"/>
      <c r="AR178" s="103"/>
      <c r="AS178" s="102"/>
      <c r="AT178" s="102"/>
      <c r="AU178" s="102"/>
      <c r="AV178" s="102"/>
      <c r="AW178" s="102"/>
      <c r="AX178" s="102"/>
    </row>
    <row r="179" spans="1:50">
      <c r="A179" s="36"/>
      <c r="B179" s="36"/>
      <c r="C179" s="36"/>
      <c r="D179" s="36"/>
      <c r="E179" s="36"/>
      <c r="F179" s="36"/>
      <c r="G179" s="36"/>
      <c r="H179" s="36"/>
      <c r="I179" s="36"/>
      <c r="J179" s="36"/>
      <c r="K179" s="36"/>
      <c r="L179" s="36"/>
      <c r="M179" s="36"/>
      <c r="N179" s="68"/>
      <c r="O179" s="68"/>
      <c r="P179" s="101">
        <f>IF(SCHOV!B21&gt;=80,P148,0)</f>
        <v>0</v>
      </c>
      <c r="Q179" s="102">
        <f>IF(SCHOV!B26&gt;=80,Q148,0)</f>
        <v>0</v>
      </c>
      <c r="R179" s="103">
        <f>IF(SCHOV!B31&gt;=80,R148,0)</f>
        <v>0</v>
      </c>
      <c r="S179" s="102">
        <f>IF(SCHOV!B36&gt;=80,S148,0)</f>
        <v>0</v>
      </c>
      <c r="T179" s="102">
        <f>IF(SCHOV!B41&gt;=80,T148,0)</f>
        <v>0</v>
      </c>
      <c r="U179" s="102">
        <f>IF(SCHOV!B46&gt;=80,U148,0)</f>
        <v>0</v>
      </c>
      <c r="V179" s="102">
        <f>IF(SCHOV!B51&gt;=80,V148,0)</f>
        <v>0</v>
      </c>
      <c r="W179" s="102">
        <f>IF(SCHOV!B56&gt;=80,W148,0)</f>
        <v>0</v>
      </c>
      <c r="X179" s="102">
        <f>IF(SCHOV!B61&gt;=80,X148,0)</f>
        <v>0</v>
      </c>
      <c r="Y179" s="66"/>
      <c r="Z179" s="66"/>
      <c r="AA179" s="66"/>
      <c r="AB179" s="66"/>
      <c r="AC179" s="66"/>
      <c r="AD179" s="66"/>
      <c r="AE179" s="66"/>
      <c r="AF179" s="66"/>
      <c r="AG179" s="66"/>
      <c r="AH179" s="66"/>
      <c r="AI179" s="66"/>
      <c r="AJ179" s="66"/>
      <c r="AK179" s="66"/>
      <c r="AL179" s="66"/>
      <c r="AM179" s="66"/>
      <c r="AN179" s="66"/>
      <c r="AO179" s="66"/>
      <c r="AP179" s="101">
        <f>IF(SCHOV!B23&gt;=80,AP148,0)</f>
        <v>0</v>
      </c>
      <c r="AQ179" s="102">
        <f>IF(SCHOV!B28&gt;=80,AQ148,0)</f>
        <v>0</v>
      </c>
      <c r="AR179" s="103">
        <f>IF(SCHOV!B33&gt;=80,AR148,0)</f>
        <v>0</v>
      </c>
      <c r="AS179" s="102">
        <f>IF(SCHOV!B38&gt;=80,AS148,0)</f>
        <v>0</v>
      </c>
      <c r="AT179" s="102">
        <f>IF(SCHOV!B43&gt;=80,AT148,0)</f>
        <v>0</v>
      </c>
      <c r="AU179" s="102">
        <f>IF(SCHOV!B48&gt;=80,AU148,0)</f>
        <v>0</v>
      </c>
      <c r="AV179" s="102">
        <f>IF(SCHOV!B53&gt;=80,AV148,0)</f>
        <v>0</v>
      </c>
      <c r="AW179" s="102">
        <f>IF(SCHOV!B58&gt;=80,AW148,0)</f>
        <v>0</v>
      </c>
      <c r="AX179" s="102">
        <f>IF(SCHOV!B63&gt;=80,AX148,0)</f>
        <v>0</v>
      </c>
    </row>
    <row r="180" spans="1:50" ht="13.5" thickBot="1">
      <c r="A180" s="36"/>
      <c r="B180" s="36"/>
      <c r="C180" s="36"/>
      <c r="D180" s="36"/>
      <c r="E180" s="36"/>
      <c r="F180" s="36"/>
      <c r="G180" s="36"/>
      <c r="H180" s="36"/>
      <c r="I180" s="36"/>
      <c r="J180" s="36"/>
      <c r="K180" s="36"/>
      <c r="L180" s="36"/>
      <c r="M180" s="36"/>
      <c r="N180" s="68"/>
      <c r="O180" s="68"/>
      <c r="P180" s="101"/>
      <c r="Q180" s="102"/>
      <c r="R180" s="103"/>
      <c r="S180" s="102"/>
      <c r="T180" s="102"/>
      <c r="U180" s="102"/>
      <c r="V180" s="102"/>
      <c r="W180" s="102"/>
      <c r="X180" s="102"/>
      <c r="Y180" s="66"/>
      <c r="Z180" s="66"/>
      <c r="AA180" s="66"/>
      <c r="AB180" s="66"/>
      <c r="AC180" s="66"/>
      <c r="AD180" s="66"/>
      <c r="AE180" s="66"/>
      <c r="AF180" s="66"/>
      <c r="AG180" s="66"/>
      <c r="AH180" s="66"/>
      <c r="AI180" s="66"/>
      <c r="AJ180" s="66"/>
      <c r="AK180" s="66"/>
      <c r="AL180" s="66"/>
      <c r="AM180" s="66"/>
      <c r="AN180" s="66"/>
      <c r="AO180" s="66"/>
      <c r="AP180" s="101"/>
      <c r="AQ180" s="102"/>
      <c r="AR180" s="103"/>
      <c r="AS180" s="102"/>
      <c r="AT180" s="102"/>
      <c r="AU180" s="102"/>
      <c r="AV180" s="102"/>
      <c r="AW180" s="102"/>
      <c r="AX180" s="102"/>
    </row>
    <row r="181" spans="1:50" ht="13.5" thickBot="1">
      <c r="A181" s="42" t="s">
        <v>14</v>
      </c>
      <c r="B181" s="42"/>
      <c r="C181" s="42"/>
      <c r="D181" s="42"/>
      <c r="E181" s="36"/>
      <c r="F181" s="36"/>
      <c r="G181" s="36">
        <f>VLOOKUP(F169,F172:G177,2,FALSE)</f>
        <v>0</v>
      </c>
      <c r="H181" s="36">
        <f>VLOOKUP(F169,F172:H177,3,FALSE)</f>
        <v>0</v>
      </c>
      <c r="I181" s="36"/>
      <c r="J181" s="36"/>
      <c r="K181" s="36"/>
      <c r="L181" s="36"/>
      <c r="M181" s="36"/>
      <c r="N181" s="68"/>
      <c r="O181" s="68"/>
      <c r="P181" s="108">
        <f t="shared" ref="P181:U181" si="1">SUM(P157:P179)</f>
        <v>0</v>
      </c>
      <c r="Q181" s="109">
        <f t="shared" si="1"/>
        <v>0</v>
      </c>
      <c r="R181" s="110">
        <f t="shared" si="1"/>
        <v>0</v>
      </c>
      <c r="S181" s="109">
        <f t="shared" si="1"/>
        <v>0</v>
      </c>
      <c r="T181" s="109">
        <f t="shared" si="1"/>
        <v>0</v>
      </c>
      <c r="U181" s="109">
        <f t="shared" si="1"/>
        <v>0</v>
      </c>
      <c r="V181" s="109">
        <f>SUM(U157:U179)</f>
        <v>0</v>
      </c>
      <c r="W181" s="109">
        <f>SUM(W157:W179)</f>
        <v>0</v>
      </c>
      <c r="X181" s="109">
        <f>SUM(X157:X179)</f>
        <v>0</v>
      </c>
      <c r="Y181" s="66"/>
      <c r="Z181" s="66"/>
      <c r="AA181" s="66"/>
      <c r="AB181" s="66"/>
      <c r="AC181" s="66"/>
      <c r="AD181" s="66"/>
      <c r="AE181" s="66"/>
      <c r="AF181" s="66"/>
      <c r="AG181" s="66"/>
      <c r="AH181" s="66"/>
      <c r="AI181" s="66"/>
      <c r="AJ181" s="66"/>
      <c r="AK181" s="66"/>
      <c r="AL181" s="66"/>
      <c r="AM181" s="66"/>
      <c r="AN181" s="66"/>
      <c r="AO181" s="66"/>
      <c r="AP181" s="108">
        <f t="shared" ref="AP181:AU181" si="2">SUM(AP157:AP179)</f>
        <v>0</v>
      </c>
      <c r="AQ181" s="109">
        <f t="shared" si="2"/>
        <v>0</v>
      </c>
      <c r="AR181" s="110">
        <f t="shared" si="2"/>
        <v>0</v>
      </c>
      <c r="AS181" s="109">
        <f t="shared" si="2"/>
        <v>0</v>
      </c>
      <c r="AT181" s="109">
        <f t="shared" si="2"/>
        <v>0</v>
      </c>
      <c r="AU181" s="109">
        <f t="shared" si="2"/>
        <v>0</v>
      </c>
      <c r="AV181" s="109">
        <f>SUM(AU157:AU179)</f>
        <v>0</v>
      </c>
      <c r="AW181" s="109">
        <f>SUM(AW157:AW179)</f>
        <v>0</v>
      </c>
      <c r="AX181" s="109">
        <f>SUM(AX157:AX179)</f>
        <v>0</v>
      </c>
    </row>
    <row r="182" spans="1:50">
      <c r="A182" s="36"/>
      <c r="B182" s="36"/>
      <c r="C182" s="36"/>
      <c r="D182" s="36"/>
      <c r="E182" s="36"/>
      <c r="F182" s="36"/>
      <c r="G182" s="36"/>
      <c r="H182" s="36"/>
      <c r="I182" s="36"/>
      <c r="J182" s="36"/>
      <c r="K182" s="36"/>
      <c r="L182" s="36"/>
      <c r="M182" s="36"/>
      <c r="N182" s="68"/>
      <c r="O182" s="68"/>
      <c r="P182" s="86"/>
      <c r="Q182" s="66"/>
      <c r="R182" s="91"/>
      <c r="S182" s="66"/>
      <c r="T182" s="66"/>
      <c r="U182" s="66"/>
      <c r="V182" s="66"/>
      <c r="W182" s="66"/>
      <c r="X182" s="66"/>
      <c r="Y182" s="66"/>
      <c r="Z182" s="66"/>
      <c r="AA182" s="66"/>
      <c r="AB182" s="66"/>
      <c r="AC182" s="66"/>
      <c r="AD182" s="66"/>
      <c r="AE182" s="66"/>
      <c r="AF182" s="66"/>
      <c r="AG182" s="66"/>
      <c r="AH182" s="66"/>
      <c r="AI182" s="66"/>
      <c r="AJ182" s="66"/>
      <c r="AK182" s="66"/>
      <c r="AL182" s="66"/>
      <c r="AM182" s="66"/>
      <c r="AN182" s="66"/>
      <c r="AO182" s="66"/>
      <c r="AP182" s="86"/>
      <c r="AQ182" s="66"/>
      <c r="AR182" s="91"/>
      <c r="AS182" s="66"/>
      <c r="AT182" s="66"/>
      <c r="AU182" s="66"/>
      <c r="AV182" s="66"/>
      <c r="AW182" s="66"/>
      <c r="AX182" s="66"/>
    </row>
    <row r="183" spans="1:50">
      <c r="A183" s="36"/>
      <c r="B183" s="36"/>
      <c r="C183" s="36"/>
      <c r="D183" s="36"/>
      <c r="E183" s="36"/>
      <c r="F183" s="36"/>
      <c r="G183" s="36"/>
      <c r="H183" s="36"/>
      <c r="I183" s="36"/>
      <c r="J183" s="36"/>
      <c r="K183" s="36"/>
      <c r="L183" s="36"/>
      <c r="M183" s="36"/>
      <c r="N183" s="68"/>
      <c r="O183" s="68"/>
      <c r="P183" s="86">
        <f>SUM(P181:X181)</f>
        <v>0</v>
      </c>
      <c r="Q183" s="66"/>
      <c r="R183" s="91"/>
      <c r="S183" s="66"/>
      <c r="T183" s="66"/>
      <c r="U183" s="66"/>
      <c r="V183" s="66"/>
      <c r="W183" s="66"/>
      <c r="X183" s="66"/>
      <c r="Y183" s="66"/>
      <c r="Z183" s="66"/>
      <c r="AA183" s="66"/>
      <c r="AB183" s="66"/>
      <c r="AC183" s="66"/>
      <c r="AD183" s="66"/>
      <c r="AE183" s="66"/>
      <c r="AF183" s="66"/>
      <c r="AG183" s="66"/>
      <c r="AH183" s="66"/>
      <c r="AI183" s="66"/>
      <c r="AJ183" s="66"/>
      <c r="AK183" s="66"/>
      <c r="AL183" s="66"/>
      <c r="AM183" s="66"/>
      <c r="AN183" s="66"/>
      <c r="AO183" s="66"/>
      <c r="AP183" s="86">
        <f>SUM(AP181:AX181)</f>
        <v>0</v>
      </c>
      <c r="AQ183" s="66"/>
      <c r="AR183" s="91"/>
      <c r="AS183" s="66"/>
      <c r="AT183" s="66"/>
      <c r="AU183" s="66"/>
      <c r="AV183" s="66"/>
      <c r="AW183" s="66"/>
      <c r="AX183" s="66"/>
    </row>
    <row r="190" spans="1:50">
      <c r="A190" s="7"/>
      <c r="B190" s="7"/>
      <c r="C190" s="7"/>
      <c r="D190" s="7"/>
      <c r="E190" s="24"/>
      <c r="F190" s="7"/>
      <c r="G190" s="24"/>
      <c r="H190" s="7"/>
      <c r="I190" s="7"/>
      <c r="J190" s="7">
        <f>IF(AND(SCHOV!E16="bouwgrond",SCHOV!F20="echtgeno(o)t(e)"),H205,0)</f>
        <v>0</v>
      </c>
      <c r="K190" s="7"/>
      <c r="L190" s="7"/>
      <c r="M190" s="7"/>
      <c r="N190" s="7"/>
      <c r="O190" s="7"/>
      <c r="P190" s="7"/>
      <c r="Q190" s="7"/>
      <c r="R190" s="7"/>
      <c r="S190" s="7"/>
      <c r="T190" s="7"/>
    </row>
    <row r="191" spans="1:50">
      <c r="A191" s="7"/>
      <c r="B191" s="7"/>
      <c r="C191" s="7"/>
      <c r="D191" s="7"/>
      <c r="E191" s="24"/>
      <c r="F191" s="7"/>
      <c r="G191" s="24"/>
      <c r="H191" s="7"/>
      <c r="I191" s="7"/>
      <c r="J191" s="7">
        <f>IF(AND(SCHOV!E16="andere",SCHOV!F20="echtgeno(o)t(e)"),G205,0)</f>
        <v>0</v>
      </c>
      <c r="K191" s="7"/>
      <c r="L191" s="7"/>
      <c r="M191" s="7"/>
      <c r="N191" s="7"/>
      <c r="O191" s="7"/>
      <c r="P191" s="7"/>
      <c r="Q191" s="7"/>
      <c r="R191" s="7"/>
      <c r="S191" s="7"/>
      <c r="T191" s="7"/>
    </row>
    <row r="192" spans="1:50">
      <c r="A192" s="35"/>
      <c r="B192" s="35"/>
      <c r="C192" s="35"/>
      <c r="D192" s="35"/>
      <c r="E192" s="36"/>
      <c r="F192" s="37"/>
      <c r="G192" s="36"/>
      <c r="H192" s="36"/>
      <c r="I192" s="38"/>
      <c r="J192" s="39">
        <f>IF(AND(SCHOV!E16="bouwgrond",SCHOV!F20="rechte lijn"),H205,0)</f>
        <v>0</v>
      </c>
      <c r="K192" s="38"/>
      <c r="L192" s="40" t="s">
        <v>74</v>
      </c>
      <c r="M192" s="7"/>
      <c r="N192" s="7"/>
      <c r="O192" s="7"/>
      <c r="P192" s="7"/>
      <c r="Q192" s="7"/>
      <c r="R192" s="7"/>
      <c r="S192" s="7"/>
      <c r="T192" s="7"/>
    </row>
    <row r="193" spans="1:20">
      <c r="A193" s="36" t="s">
        <v>10</v>
      </c>
      <c r="B193" s="36"/>
      <c r="C193" s="36"/>
      <c r="D193" s="36"/>
      <c r="E193" s="36"/>
      <c r="F193" s="36">
        <f>SCHOV!G22</f>
        <v>0</v>
      </c>
      <c r="G193" s="41"/>
      <c r="H193" s="36"/>
      <c r="I193" s="36"/>
      <c r="J193" s="39">
        <f>IF(AND(SCHOV!E16="andere",SCHOV!F20="rechte lijn"),G205,0)</f>
        <v>0</v>
      </c>
      <c r="K193" s="36"/>
      <c r="L193" s="40" t="s">
        <v>64</v>
      </c>
      <c r="M193" s="7"/>
      <c r="N193" s="7"/>
      <c r="O193" s="7"/>
      <c r="P193" s="7"/>
      <c r="Q193" s="7"/>
      <c r="R193" s="7"/>
      <c r="S193" s="7"/>
      <c r="T193" s="7"/>
    </row>
    <row r="194" spans="1:20">
      <c r="A194" s="36"/>
      <c r="B194" s="36"/>
      <c r="C194" s="36"/>
      <c r="D194" s="36"/>
      <c r="E194" s="36"/>
      <c r="F194" s="36"/>
      <c r="G194" s="36"/>
      <c r="H194" s="36"/>
      <c r="I194" s="36"/>
      <c r="J194" s="39">
        <f>IF(AND(SCHOV!E16="bouwgrond",SCHOV!F20="broer/zuster"),H215,0)</f>
        <v>0</v>
      </c>
      <c r="K194" s="36"/>
      <c r="L194" s="36" t="s">
        <v>35</v>
      </c>
      <c r="M194" s="7" t="s">
        <v>63</v>
      </c>
      <c r="N194" s="7" t="s">
        <v>77</v>
      </c>
      <c r="O194" s="7"/>
      <c r="P194" s="7"/>
      <c r="Q194" s="7"/>
      <c r="R194" s="7"/>
      <c r="S194" s="7"/>
      <c r="T194" s="7"/>
    </row>
    <row r="195" spans="1:20">
      <c r="A195" s="37" t="s">
        <v>11</v>
      </c>
      <c r="B195" s="37"/>
      <c r="C195" s="37"/>
      <c r="D195" s="37"/>
      <c r="E195" s="36"/>
      <c r="F195" s="36"/>
      <c r="G195" s="38" t="s">
        <v>12</v>
      </c>
      <c r="H195" s="38" t="s">
        <v>13</v>
      </c>
      <c r="I195" s="36"/>
      <c r="J195" s="39">
        <f>IF(AND(SCHOV!E16="andere",SCHOV!F20="broer/zuster"),G215,0)</f>
        <v>0</v>
      </c>
      <c r="K195" s="36"/>
      <c r="L195" s="36" t="s">
        <v>53</v>
      </c>
      <c r="M195" s="7"/>
      <c r="N195" s="7"/>
      <c r="O195" s="7"/>
      <c r="P195" s="7"/>
      <c r="Q195" s="7"/>
      <c r="R195" s="7"/>
      <c r="S195" s="7"/>
      <c r="T195" s="7"/>
    </row>
    <row r="196" spans="1:20">
      <c r="A196" s="36">
        <v>0</v>
      </c>
      <c r="B196" s="36"/>
      <c r="C196" s="36"/>
      <c r="D196" s="36"/>
      <c r="E196" s="36">
        <v>12500</v>
      </c>
      <c r="F196" s="36">
        <f>IF(AND(F193&gt;A196, F193&lt;=E196),F193,0)</f>
        <v>0</v>
      </c>
      <c r="G196" s="36">
        <f>0+(3/100)*(-A196+F196)</f>
        <v>0</v>
      </c>
      <c r="H196" s="36">
        <f>0+(1/100)*(-A196+F196)</f>
        <v>0</v>
      </c>
      <c r="I196" s="36"/>
      <c r="J196" s="39">
        <f>IF(AND(SCHOV!E16="bouwgrond",SCHOV!F20="oom-tante/neef-nicht"),J215,0)</f>
        <v>0</v>
      </c>
      <c r="K196" s="36"/>
      <c r="L196" s="36" t="s">
        <v>36</v>
      </c>
      <c r="M196" s="7" t="s">
        <v>78</v>
      </c>
      <c r="N196" s="7">
        <f>IF(SCHOV!I20=3,J201*12%,0)</f>
        <v>0</v>
      </c>
      <c r="O196" s="7">
        <f>IF(N196&gt;372,372,N196)</f>
        <v>0</v>
      </c>
      <c r="P196" s="7"/>
      <c r="Q196" s="7" t="s">
        <v>79</v>
      </c>
      <c r="R196" s="7">
        <f>J201*6%</f>
        <v>0</v>
      </c>
      <c r="S196" s="7">
        <f>IF(R196&gt;186,186,R196)</f>
        <v>0</v>
      </c>
      <c r="T196" s="7">
        <f>IF(SCHOV!I20=3,S196,0)</f>
        <v>0</v>
      </c>
    </row>
    <row r="197" spans="1:20">
      <c r="A197" s="36">
        <f t="shared" ref="A197:A204" si="3">E196</f>
        <v>12500</v>
      </c>
      <c r="B197" s="36"/>
      <c r="C197" s="36"/>
      <c r="D197" s="36"/>
      <c r="E197" s="36">
        <v>25000</v>
      </c>
      <c r="F197" s="36">
        <f>IF(AND(F193&gt;A197, F193&lt;=E197),F193,0)</f>
        <v>0</v>
      </c>
      <c r="G197" s="36">
        <f>(12500/100*3)+(4/100)*(-A197+F197)</f>
        <v>-125</v>
      </c>
      <c r="H197" s="36">
        <f>(12500/100*1)+(2/100)*(-A197+F197)</f>
        <v>-125</v>
      </c>
      <c r="I197" s="36"/>
      <c r="J197" s="39">
        <f>IF(AND(SCHOV!E16="andere",SCHOV!F20="oom-tante/neef-nicht"),I215,0)</f>
        <v>0</v>
      </c>
      <c r="K197" s="36"/>
      <c r="L197" s="7" t="s">
        <v>63</v>
      </c>
      <c r="M197" s="7"/>
      <c r="N197" s="7">
        <f>IF(SCHOV!I20=4,J201*16%,0)</f>
        <v>0</v>
      </c>
      <c r="O197" s="7">
        <f>IF(N197&gt;496,496,N197)</f>
        <v>0</v>
      </c>
      <c r="P197" s="7"/>
      <c r="Q197" s="7" t="s">
        <v>80</v>
      </c>
      <c r="R197" s="7">
        <f>J201*8%</f>
        <v>0</v>
      </c>
      <c r="S197" s="7">
        <f>IF(R197&gt;248,248,R197)</f>
        <v>0</v>
      </c>
      <c r="T197" s="7">
        <f>IF(SCHOV!I20=4,S197,0)</f>
        <v>0</v>
      </c>
    </row>
    <row r="198" spans="1:20">
      <c r="A198" s="36">
        <f t="shared" si="3"/>
        <v>25000</v>
      </c>
      <c r="B198" s="36"/>
      <c r="C198" s="36"/>
      <c r="D198" s="36"/>
      <c r="E198" s="36">
        <v>50000</v>
      </c>
      <c r="F198" s="36">
        <f>IF(AND(F193&gt;A198, F193&lt;=E198),F193,0)</f>
        <v>0</v>
      </c>
      <c r="G198" s="36">
        <f>(12500/100*3)+(12500/100*4)+((5/100)*(-A198+F198))</f>
        <v>-375</v>
      </c>
      <c r="H198" s="36">
        <f>(12500/100*1)+(12500/100*2)+((3/100)*(-A198+F198))</f>
        <v>-375</v>
      </c>
      <c r="I198" s="36"/>
      <c r="J198" s="39">
        <f>IF(AND(SCHOV!E16="bouwgrond",SCHOV!F20="vreemden"),L215,0)</f>
        <v>0</v>
      </c>
      <c r="K198" s="36"/>
      <c r="L198" s="36" t="s">
        <v>37</v>
      </c>
      <c r="M198" s="7"/>
      <c r="N198" s="7">
        <f>IF(SCHOV!I20=5,J201*20%,0)</f>
        <v>0</v>
      </c>
      <c r="O198" s="7">
        <f>IF(N198&gt;620,620,N198)</f>
        <v>0</v>
      </c>
      <c r="P198" s="7"/>
      <c r="Q198" s="7"/>
      <c r="R198" s="7">
        <f>J201*10%</f>
        <v>0</v>
      </c>
      <c r="S198" s="7">
        <f>IF(R198&gt;310,310,R198)</f>
        <v>0</v>
      </c>
      <c r="T198" s="7">
        <f>IF(SCHOV!I20=5,S198,0)</f>
        <v>0</v>
      </c>
    </row>
    <row r="199" spans="1:20">
      <c r="A199" s="36">
        <f t="shared" si="3"/>
        <v>50000</v>
      </c>
      <c r="B199" s="36"/>
      <c r="C199" s="36"/>
      <c r="D199" s="36"/>
      <c r="E199" s="36">
        <v>100000</v>
      </c>
      <c r="F199" s="36">
        <f>IF(AND(F193&gt;A199, F193&lt;=E199),F193,0)</f>
        <v>0</v>
      </c>
      <c r="G199" s="36">
        <f>(12500/100*3)+(12500/100*4)+(25000/100*5)+((7/100)*(-A199+F199))</f>
        <v>-1375.0000000000005</v>
      </c>
      <c r="H199" s="36">
        <f>(12500/100*1)+(12500/100*2)+(25000/100*3)+((5/100)*(-A199+F199))</f>
        <v>-1375</v>
      </c>
      <c r="I199" s="36"/>
      <c r="J199" s="39">
        <f>IF(AND(SCHOV!E16="andere",SCHOV!F20="vreemden"),K215,0)</f>
        <v>0</v>
      </c>
      <c r="K199" s="36"/>
      <c r="L199" s="36" t="s">
        <v>38</v>
      </c>
      <c r="M199" s="7"/>
      <c r="N199" s="7">
        <f>IF(SCHOV!I20=6,J201*24%,0)</f>
        <v>0</v>
      </c>
      <c r="O199" s="7">
        <f>IF(N199&gt;744,744,N199)</f>
        <v>0</v>
      </c>
      <c r="P199" s="7"/>
      <c r="Q199" s="7"/>
      <c r="R199" s="7">
        <f>J201*12%</f>
        <v>0</v>
      </c>
      <c r="S199" s="7">
        <f>IF(R199&gt;372,372,R199)</f>
        <v>0</v>
      </c>
      <c r="T199" s="7">
        <f>IF(SCHOV!I20=6,S199,0)</f>
        <v>0</v>
      </c>
    </row>
    <row r="200" spans="1:20">
      <c r="A200" s="36">
        <f t="shared" si="3"/>
        <v>100000</v>
      </c>
      <c r="B200" s="36"/>
      <c r="C200" s="36"/>
      <c r="D200" s="36"/>
      <c r="E200" s="36">
        <v>150000</v>
      </c>
      <c r="F200" s="36">
        <f>IF(AND(F193&gt;A200, F193&lt;=E200),F193,0)</f>
        <v>0</v>
      </c>
      <c r="G200" s="36">
        <f>(12500/100*3)+(12500/100*4)+(25000/100*5)+(50000/100*7)+((10/100)*(-A200+F200))</f>
        <v>-4375</v>
      </c>
      <c r="H200" s="36">
        <f>(12500/100*1)+(12500/100*2)+(25000/100*3)+(50000/100*5)+((8/100)*(-A200+F200))</f>
        <v>-4375</v>
      </c>
      <c r="I200" s="36"/>
      <c r="J200" s="36"/>
      <c r="K200" s="36"/>
      <c r="L200" s="36" t="s">
        <v>39</v>
      </c>
      <c r="M200" s="7"/>
      <c r="N200" s="7">
        <f>IF(SCHOV!I20=7,J201*28%,0)</f>
        <v>0</v>
      </c>
      <c r="O200" s="7">
        <f>IF(N200&gt;868,868,N200)</f>
        <v>0</v>
      </c>
      <c r="P200" s="7"/>
      <c r="Q200" s="7"/>
      <c r="R200" s="7">
        <f>J201*14%</f>
        <v>0</v>
      </c>
      <c r="S200" s="7">
        <f>IF(R200&gt;434,434,R200)</f>
        <v>0</v>
      </c>
      <c r="T200" s="7">
        <f>IF(SCHOV!I20=7,S200,0)</f>
        <v>0</v>
      </c>
    </row>
    <row r="201" spans="1:20">
      <c r="A201" s="36">
        <f t="shared" si="3"/>
        <v>150000</v>
      </c>
      <c r="B201" s="36"/>
      <c r="C201" s="36"/>
      <c r="D201" s="36"/>
      <c r="E201" s="36">
        <v>200000</v>
      </c>
      <c r="F201" s="36">
        <f>IF(AND(F193&gt;A201, F193&lt;=E201),F193,0)</f>
        <v>0</v>
      </c>
      <c r="G201" s="36">
        <f>(12500/100*3)+(12500/100*4)+(25000/100*5)+(50000/100*7)+(50000/100*10)+((14/100)*(-A201+F201))</f>
        <v>-10375.000000000004</v>
      </c>
      <c r="H201" s="36">
        <f>(12500/100*1)+(12500/100*2)+(25000/100*3)+(50000/100*5)+(50000/100*8)+((14/100)*(-A201+F201))</f>
        <v>-13375.000000000004</v>
      </c>
      <c r="I201" s="36"/>
      <c r="J201" s="36">
        <f>SUM(J190:J199)</f>
        <v>0</v>
      </c>
      <c r="K201" s="36"/>
      <c r="L201" s="36" t="s">
        <v>41</v>
      </c>
      <c r="M201" s="7"/>
      <c r="N201" s="7">
        <f>IF(SCHOV!I20=8,J201*32%,0)</f>
        <v>0</v>
      </c>
      <c r="O201" s="7">
        <f>IF(N201&gt;992,992,N201)</f>
        <v>0</v>
      </c>
      <c r="P201" s="7"/>
      <c r="Q201" s="7"/>
      <c r="R201" s="7">
        <f>J201*16%</f>
        <v>0</v>
      </c>
      <c r="S201" s="7">
        <f>IF(R201&gt;496,496,R201)</f>
        <v>0</v>
      </c>
      <c r="T201" s="7">
        <f>IF(SCHOV!I20=8,S201,0)</f>
        <v>0</v>
      </c>
    </row>
    <row r="202" spans="1:20">
      <c r="A202" s="36">
        <f t="shared" si="3"/>
        <v>200000</v>
      </c>
      <c r="B202" s="36"/>
      <c r="C202" s="36"/>
      <c r="D202" s="36"/>
      <c r="E202" s="36">
        <v>250000</v>
      </c>
      <c r="F202" s="36">
        <f>IF(AND(F193&gt;A202, F193&lt;=E202),F193,0)</f>
        <v>0</v>
      </c>
      <c r="G202" s="36">
        <f>(12500/100*3)+(12500/100*4)+(25000/100*5)+(50000/100*7)+(50000/100*10)+(50000/100*14)+((18/100)*(-A202+F202))</f>
        <v>-18375</v>
      </c>
      <c r="H202" s="36">
        <f>(12500/100*1)+(12500/100*2)+(25000/100*3)+(50000/100*5)+(50000/100*8)+(50000/100*14)+((18/100)*(-A202+F202))</f>
        <v>-21375</v>
      </c>
      <c r="I202" s="36"/>
      <c r="J202" s="36"/>
      <c r="K202" s="36"/>
      <c r="L202" s="36"/>
      <c r="M202" s="7"/>
      <c r="N202" s="7">
        <f>IF(SCHOV!I20=9,J201*36%,0)</f>
        <v>0</v>
      </c>
      <c r="O202" s="7">
        <f>IF(N202&gt;1116,1116,N202)</f>
        <v>0</v>
      </c>
      <c r="P202" s="7"/>
      <c r="Q202" s="7"/>
      <c r="R202" s="7">
        <f>J201*18%</f>
        <v>0</v>
      </c>
      <c r="S202" s="7">
        <f>IF(R202&gt;558,558,R202)</f>
        <v>0</v>
      </c>
      <c r="T202" s="7">
        <f>IF(SCHOV!I20=9,S202,0)</f>
        <v>0</v>
      </c>
    </row>
    <row r="203" spans="1:20">
      <c r="A203" s="36">
        <f t="shared" si="3"/>
        <v>250000</v>
      </c>
      <c r="B203" s="36"/>
      <c r="C203" s="36"/>
      <c r="D203" s="36"/>
      <c r="E203" s="36">
        <v>500000</v>
      </c>
      <c r="F203" s="36">
        <f>IF(AND(F193&gt;A203, F193&lt;=E203),F193,0)</f>
        <v>0</v>
      </c>
      <c r="G203" s="36">
        <f>(12500/100*3)+(12500/100*4)+(25000/100*5)+(50000/100*7)+(50000/100*10)+(50000/100*14)+(50000/100*18)+((24/100)*(-A203+F203))</f>
        <v>-33375</v>
      </c>
      <c r="H203" s="36">
        <f>(12500/100*1)+(12500/100*2)+(25000/100*3)+(50000/100*5)+(50000/100*8)+(50000/100*14)+(50000/100*18)+((24/100)*(-A203+F203))</f>
        <v>-36375</v>
      </c>
      <c r="I203" s="36"/>
      <c r="J203" s="36"/>
      <c r="K203" s="36"/>
      <c r="L203" s="36" t="s">
        <v>42</v>
      </c>
      <c r="M203" s="7"/>
      <c r="N203" s="7">
        <f>IF(SCHOV!I20=10,J201*40%,0)</f>
        <v>0</v>
      </c>
      <c r="O203" s="7">
        <f>IF(N203&gt;1240,1240,N203)</f>
        <v>0</v>
      </c>
      <c r="P203" s="7"/>
      <c r="Q203" s="7"/>
      <c r="R203" s="7">
        <f>J201*20%</f>
        <v>0</v>
      </c>
      <c r="S203" s="7">
        <f>IF(R203&gt;620,620,R203)</f>
        <v>0</v>
      </c>
      <c r="T203" s="7">
        <f>IF(SCHOV!I20=10,S203,0)</f>
        <v>0</v>
      </c>
    </row>
    <row r="204" spans="1:20">
      <c r="A204" s="36">
        <f t="shared" si="3"/>
        <v>500000</v>
      </c>
      <c r="B204" s="36"/>
      <c r="C204" s="36"/>
      <c r="D204" s="36"/>
      <c r="E204" s="36">
        <v>999999999</v>
      </c>
      <c r="F204" s="36">
        <f>IF(AND(F193&gt;A204, F193&lt;=E204),F193,0)</f>
        <v>0</v>
      </c>
      <c r="G204" s="36">
        <f>(12500/100*3)+(12500/100*4)+(25000/100*5)+(50000/100*7)+(50000/100*10)+(50000/100*14)+(50000/100*18)+(250000/100*24)+((30/100)*(-A204+F204))</f>
        <v>-63375</v>
      </c>
      <c r="H204" s="36">
        <f>(12500/100*1)+(12500/100*2)+(25000/100*3)+(50000/100*5)+(50000/100*8)+(50000/100*14)+(50000/100*18)+(250000/100*24)+((30/100)*(-A204+F204))</f>
        <v>-66375</v>
      </c>
      <c r="I204" s="36"/>
      <c r="J204" s="36"/>
      <c r="K204" s="36"/>
      <c r="L204" s="36" t="s">
        <v>54</v>
      </c>
      <c r="M204" s="7"/>
      <c r="N204" s="7"/>
      <c r="O204" s="7"/>
      <c r="P204" s="7"/>
      <c r="Q204" s="7"/>
      <c r="R204" s="7"/>
      <c r="S204" s="7"/>
      <c r="T204" s="7"/>
    </row>
    <row r="205" spans="1:20">
      <c r="A205" s="42" t="s">
        <v>14</v>
      </c>
      <c r="B205" s="42"/>
      <c r="C205" s="42"/>
      <c r="D205" s="42"/>
      <c r="E205" s="36"/>
      <c r="F205" s="36"/>
      <c r="G205" s="36">
        <f>VLOOKUP(F193,F196:G204,2,FALSE)</f>
        <v>0</v>
      </c>
      <c r="H205" s="36">
        <f>VLOOKUP(F193,F196:H204,3,FALSE)</f>
        <v>0</v>
      </c>
      <c r="I205" s="36"/>
      <c r="J205" s="36"/>
      <c r="K205" s="36"/>
      <c r="L205" s="43" t="s">
        <v>62</v>
      </c>
      <c r="M205" s="7"/>
      <c r="N205" s="7"/>
      <c r="O205" s="7">
        <f>SUM(O196:O204)</f>
        <v>0</v>
      </c>
      <c r="P205" s="7"/>
      <c r="Q205" s="7"/>
      <c r="R205" s="7"/>
      <c r="S205" s="7"/>
      <c r="T205" s="7">
        <f>SUM(T196:T204)</f>
        <v>0</v>
      </c>
    </row>
    <row r="206" spans="1:20">
      <c r="A206" s="36"/>
      <c r="B206" s="36"/>
      <c r="C206" s="36"/>
      <c r="D206" s="36"/>
      <c r="E206" s="36"/>
      <c r="F206" s="36"/>
      <c r="G206" s="36"/>
      <c r="H206" s="36"/>
      <c r="I206" s="36"/>
      <c r="J206" s="36"/>
      <c r="K206" s="36"/>
      <c r="L206" s="43" t="s">
        <v>75</v>
      </c>
      <c r="M206" s="7"/>
      <c r="N206" s="7"/>
      <c r="O206" s="29"/>
      <c r="P206" s="7"/>
      <c r="Q206" s="7"/>
      <c r="R206" s="7"/>
      <c r="S206" s="7"/>
      <c r="T206" s="7"/>
    </row>
    <row r="207" spans="1:20">
      <c r="A207" s="36"/>
      <c r="B207" s="36"/>
      <c r="C207" s="36"/>
      <c r="D207" s="36"/>
      <c r="E207" s="36"/>
      <c r="F207" s="36"/>
      <c r="G207" s="36"/>
      <c r="H207" s="36"/>
      <c r="I207" s="36"/>
      <c r="J207" s="36"/>
      <c r="K207" s="36"/>
      <c r="L207" s="43" t="s">
        <v>66</v>
      </c>
      <c r="M207" s="7"/>
      <c r="N207" s="7"/>
      <c r="O207" s="29"/>
      <c r="P207" s="7"/>
      <c r="Q207" s="7"/>
      <c r="R207" s="7"/>
      <c r="S207" s="7"/>
      <c r="T207" s="7"/>
    </row>
    <row r="208" spans="1:20">
      <c r="A208" s="37" t="s">
        <v>15</v>
      </c>
      <c r="B208" s="37"/>
      <c r="C208" s="37"/>
      <c r="D208" s="37"/>
      <c r="E208" s="36"/>
      <c r="F208" s="36"/>
      <c r="G208" s="38" t="s">
        <v>16</v>
      </c>
      <c r="H208" s="38" t="s">
        <v>17</v>
      </c>
      <c r="I208" s="35" t="s">
        <v>18</v>
      </c>
      <c r="J208" s="35" t="s">
        <v>19</v>
      </c>
      <c r="K208" s="35" t="s">
        <v>20</v>
      </c>
      <c r="L208" s="35" t="s">
        <v>21</v>
      </c>
      <c r="M208" s="7"/>
      <c r="N208" s="7"/>
      <c r="O208" s="29"/>
      <c r="P208" s="7"/>
      <c r="Q208" s="7"/>
      <c r="R208" s="7"/>
      <c r="S208" s="7"/>
      <c r="T208" s="7"/>
    </row>
    <row r="209" spans="1:20">
      <c r="A209" s="36">
        <v>0</v>
      </c>
      <c r="B209" s="36"/>
      <c r="C209" s="36"/>
      <c r="D209" s="36"/>
      <c r="E209" s="36">
        <v>12500</v>
      </c>
      <c r="F209" s="36">
        <f>IF(AND(F193&gt;A209, F193&lt;=E209),F193,0)</f>
        <v>0</v>
      </c>
      <c r="G209" s="36">
        <f>0+(20/100)*(-A209+F209)</f>
        <v>0</v>
      </c>
      <c r="H209" s="36">
        <f>0+(10/100)*(-A209+F209)</f>
        <v>0</v>
      </c>
      <c r="I209" s="36">
        <f>0+(25/100)*(-A209+F209)</f>
        <v>0</v>
      </c>
      <c r="J209" s="36">
        <f>0+(10/100)*(-A209+F209)</f>
        <v>0</v>
      </c>
      <c r="K209" s="36">
        <f>0+(30/100)*(-A209+F209)</f>
        <v>0</v>
      </c>
      <c r="L209" s="36">
        <f>0+(10/100)*(-A209+F209)</f>
        <v>0</v>
      </c>
      <c r="M209" s="7" t="s">
        <v>81</v>
      </c>
      <c r="N209" s="16">
        <f>J201-O205</f>
        <v>0</v>
      </c>
      <c r="O209" s="29"/>
      <c r="P209" s="7" t="s">
        <v>82</v>
      </c>
      <c r="Q209" s="44">
        <f>J201-T205</f>
        <v>0</v>
      </c>
      <c r="R209" s="7"/>
      <c r="S209" s="7"/>
      <c r="T209" s="7"/>
    </row>
    <row r="210" spans="1:20">
      <c r="A210" s="36">
        <f>E209</f>
        <v>12500</v>
      </c>
      <c r="B210" s="36"/>
      <c r="C210" s="36"/>
      <c r="D210" s="36"/>
      <c r="E210" s="36">
        <v>25000</v>
      </c>
      <c r="F210" s="36">
        <f>IF(AND(F193&gt;A210, F193&lt;=E210),F193,0)</f>
        <v>0</v>
      </c>
      <c r="G210" s="36">
        <f>(12500/100*20)+((25/100)*(-A210+F210))</f>
        <v>-625</v>
      </c>
      <c r="H210" s="36">
        <f>(12500/100*10)+((10/100)*(-A210+F210))</f>
        <v>0</v>
      </c>
      <c r="I210" s="36">
        <f>(12500/100*25)+((30/100)*(-A210+F210))</f>
        <v>-625</v>
      </c>
      <c r="J210" s="36">
        <f>(12500/100*10)+((10/100)*(-A210+F210))</f>
        <v>0</v>
      </c>
      <c r="K210" s="36">
        <f>(12500/100*30)+((35/100)*(-A210+F210))</f>
        <v>-625</v>
      </c>
      <c r="L210" s="36">
        <f>(12500/100*10)+((10/100)*(-A210+F210))</f>
        <v>0</v>
      </c>
      <c r="M210" s="7"/>
      <c r="N210" s="7"/>
      <c r="O210" s="7"/>
      <c r="P210" s="7"/>
      <c r="Q210" s="7"/>
      <c r="R210" s="7"/>
      <c r="S210" s="7"/>
      <c r="T210" s="7"/>
    </row>
    <row r="211" spans="1:20">
      <c r="A211" s="36">
        <f>E210</f>
        <v>25000</v>
      </c>
      <c r="B211" s="36"/>
      <c r="C211" s="36"/>
      <c r="D211" s="36"/>
      <c r="E211" s="36">
        <v>75000</v>
      </c>
      <c r="F211" s="36">
        <f>IF(AND(F193&gt;A211, F193&lt;=E211),F193,0)</f>
        <v>0</v>
      </c>
      <c r="G211" s="36">
        <f>(12500/100*20)+(12500/100*25)+((35/100)*(-A211+F211))</f>
        <v>-3125</v>
      </c>
      <c r="H211" s="36">
        <f>(12500/100*10)+(12500/100*10)+((10/100)*(-A211+F211))</f>
        <v>0</v>
      </c>
      <c r="I211" s="36">
        <f>(12500/100*25)+(12500/100*30)+((40/100)*(-A211+F211))</f>
        <v>-3125</v>
      </c>
      <c r="J211" s="36">
        <f>(12500/100*10)+(12500/100*10)+((10/100)*(-A211+F211))</f>
        <v>0</v>
      </c>
      <c r="K211" s="36">
        <f>(12500/100*30)+(12500/100*35)+((50/100)*(-A211+F211))</f>
        <v>-4375</v>
      </c>
      <c r="L211" s="36">
        <f>(12500/100*10)+(12500/100*10)+((10/100)*(-A211+F211))</f>
        <v>0</v>
      </c>
      <c r="M211" s="7"/>
      <c r="N211" s="7"/>
      <c r="O211" s="7">
        <f>(IF(SCHOV!F20="echtgeno(o)t(e)",N209,Q209))</f>
        <v>0</v>
      </c>
      <c r="P211" s="7"/>
      <c r="Q211" s="7"/>
      <c r="R211" s="7"/>
      <c r="S211" s="7"/>
      <c r="T211" s="7"/>
    </row>
    <row r="212" spans="1:20">
      <c r="A212" s="36">
        <f>E211</f>
        <v>75000</v>
      </c>
      <c r="B212" s="36"/>
      <c r="C212" s="36"/>
      <c r="D212" s="36"/>
      <c r="E212" s="36">
        <v>150000</v>
      </c>
      <c r="F212" s="36">
        <f>IF(AND(F193&gt;A212, F193&lt;=E212),F193,0)</f>
        <v>0</v>
      </c>
      <c r="G212" s="36">
        <f>(12500/100*20)+(12500/100*25)+(50000/100*35)+((50/100)*(-A212+F212))</f>
        <v>-14375</v>
      </c>
      <c r="H212" s="36">
        <f>(12500/100*10)+(12500/100*10)+(50000/100*10)+((10/100)*(-A212+F212))</f>
        <v>0</v>
      </c>
      <c r="I212" s="36">
        <f>(12500/100*25)+(12500/100*30)+(50000/100*40)+((55/100)*(-A212+F212))</f>
        <v>-14375</v>
      </c>
      <c r="J212" s="36">
        <f>(12500/100*10)+(12500/100*10)+(50000/100*10)+((10/100)*(-A212+F212))</f>
        <v>0</v>
      </c>
      <c r="K212" s="36">
        <f>(12500/100*30)+(12500/100*35)+(50000/100*50)+((65/100)*(-A212+F212))</f>
        <v>-15625</v>
      </c>
      <c r="L212" s="36">
        <f>(12500/100*10)+(12500/100*10)+(50000/100*10)+((10/100)*(-A212+F212))</f>
        <v>0</v>
      </c>
      <c r="M212" s="7"/>
      <c r="N212" s="7"/>
      <c r="O212" s="7"/>
      <c r="P212" s="7"/>
      <c r="Q212" s="7"/>
      <c r="R212" s="7"/>
      <c r="S212" s="7"/>
      <c r="T212" s="7"/>
    </row>
    <row r="213" spans="1:20">
      <c r="A213" s="36">
        <v>150000</v>
      </c>
      <c r="B213" s="36"/>
      <c r="C213" s="36"/>
      <c r="D213" s="36"/>
      <c r="E213" s="36">
        <v>175000</v>
      </c>
      <c r="F213" s="36">
        <f>IF(AND(F193&gt;A213, F193&lt;=E213),F193,0)</f>
        <v>0</v>
      </c>
      <c r="G213" s="36">
        <f>(12500/100*20)+(12500/100*25)+(50000/100*35)+(75000/100*50)+((50/100)*(-A213+F213))</f>
        <v>-14375</v>
      </c>
      <c r="H213" s="36">
        <f>(12500/100*10)+(12500/100*10)+(50000/100*10)+(75000/100*10)+((50/100)*(-A213+F213))</f>
        <v>-60000</v>
      </c>
      <c r="I213" s="36">
        <f>(12500/100*25)+(12500/100*30)+(50000/100*40)+(75000/100*55)+((55/100)*(-A213+F213))</f>
        <v>-14375</v>
      </c>
      <c r="J213" s="36">
        <f>(12500/100*10)+(12500/100*10)+(50000/100*10)+(75000/100*10)+((55/100)*(-A213+F213))</f>
        <v>-67500</v>
      </c>
      <c r="K213" s="36">
        <f>(12500/100*30)+(12500/100*35)+(50000/100*50)+(75000/100*65)+((65/100)*(-A213+F213))</f>
        <v>-15625</v>
      </c>
      <c r="L213" s="36">
        <f>(12500/100*10)+(12500/100*10)+(50000/100*10)+(75000/100*10)+((65/100)*(-A213+F213))</f>
        <v>-82500</v>
      </c>
      <c r="M213" s="7"/>
      <c r="N213" s="7"/>
      <c r="O213" s="7"/>
      <c r="P213" s="7"/>
      <c r="Q213" s="7"/>
      <c r="R213" s="7"/>
      <c r="S213" s="7"/>
      <c r="T213" s="7"/>
    </row>
    <row r="214" spans="1:20">
      <c r="A214" s="36">
        <v>175000</v>
      </c>
      <c r="B214" s="36"/>
      <c r="C214" s="36"/>
      <c r="D214" s="36"/>
      <c r="E214" s="36">
        <v>999999999</v>
      </c>
      <c r="F214" s="36">
        <f>IF(AND(F193&gt;A214, F193&lt;=E214),F193,0)</f>
        <v>0</v>
      </c>
      <c r="G214" s="36">
        <f>(12500/100*20)+(12500/100*25)+(50000/100*35)+(75000/100*50)+(25000/100*50)+((65/100)*(-A214+F214))</f>
        <v>-40625</v>
      </c>
      <c r="H214" s="36">
        <f>(12500/100*10)+(12500/100*10)+(50000/100*10)+(75000/100*10)+(25000/100*50)+((65/100)*(-A214+F214))</f>
        <v>-86250</v>
      </c>
      <c r="I214" s="36">
        <f>(12500/100*25)+(12500/100*30)+(50000/100*40)+(75000/100*55)+(25000/100*55)+((70/100)*(-A214+F214))</f>
        <v>-40624.999999999985</v>
      </c>
      <c r="J214" s="36">
        <f>(12500/100*10)+(12500/100*10)+(50000/100*10)+(75000/100*10)+(25000/100*55)+((70/100)*(-A214+F214))</f>
        <v>-93749.999999999985</v>
      </c>
      <c r="K214" s="36">
        <f>(12500/100*30)+(12500/100*35)+(50000/100*50)+(75000/100*65)+(25000/100*65)+((80/100)*(-A214+F214))</f>
        <v>-41875</v>
      </c>
      <c r="L214" s="36">
        <f>(12500/100*10)+(12500/100*10)+(50000/100*10)+(75000/100*10)+(25000/100*65)+((80/100)*(-A214+F214))</f>
        <v>-108750</v>
      </c>
      <c r="M214" s="7"/>
      <c r="N214" s="7"/>
      <c r="O214" s="7"/>
      <c r="P214" s="7"/>
      <c r="Q214" s="7"/>
      <c r="R214" s="7"/>
      <c r="S214" s="7"/>
      <c r="T214" s="7"/>
    </row>
    <row r="215" spans="1:20">
      <c r="A215" s="42" t="s">
        <v>14</v>
      </c>
      <c r="B215" s="42"/>
      <c r="C215" s="42"/>
      <c r="D215" s="42"/>
      <c r="E215" s="36"/>
      <c r="F215" s="36"/>
      <c r="G215" s="36">
        <f>VLOOKUP(F193,F209:G214,2,FALSE)</f>
        <v>0</v>
      </c>
      <c r="H215" s="36">
        <f>VLOOKUP(F193,F209:H214,3,FALSE)</f>
        <v>0</v>
      </c>
      <c r="I215" s="36">
        <f>VLOOKUP(F193,F209:I214,4,FALSE)</f>
        <v>0</v>
      </c>
      <c r="J215" s="36">
        <f>VLOOKUP(F193,F209:J214,5,FALSE)</f>
        <v>0</v>
      </c>
      <c r="K215" s="36">
        <f>VLOOKUP(F193,F209:K214,6,FALSE)</f>
        <v>0</v>
      </c>
      <c r="L215" s="36">
        <f>VLOOKUP(F193,F209:L214,7,FALSE)</f>
        <v>0</v>
      </c>
      <c r="M215" s="7"/>
      <c r="N215" s="7"/>
      <c r="O215" s="7"/>
      <c r="P215" s="7"/>
      <c r="Q215" s="7"/>
      <c r="R215" s="7"/>
      <c r="S215" s="7"/>
      <c r="T215" s="7"/>
    </row>
    <row r="216" spans="1:20">
      <c r="A216" s="7"/>
      <c r="B216" s="7"/>
      <c r="C216" s="7"/>
      <c r="D216" s="7"/>
      <c r="E216" s="7"/>
      <c r="F216" s="7"/>
      <c r="G216" s="7"/>
      <c r="H216" s="7"/>
      <c r="I216" s="7"/>
      <c r="J216" s="7"/>
      <c r="K216" s="7"/>
      <c r="L216" s="7"/>
      <c r="M216" s="7"/>
      <c r="N216" s="7"/>
      <c r="O216" s="7"/>
      <c r="P216" s="7"/>
      <c r="Q216" s="7"/>
      <c r="R216" s="7"/>
      <c r="S216" s="7"/>
      <c r="T216" s="7"/>
    </row>
    <row r="326" spans="1:20">
      <c r="A326" s="7"/>
      <c r="B326" s="7"/>
      <c r="C326" s="7"/>
      <c r="D326" s="7"/>
      <c r="E326" s="24"/>
      <c r="F326" s="7"/>
      <c r="G326" s="24"/>
      <c r="H326" s="7"/>
      <c r="I326" s="7"/>
      <c r="J326" s="7">
        <f>IF(AND(SCHOV!E16="bouwgrond",SCHOV!F25="echtgeno(o)t(e)"),H341,0)</f>
        <v>0</v>
      </c>
      <c r="K326" s="7"/>
      <c r="L326" s="7"/>
      <c r="M326" s="7"/>
      <c r="N326" s="7"/>
      <c r="O326" s="7"/>
      <c r="P326" s="7"/>
      <c r="Q326" s="7"/>
      <c r="R326" s="7"/>
      <c r="S326" s="7"/>
      <c r="T326" s="7"/>
    </row>
    <row r="327" spans="1:20">
      <c r="A327" s="7"/>
      <c r="B327" s="7"/>
      <c r="C327" s="7"/>
      <c r="D327" s="7"/>
      <c r="E327" s="24"/>
      <c r="F327" s="7"/>
      <c r="G327" s="24"/>
      <c r="H327" s="7"/>
      <c r="I327" s="7"/>
      <c r="J327" s="7">
        <f>IF(AND(SCHOV!E16="andere",SCHOV!F25="echtgeno(o)t(e)"),G341,0)</f>
        <v>0</v>
      </c>
      <c r="K327" s="7"/>
      <c r="L327" s="7"/>
      <c r="M327" s="7"/>
      <c r="N327" s="7"/>
      <c r="O327" s="7"/>
      <c r="P327" s="7"/>
      <c r="Q327" s="7"/>
      <c r="R327" s="7"/>
      <c r="S327" s="7"/>
      <c r="T327" s="7"/>
    </row>
    <row r="328" spans="1:20">
      <c r="A328" s="35"/>
      <c r="B328" s="35"/>
      <c r="C328" s="35"/>
      <c r="D328" s="35"/>
      <c r="E328" s="36"/>
      <c r="F328" s="37"/>
      <c r="G328" s="36"/>
      <c r="H328" s="36"/>
      <c r="I328" s="38"/>
      <c r="J328" s="39">
        <f>IF(AND(SCHOV!E16="bouwgrond",SCHOV!F25="rechte lijn"),H341,0)</f>
        <v>0</v>
      </c>
      <c r="K328" s="38"/>
      <c r="L328" s="40"/>
      <c r="M328" s="7"/>
      <c r="N328" s="7"/>
      <c r="O328" s="7"/>
      <c r="P328" s="7"/>
      <c r="Q328" s="7"/>
      <c r="R328" s="7"/>
      <c r="S328" s="7"/>
      <c r="T328" s="7"/>
    </row>
    <row r="329" spans="1:20">
      <c r="A329" s="36" t="s">
        <v>10</v>
      </c>
      <c r="B329" s="36"/>
      <c r="C329" s="36"/>
      <c r="D329" s="36"/>
      <c r="E329" s="36"/>
      <c r="F329" s="36">
        <f>SCHOV!G27</f>
        <v>0</v>
      </c>
      <c r="G329" s="41"/>
      <c r="H329" s="36"/>
      <c r="I329" s="36"/>
      <c r="J329" s="39">
        <f>IF(AND(SCHOV!E16="andere",SCHOV!F25="rechte lijn"),G341,0)</f>
        <v>0</v>
      </c>
      <c r="K329" s="36"/>
      <c r="L329" s="40"/>
      <c r="M329" s="7"/>
      <c r="N329" s="7"/>
      <c r="O329" s="7"/>
      <c r="P329" s="7"/>
      <c r="Q329" s="7"/>
      <c r="R329" s="7"/>
      <c r="S329" s="7"/>
      <c r="T329" s="7"/>
    </row>
    <row r="330" spans="1:20">
      <c r="A330" s="36"/>
      <c r="B330" s="36"/>
      <c r="C330" s="36"/>
      <c r="D330" s="36"/>
      <c r="E330" s="36"/>
      <c r="F330" s="36"/>
      <c r="G330" s="36"/>
      <c r="H330" s="36"/>
      <c r="I330" s="36"/>
      <c r="J330" s="39">
        <f>IF(AND(SCHOV!E16="bouwgrond",SCHOV!F25="broer/zuster"),H351,0)</f>
        <v>0</v>
      </c>
      <c r="K330" s="36"/>
      <c r="L330" s="36"/>
      <c r="M330" s="7"/>
      <c r="N330" s="7" t="s">
        <v>77</v>
      </c>
      <c r="O330" s="7"/>
      <c r="P330" s="7"/>
      <c r="Q330" s="7"/>
      <c r="R330" s="7"/>
      <c r="S330" s="7"/>
      <c r="T330" s="7"/>
    </row>
    <row r="331" spans="1:20">
      <c r="A331" s="37" t="s">
        <v>11</v>
      </c>
      <c r="B331" s="37"/>
      <c r="C331" s="37"/>
      <c r="D331" s="37"/>
      <c r="E331" s="36"/>
      <c r="F331" s="36"/>
      <c r="G331" s="38" t="s">
        <v>12</v>
      </c>
      <c r="H331" s="38" t="s">
        <v>13</v>
      </c>
      <c r="I331" s="36"/>
      <c r="J331" s="39">
        <f>IF(AND(SCHOV!E16="andere",SCHOV!F25="broer/zuster"),G351,0)</f>
        <v>0</v>
      </c>
      <c r="K331" s="36"/>
      <c r="L331" s="36"/>
      <c r="M331" s="7"/>
      <c r="N331" s="7"/>
      <c r="O331" s="7"/>
      <c r="P331" s="7"/>
      <c r="Q331" s="7"/>
      <c r="R331" s="7"/>
      <c r="S331" s="7"/>
      <c r="T331" s="7"/>
    </row>
    <row r="332" spans="1:20">
      <c r="A332" s="36">
        <v>0</v>
      </c>
      <c r="B332" s="36"/>
      <c r="C332" s="36"/>
      <c r="D332" s="36"/>
      <c r="E332" s="36">
        <v>12500</v>
      </c>
      <c r="F332" s="36">
        <f>IF(AND(F329&gt;A332, F329&lt;=E332),F329,0)</f>
        <v>0</v>
      </c>
      <c r="G332" s="36">
        <f>0+(3/100)*(-A332+F332)</f>
        <v>0</v>
      </c>
      <c r="H332" s="36">
        <f>0+(1/100)*(-A332+F332)</f>
        <v>0</v>
      </c>
      <c r="I332" s="36"/>
      <c r="J332" s="39">
        <f>IF(AND(SCHOV!E16="bouwgrond",SCHOV!F25="oom-tante/neef-nicht"),J351,0)</f>
        <v>0</v>
      </c>
      <c r="K332" s="36"/>
      <c r="L332" s="36"/>
      <c r="M332" s="7" t="s">
        <v>78</v>
      </c>
      <c r="N332" s="7">
        <f>IF(SCHOV!I25=3,J337*12%,0)</f>
        <v>0</v>
      </c>
      <c r="O332" s="7">
        <f>IF(N332&gt;372,372,N332)</f>
        <v>0</v>
      </c>
      <c r="P332" s="7"/>
      <c r="Q332" s="7" t="s">
        <v>79</v>
      </c>
      <c r="R332" s="7">
        <f>J337*6%</f>
        <v>0</v>
      </c>
      <c r="S332" s="7">
        <f>IF(R332&gt;186,186,R332)</f>
        <v>0</v>
      </c>
      <c r="T332" s="7">
        <f>IF(SCHOV!I25=3,S332,0)</f>
        <v>0</v>
      </c>
    </row>
    <row r="333" spans="1:20">
      <c r="A333" s="36">
        <f t="shared" ref="A333:A340" si="4">E332</f>
        <v>12500</v>
      </c>
      <c r="B333" s="36"/>
      <c r="C333" s="36"/>
      <c r="D333" s="36"/>
      <c r="E333" s="36">
        <v>25000</v>
      </c>
      <c r="F333" s="36">
        <f>IF(AND(F329&gt;A333, F329&lt;=E333),F329,0)</f>
        <v>0</v>
      </c>
      <c r="G333" s="36">
        <f>(12500/100*3)+(4/100)*(-A333+F333)</f>
        <v>-125</v>
      </c>
      <c r="H333" s="36">
        <f>(12500/100*1)+(2/100)*(-A333+F333)</f>
        <v>-125</v>
      </c>
      <c r="I333" s="36"/>
      <c r="J333" s="39">
        <f>IF(AND(SCHOV!E16="andere",SCHOV!F25="oom-tante/neef-nicht"),I351,0)</f>
        <v>0</v>
      </c>
      <c r="K333" s="36"/>
      <c r="L333" s="7"/>
      <c r="M333" s="7"/>
      <c r="N333" s="7">
        <f>IF(SCHOV!I25=4,J337*16%,0)</f>
        <v>0</v>
      </c>
      <c r="O333" s="7">
        <f>IF(N333&gt;496,496,N333)</f>
        <v>0</v>
      </c>
      <c r="P333" s="7"/>
      <c r="Q333" s="7" t="s">
        <v>80</v>
      </c>
      <c r="R333" s="7">
        <f>J337*8%</f>
        <v>0</v>
      </c>
      <c r="S333" s="7">
        <f>IF(R333&gt;248,248,R333)</f>
        <v>0</v>
      </c>
      <c r="T333" s="7">
        <f>IF(SCHOV!I25=4,S333,0)</f>
        <v>0</v>
      </c>
    </row>
    <row r="334" spans="1:20">
      <c r="A334" s="36">
        <f t="shared" si="4"/>
        <v>25000</v>
      </c>
      <c r="B334" s="36"/>
      <c r="C334" s="36"/>
      <c r="D334" s="36"/>
      <c r="E334" s="36">
        <v>50000</v>
      </c>
      <c r="F334" s="36">
        <f>IF(AND(F329&gt;A334, F329&lt;=E334),F329,0)</f>
        <v>0</v>
      </c>
      <c r="G334" s="36">
        <f>(12500/100*3)+(12500/100*4)+((5/100)*(-A334+F334))</f>
        <v>-375</v>
      </c>
      <c r="H334" s="36">
        <f>(12500/100*1)+(12500/100*2)+((3/100)*(-A334+F334))</f>
        <v>-375</v>
      </c>
      <c r="I334" s="36"/>
      <c r="J334" s="39">
        <f>IF(AND(SCHOV!E16="bouwgrond",SCHOV!F25="vreemden"),L351,0)</f>
        <v>0</v>
      </c>
      <c r="K334" s="36"/>
      <c r="L334" s="36"/>
      <c r="M334" s="7"/>
      <c r="N334" s="7">
        <f>IF(SCHOV!I25=5,J337*20%,0)</f>
        <v>0</v>
      </c>
      <c r="O334" s="7">
        <f>IF(N334&gt;620,620,N334)</f>
        <v>0</v>
      </c>
      <c r="P334" s="7"/>
      <c r="Q334" s="7"/>
      <c r="R334" s="7">
        <f>J337*10%</f>
        <v>0</v>
      </c>
      <c r="S334" s="7">
        <f>IF(R334&gt;310,310,R334)</f>
        <v>0</v>
      </c>
      <c r="T334" s="7">
        <f>IF(SCHOV!I25=5,S334,0)</f>
        <v>0</v>
      </c>
    </row>
    <row r="335" spans="1:20">
      <c r="A335" s="36">
        <f t="shared" si="4"/>
        <v>50000</v>
      </c>
      <c r="B335" s="36"/>
      <c r="C335" s="36"/>
      <c r="D335" s="36"/>
      <c r="E335" s="36">
        <v>100000</v>
      </c>
      <c r="F335" s="36">
        <f>IF(AND(F329&gt;A335, F329&lt;=E335),F329,0)</f>
        <v>0</v>
      </c>
      <c r="G335" s="36">
        <f>(12500/100*3)+(12500/100*4)+(25000/100*5)+((7/100)*(-A335+F335))</f>
        <v>-1375.0000000000005</v>
      </c>
      <c r="H335" s="36">
        <f>(12500/100*1)+(12500/100*2)+(25000/100*3)+((5/100)*(-A335+F335))</f>
        <v>-1375</v>
      </c>
      <c r="I335" s="36"/>
      <c r="J335" s="39">
        <f>IF(AND(SCHOV!E16="andere",SCHOV!F25="vreemden"),K351,0)</f>
        <v>0</v>
      </c>
      <c r="K335" s="36"/>
      <c r="L335" s="36"/>
      <c r="M335" s="7"/>
      <c r="N335" s="7">
        <f>IF(SCHOV!I25=6,J337*24%,0)</f>
        <v>0</v>
      </c>
      <c r="O335" s="7">
        <f>IF(N335&gt;744,744,N335)</f>
        <v>0</v>
      </c>
      <c r="P335" s="7"/>
      <c r="Q335" s="7"/>
      <c r="R335" s="7">
        <f>J337*12%</f>
        <v>0</v>
      </c>
      <c r="S335" s="7">
        <f>IF(R335&gt;372,372,R335)</f>
        <v>0</v>
      </c>
      <c r="T335" s="7">
        <f>IF(SCHOV!I25=6,S335,0)</f>
        <v>0</v>
      </c>
    </row>
    <row r="336" spans="1:20">
      <c r="A336" s="36">
        <f t="shared" si="4"/>
        <v>100000</v>
      </c>
      <c r="B336" s="36"/>
      <c r="C336" s="36"/>
      <c r="D336" s="36"/>
      <c r="E336" s="36">
        <v>150000</v>
      </c>
      <c r="F336" s="36">
        <f>IF(AND(F329&gt;A336, F329&lt;=E336),F329,0)</f>
        <v>0</v>
      </c>
      <c r="G336" s="36">
        <f>(12500/100*3)+(12500/100*4)+(25000/100*5)+(50000/100*7)+((10/100)*(-A336+F336))</f>
        <v>-4375</v>
      </c>
      <c r="H336" s="36">
        <f>(12500/100*1)+(12500/100*2)+(25000/100*3)+(50000/100*5)+((8/100)*(-A336+F336))</f>
        <v>-4375</v>
      </c>
      <c r="I336" s="36"/>
      <c r="J336" s="36"/>
      <c r="K336" s="36"/>
      <c r="L336" s="36"/>
      <c r="M336" s="7"/>
      <c r="N336" s="7">
        <f>IF(SCHOV!I25=7,J337*28%,0)</f>
        <v>0</v>
      </c>
      <c r="O336" s="7">
        <f>IF(N336&gt;868,868,N336)</f>
        <v>0</v>
      </c>
      <c r="P336" s="7"/>
      <c r="Q336" s="7"/>
      <c r="R336" s="7">
        <f>J337*14%</f>
        <v>0</v>
      </c>
      <c r="S336" s="7">
        <f>IF(R336&gt;434,434,R336)</f>
        <v>0</v>
      </c>
      <c r="T336" s="7">
        <f>IF(SCHOV!I25=7,S336,0)</f>
        <v>0</v>
      </c>
    </row>
    <row r="337" spans="1:20">
      <c r="A337" s="36">
        <f t="shared" si="4"/>
        <v>150000</v>
      </c>
      <c r="B337" s="36"/>
      <c r="C337" s="36"/>
      <c r="D337" s="36"/>
      <c r="E337" s="36">
        <v>200000</v>
      </c>
      <c r="F337" s="36">
        <f>IF(AND(F329&gt;A337, F329&lt;=E337),F329,0)</f>
        <v>0</v>
      </c>
      <c r="G337" s="36">
        <f>(12500/100*3)+(12500/100*4)+(25000/100*5)+(50000/100*7)+(50000/100*10)+((14/100)*(-A337+F337))</f>
        <v>-10375.000000000004</v>
      </c>
      <c r="H337" s="36">
        <f>(12500/100*1)+(12500/100*2)+(25000/100*3)+(50000/100*5)+(50000/100*8)+((14/100)*(-A337+F337))</f>
        <v>-13375.000000000004</v>
      </c>
      <c r="I337" s="36"/>
      <c r="J337" s="36">
        <f>SUM(J326:J335)</f>
        <v>0</v>
      </c>
      <c r="K337" s="36"/>
      <c r="L337" s="36"/>
      <c r="M337" s="7"/>
      <c r="N337" s="7">
        <f>IF(SCHOV!I25=8,J337*32%,0)</f>
        <v>0</v>
      </c>
      <c r="O337" s="7">
        <f>IF(N337&gt;992,992,N337)</f>
        <v>0</v>
      </c>
      <c r="P337" s="7"/>
      <c r="Q337" s="7"/>
      <c r="R337" s="7">
        <f>J337*16%</f>
        <v>0</v>
      </c>
      <c r="S337" s="7">
        <f>IF(R337&gt;496,496,R337)</f>
        <v>0</v>
      </c>
      <c r="T337" s="7">
        <f>IF(SCHOV!I25=8,S337,0)</f>
        <v>0</v>
      </c>
    </row>
    <row r="338" spans="1:20">
      <c r="A338" s="36">
        <f t="shared" si="4"/>
        <v>200000</v>
      </c>
      <c r="B338" s="36"/>
      <c r="C338" s="36"/>
      <c r="D338" s="36"/>
      <c r="E338" s="36">
        <v>250000</v>
      </c>
      <c r="F338" s="36">
        <f>IF(AND(F329&gt;A338, F329&lt;=E338),F329,0)</f>
        <v>0</v>
      </c>
      <c r="G338" s="36">
        <f>(12500/100*3)+(12500/100*4)+(25000/100*5)+(50000/100*7)+(50000/100*10)+(50000/100*14)+((18/100)*(-A338+F338))</f>
        <v>-18375</v>
      </c>
      <c r="H338" s="36">
        <f>(12500/100*1)+(12500/100*2)+(25000/100*3)+(50000/100*5)+(50000/100*8)+(50000/100*14)+((18/100)*(-A338+F338))</f>
        <v>-21375</v>
      </c>
      <c r="I338" s="36"/>
      <c r="J338" s="36"/>
      <c r="K338" s="36"/>
      <c r="L338" s="36"/>
      <c r="M338" s="7"/>
      <c r="N338" s="7">
        <f>IF(SCHOV!I25=9,J337*36%,0)</f>
        <v>0</v>
      </c>
      <c r="O338" s="7">
        <f>IF(N338&gt;1116,1116,N338)</f>
        <v>0</v>
      </c>
      <c r="P338" s="7"/>
      <c r="Q338" s="7"/>
      <c r="R338" s="7">
        <f>J337*18%</f>
        <v>0</v>
      </c>
      <c r="S338" s="7">
        <f>IF(R338&gt;558,558,R338)</f>
        <v>0</v>
      </c>
      <c r="T338" s="7">
        <f>IF(SCHOV!I25=9,S338,0)</f>
        <v>0</v>
      </c>
    </row>
    <row r="339" spans="1:20">
      <c r="A339" s="36">
        <f t="shared" si="4"/>
        <v>250000</v>
      </c>
      <c r="B339" s="36"/>
      <c r="C339" s="36"/>
      <c r="D339" s="36"/>
      <c r="E339" s="36">
        <v>500000</v>
      </c>
      <c r="F339" s="36">
        <f>IF(AND(F329&gt;A339, F329&lt;=E339),F329,0)</f>
        <v>0</v>
      </c>
      <c r="G339" s="36">
        <f>(12500/100*3)+(12500/100*4)+(25000/100*5)+(50000/100*7)+(50000/100*10)+(50000/100*14)+(50000/100*18)+((24/100)*(-A339+F339))</f>
        <v>-33375</v>
      </c>
      <c r="H339" s="36">
        <f>(12500/100*1)+(12500/100*2)+(25000/100*3)+(50000/100*5)+(50000/100*8)+(50000/100*14)+(50000/100*18)+((24/100)*(-A339+F339))</f>
        <v>-36375</v>
      </c>
      <c r="I339" s="36"/>
      <c r="J339" s="36"/>
      <c r="K339" s="36"/>
      <c r="L339" s="36"/>
      <c r="M339" s="7"/>
      <c r="N339" s="7">
        <f>IF(SCHOV!I25=10,J337*40%,0)</f>
        <v>0</v>
      </c>
      <c r="O339" s="7">
        <f>IF(N339&gt;1240,1240,N339)</f>
        <v>0</v>
      </c>
      <c r="P339" s="7"/>
      <c r="Q339" s="7"/>
      <c r="R339" s="7">
        <f>J337*20%</f>
        <v>0</v>
      </c>
      <c r="S339" s="7">
        <f>IF(R339&gt;620,620,R339)</f>
        <v>0</v>
      </c>
      <c r="T339" s="7">
        <f>IF(SCHOV!I25=10,S339,0)</f>
        <v>0</v>
      </c>
    </row>
    <row r="340" spans="1:20">
      <c r="A340" s="36">
        <f t="shared" si="4"/>
        <v>500000</v>
      </c>
      <c r="B340" s="36"/>
      <c r="C340" s="36"/>
      <c r="D340" s="36"/>
      <c r="E340" s="36">
        <v>999999999</v>
      </c>
      <c r="F340" s="36">
        <f>IF(AND(F329&gt;A340, F329&lt;=E340),F329,0)</f>
        <v>0</v>
      </c>
      <c r="G340" s="36">
        <f>(12500/100*3)+(12500/100*4)+(25000/100*5)+(50000/100*7)+(50000/100*10)+(50000/100*14)+(50000/100*18)+(250000/100*24)+((30/100)*(-A340+F340))</f>
        <v>-63375</v>
      </c>
      <c r="H340" s="36">
        <f>(12500/100*1)+(12500/100*2)+(25000/100*3)+(50000/100*5)+(50000/100*8)+(50000/100*14)+(50000/100*18)+(250000/100*24)+((30/100)*(-A340+F340))</f>
        <v>-66375</v>
      </c>
      <c r="I340" s="36"/>
      <c r="J340" s="36"/>
      <c r="K340" s="36"/>
      <c r="L340" s="36"/>
      <c r="M340" s="7"/>
      <c r="N340" s="7"/>
      <c r="O340" s="7"/>
      <c r="P340" s="7"/>
      <c r="Q340" s="7"/>
      <c r="R340" s="7"/>
      <c r="S340" s="7"/>
      <c r="T340" s="7"/>
    </row>
    <row r="341" spans="1:20">
      <c r="A341" s="42" t="s">
        <v>14</v>
      </c>
      <c r="B341" s="42"/>
      <c r="C341" s="42"/>
      <c r="D341" s="42"/>
      <c r="E341" s="36"/>
      <c r="F341" s="36"/>
      <c r="G341" s="36">
        <f>VLOOKUP(F329,F332:G340,2,FALSE)</f>
        <v>0</v>
      </c>
      <c r="H341" s="36">
        <f>VLOOKUP(F329,F332:H340,3,FALSE)</f>
        <v>0</v>
      </c>
      <c r="I341" s="36"/>
      <c r="J341" s="36"/>
      <c r="K341" s="36"/>
      <c r="L341" s="43"/>
      <c r="M341" s="7"/>
      <c r="N341" s="7"/>
      <c r="O341" s="7">
        <f>SUM(O332:O340)</f>
        <v>0</v>
      </c>
      <c r="P341" s="7"/>
      <c r="Q341" s="7"/>
      <c r="R341" s="7"/>
      <c r="S341" s="7"/>
      <c r="T341" s="7">
        <f>SUM(T332:T340)</f>
        <v>0</v>
      </c>
    </row>
    <row r="342" spans="1:20">
      <c r="A342" s="36"/>
      <c r="B342" s="36"/>
      <c r="C342" s="36"/>
      <c r="D342" s="36"/>
      <c r="E342" s="36"/>
      <c r="F342" s="36"/>
      <c r="G342" s="36"/>
      <c r="H342" s="36"/>
      <c r="I342" s="36"/>
      <c r="J342" s="36"/>
      <c r="K342" s="36"/>
      <c r="L342" s="43"/>
      <c r="M342" s="7"/>
      <c r="N342" s="7"/>
      <c r="O342" s="29"/>
      <c r="P342" s="7"/>
      <c r="Q342" s="7"/>
      <c r="R342" s="7"/>
      <c r="S342" s="7"/>
      <c r="T342" s="7"/>
    </row>
    <row r="343" spans="1:20">
      <c r="A343" s="36"/>
      <c r="B343" s="36"/>
      <c r="C343" s="36"/>
      <c r="D343" s="36"/>
      <c r="E343" s="36"/>
      <c r="F343" s="36"/>
      <c r="G343" s="36"/>
      <c r="H343" s="36"/>
      <c r="I343" s="36"/>
      <c r="J343" s="36"/>
      <c r="K343" s="36"/>
      <c r="L343" s="43"/>
      <c r="M343" s="7"/>
      <c r="N343" s="7"/>
      <c r="O343" s="29"/>
      <c r="P343" s="7"/>
      <c r="Q343" s="7"/>
      <c r="R343" s="7"/>
      <c r="S343" s="7"/>
      <c r="T343" s="7"/>
    </row>
    <row r="344" spans="1:20">
      <c r="A344" s="37" t="s">
        <v>15</v>
      </c>
      <c r="B344" s="37"/>
      <c r="C344" s="37"/>
      <c r="D344" s="37"/>
      <c r="E344" s="36"/>
      <c r="F344" s="36"/>
      <c r="G344" s="38" t="s">
        <v>16</v>
      </c>
      <c r="H344" s="38" t="s">
        <v>17</v>
      </c>
      <c r="I344" s="35" t="s">
        <v>18</v>
      </c>
      <c r="J344" s="35" t="s">
        <v>19</v>
      </c>
      <c r="K344" s="35" t="s">
        <v>20</v>
      </c>
      <c r="L344" s="35" t="s">
        <v>21</v>
      </c>
      <c r="M344" s="7"/>
      <c r="N344" s="7"/>
      <c r="O344" s="29"/>
      <c r="P344" s="7"/>
      <c r="Q344" s="7"/>
      <c r="R344" s="7"/>
      <c r="S344" s="7"/>
      <c r="T344" s="7"/>
    </row>
    <row r="345" spans="1:20">
      <c r="A345" s="36">
        <v>0</v>
      </c>
      <c r="B345" s="36"/>
      <c r="C345" s="36"/>
      <c r="D345" s="36"/>
      <c r="E345" s="36">
        <v>12500</v>
      </c>
      <c r="F345" s="36">
        <f>IF(AND(F329&gt;A345, F329&lt;=E345),F329,0)</f>
        <v>0</v>
      </c>
      <c r="G345" s="36">
        <f>0+(20/100)*(-A345+F345)</f>
        <v>0</v>
      </c>
      <c r="H345" s="36">
        <f>0+(10/100)*(-A345+F345)</f>
        <v>0</v>
      </c>
      <c r="I345" s="36">
        <f>0+(25/100)*(-A345+F345)</f>
        <v>0</v>
      </c>
      <c r="J345" s="36">
        <f>0+(10/100)*(-A345+F345)</f>
        <v>0</v>
      </c>
      <c r="K345" s="36">
        <f>0+(30/100)*(-A345+F345)</f>
        <v>0</v>
      </c>
      <c r="L345" s="36">
        <f>0+(10/100)*(-A345+F345)</f>
        <v>0</v>
      </c>
      <c r="M345" s="7" t="s">
        <v>81</v>
      </c>
      <c r="N345" s="16">
        <f>J337-O341</f>
        <v>0</v>
      </c>
      <c r="O345" s="29"/>
      <c r="P345" s="7" t="s">
        <v>82</v>
      </c>
      <c r="Q345" s="44">
        <f>J337-T341</f>
        <v>0</v>
      </c>
      <c r="R345" s="7"/>
      <c r="S345" s="7"/>
      <c r="T345" s="7"/>
    </row>
    <row r="346" spans="1:20">
      <c r="A346" s="36">
        <f>E345</f>
        <v>12500</v>
      </c>
      <c r="B346" s="36"/>
      <c r="C346" s="36"/>
      <c r="D346" s="36"/>
      <c r="E346" s="36">
        <v>25000</v>
      </c>
      <c r="F346" s="36">
        <f>IF(AND(F329&gt;A346, F329&lt;=E346),F329,0)</f>
        <v>0</v>
      </c>
      <c r="G346" s="36">
        <f>(12500/100*20)+((25/100)*(-A346+F346))</f>
        <v>-625</v>
      </c>
      <c r="H346" s="36">
        <f>(12500/100*10)+((10/100)*(-A346+F346))</f>
        <v>0</v>
      </c>
      <c r="I346" s="36">
        <f>(12500/100*25)+((30/100)*(-A346+F346))</f>
        <v>-625</v>
      </c>
      <c r="J346" s="36">
        <f>(12500/100*10)+((10/100)*(-A346+F346))</f>
        <v>0</v>
      </c>
      <c r="K346" s="36">
        <f>(12500/100*30)+((35/100)*(-A346+F346))</f>
        <v>-625</v>
      </c>
      <c r="L346" s="36">
        <f>(12500/100*10)+((10/100)*(-A346+F346))</f>
        <v>0</v>
      </c>
      <c r="M346" s="7"/>
      <c r="N346" s="7"/>
      <c r="O346" s="7"/>
      <c r="P346" s="7"/>
      <c r="Q346" s="7"/>
      <c r="R346" s="7"/>
      <c r="S346" s="7"/>
      <c r="T346" s="7"/>
    </row>
    <row r="347" spans="1:20">
      <c r="A347" s="36">
        <f>E346</f>
        <v>25000</v>
      </c>
      <c r="B347" s="36"/>
      <c r="C347" s="36"/>
      <c r="D347" s="36"/>
      <c r="E347" s="36">
        <v>75000</v>
      </c>
      <c r="F347" s="36">
        <f>IF(AND(F329&gt;A347, F329&lt;=E347),F329,0)</f>
        <v>0</v>
      </c>
      <c r="G347" s="36">
        <f>(12500/100*20)+(12500/100*25)+((35/100)*(-A347+F347))</f>
        <v>-3125</v>
      </c>
      <c r="H347" s="36">
        <f>(12500/100*10)+(12500/100*10)+((10/100)*(-A347+F347))</f>
        <v>0</v>
      </c>
      <c r="I347" s="36">
        <f>(12500/100*25)+(12500/100*30)+((40/100)*(-A347+F347))</f>
        <v>-3125</v>
      </c>
      <c r="J347" s="36">
        <f>(12500/100*10)+(12500/100*10)+((10/100)*(-A347+F347))</f>
        <v>0</v>
      </c>
      <c r="K347" s="36">
        <f>(12500/100*30)+(12500/100*35)+((50/100)*(-A347+F347))</f>
        <v>-4375</v>
      </c>
      <c r="L347" s="36">
        <f>(12500/100*10)+(12500/100*10)+((10/100)*(-A347+F347))</f>
        <v>0</v>
      </c>
      <c r="M347" s="7"/>
      <c r="N347" s="7"/>
      <c r="O347" s="7">
        <f>(IF(SCHOV!F25="echtgeno(o)t(e)",N345,Q345))</f>
        <v>0</v>
      </c>
      <c r="P347" s="7"/>
      <c r="Q347" s="7"/>
      <c r="R347" s="7"/>
      <c r="S347" s="7"/>
      <c r="T347" s="7"/>
    </row>
    <row r="348" spans="1:20">
      <c r="A348" s="36">
        <f>E347</f>
        <v>75000</v>
      </c>
      <c r="B348" s="36"/>
      <c r="C348" s="36"/>
      <c r="D348" s="36"/>
      <c r="E348" s="36">
        <v>150000</v>
      </c>
      <c r="F348" s="36">
        <f>IF(AND(F329&gt;A348, F329&lt;=E348),F329,0)</f>
        <v>0</v>
      </c>
      <c r="G348" s="36">
        <f>(12500/100*20)+(12500/100*25)+(50000/100*35)+((50/100)*(-A348+F348))</f>
        <v>-14375</v>
      </c>
      <c r="H348" s="36">
        <f>(12500/100*10)+(12500/100*10)+(50000/100*10)+((10/100)*(-A348+F348))</f>
        <v>0</v>
      </c>
      <c r="I348" s="36">
        <f>(12500/100*25)+(12500/100*30)+(50000/100*40)+((55/100)*(-A348+F348))</f>
        <v>-14375</v>
      </c>
      <c r="J348" s="36">
        <f>(12500/100*10)+(12500/100*10)+(50000/100*10)+((10/100)*(-A348+F348))</f>
        <v>0</v>
      </c>
      <c r="K348" s="36">
        <f>(12500/100*30)+(12500/100*35)+(50000/100*50)+((65/100)*(-A348+F348))</f>
        <v>-15625</v>
      </c>
      <c r="L348" s="36">
        <f>(12500/100*10)+(12500/100*10)+(50000/100*10)+((10/100)*(-A348+F348))</f>
        <v>0</v>
      </c>
      <c r="M348" s="7"/>
      <c r="N348" s="7"/>
      <c r="O348" s="7"/>
      <c r="P348" s="7"/>
      <c r="Q348" s="7"/>
      <c r="R348" s="7"/>
      <c r="S348" s="7"/>
      <c r="T348" s="7"/>
    </row>
    <row r="349" spans="1:20">
      <c r="A349" s="36">
        <v>150000</v>
      </c>
      <c r="B349" s="36"/>
      <c r="C349" s="36"/>
      <c r="D349" s="36"/>
      <c r="E349" s="36">
        <v>175000</v>
      </c>
      <c r="F349" s="36">
        <f>IF(AND(F329&gt;A349, F329&lt;=E349),F329,0)</f>
        <v>0</v>
      </c>
      <c r="G349" s="36">
        <f>(12500/100*20)+(12500/100*25)+(50000/100*35)+(75000/100*50)+((50/100)*(-A349+F349))</f>
        <v>-14375</v>
      </c>
      <c r="H349" s="36">
        <f>(12500/100*10)+(12500/100*10)+(50000/100*10)+(75000/100*10)+((50/100)*(-A349+F349))</f>
        <v>-60000</v>
      </c>
      <c r="I349" s="36">
        <f>(12500/100*25)+(12500/100*30)+(50000/100*40)+(75000/100*55)+((55/100)*(-A349+F349))</f>
        <v>-14375</v>
      </c>
      <c r="J349" s="36">
        <f>(12500/100*10)+(12500/100*10)+(50000/100*10)+(75000/100*10)+((55/100)*(-A349+F349))</f>
        <v>-67500</v>
      </c>
      <c r="K349" s="36">
        <f>(12500/100*30)+(12500/100*35)+(50000/100*50)+(75000/100*65)+((65/100)*(-A349+F349))</f>
        <v>-15625</v>
      </c>
      <c r="L349" s="36">
        <f>(12500/100*10)+(12500/100*10)+(50000/100*10)+(75000/100*10)+((65/100)*(-A349+F349))</f>
        <v>-82500</v>
      </c>
      <c r="M349" s="7"/>
      <c r="N349" s="7"/>
      <c r="O349" s="7"/>
      <c r="P349" s="7"/>
      <c r="Q349" s="7"/>
      <c r="R349" s="7"/>
      <c r="S349" s="7"/>
      <c r="T349" s="7"/>
    </row>
    <row r="350" spans="1:20">
      <c r="A350" s="36">
        <v>175000</v>
      </c>
      <c r="B350" s="36"/>
      <c r="C350" s="36"/>
      <c r="D350" s="36"/>
      <c r="E350" s="36">
        <v>999999999</v>
      </c>
      <c r="F350" s="36">
        <f>IF(AND(F329&gt;A350, F329&lt;=E350),F329,0)</f>
        <v>0</v>
      </c>
      <c r="G350" s="36">
        <f>(12500/100*20)+(12500/100*25)+(50000/100*35)+(75000/100*50)+(25000/100*50)+((65/100)*(-A350+F350))</f>
        <v>-40625</v>
      </c>
      <c r="H350" s="36">
        <f>(12500/100*10)+(12500/100*10)+(50000/100*10)+(75000/100*10)+(25000/100*50)+((65/100)*(-A350+F350))</f>
        <v>-86250</v>
      </c>
      <c r="I350" s="36">
        <f>(12500/100*25)+(12500/100*30)+(50000/100*40)+(75000/100*55)+(25000/100*55)+((70/100)*(-A350+F350))</f>
        <v>-40624.999999999985</v>
      </c>
      <c r="J350" s="36">
        <f>(12500/100*10)+(12500/100*10)+(50000/100*10)+(75000/100*10)+(25000/100*55)+((70/100)*(-A350+F350))</f>
        <v>-93749.999999999985</v>
      </c>
      <c r="K350" s="36">
        <f>(12500/100*30)+(12500/100*35)+(50000/100*50)+(75000/100*65)+(25000/100*65)+((80/100)*(-A350+F350))</f>
        <v>-41875</v>
      </c>
      <c r="L350" s="36">
        <f>(12500/100*10)+(12500/100*10)+(50000/100*10)+(75000/100*10)+(25000/100*65)+((80/100)*(-A350+F350))</f>
        <v>-108750</v>
      </c>
      <c r="M350" s="7"/>
      <c r="N350" s="7"/>
      <c r="O350" s="7"/>
      <c r="P350" s="7"/>
      <c r="Q350" s="7"/>
      <c r="R350" s="7"/>
      <c r="S350" s="7"/>
      <c r="T350" s="7"/>
    </row>
    <row r="351" spans="1:20">
      <c r="A351" s="42" t="s">
        <v>14</v>
      </c>
      <c r="B351" s="42"/>
      <c r="C351" s="42"/>
      <c r="D351" s="42"/>
      <c r="E351" s="36"/>
      <c r="F351" s="36"/>
      <c r="G351" s="36">
        <f>VLOOKUP(F329,F345:G350,2,FALSE)</f>
        <v>0</v>
      </c>
      <c r="H351" s="36">
        <f>VLOOKUP(F329,F345:H350,3,FALSE)</f>
        <v>0</v>
      </c>
      <c r="I351" s="36">
        <f>VLOOKUP(F329,F345:I350,4,FALSE)</f>
        <v>0</v>
      </c>
      <c r="J351" s="36">
        <f>VLOOKUP(F329,F345:J350,5,FALSE)</f>
        <v>0</v>
      </c>
      <c r="K351" s="36">
        <f>VLOOKUP(F329,F345:K350,6,FALSE)</f>
        <v>0</v>
      </c>
      <c r="L351" s="36">
        <f>VLOOKUP(F329,F345:L350,7,FALSE)</f>
        <v>0</v>
      </c>
      <c r="M351" s="7"/>
      <c r="N351" s="7"/>
      <c r="O351" s="7"/>
      <c r="P351" s="7"/>
      <c r="Q351" s="7"/>
      <c r="R351" s="7"/>
      <c r="S351" s="7"/>
      <c r="T351" s="7"/>
    </row>
    <row r="352" spans="1:20">
      <c r="A352" s="7"/>
      <c r="B352" s="7"/>
      <c r="C352" s="7"/>
      <c r="D352" s="7"/>
      <c r="E352" s="7"/>
      <c r="F352" s="7"/>
      <c r="G352" s="7"/>
      <c r="H352" s="7"/>
      <c r="I352" s="7"/>
      <c r="J352" s="7"/>
      <c r="K352" s="7"/>
      <c r="L352" s="7"/>
      <c r="M352" s="7"/>
      <c r="N352" s="7"/>
      <c r="O352" s="7"/>
      <c r="P352" s="7"/>
      <c r="Q352" s="7"/>
      <c r="R352" s="7"/>
      <c r="S352" s="7"/>
      <c r="T352" s="7"/>
    </row>
    <row r="429" spans="1:20">
      <c r="A429" s="7"/>
      <c r="B429" s="7"/>
      <c r="C429" s="7"/>
      <c r="D429" s="7"/>
      <c r="E429" s="24"/>
      <c r="F429" s="7"/>
      <c r="G429" s="24"/>
      <c r="H429" s="7"/>
      <c r="I429" s="7"/>
      <c r="J429" s="7">
        <f>IF(AND(SCHOV!E16="bouwgrond",SCHOV!F30="echtgeno(o)t(e)"),H444,0)</f>
        <v>0</v>
      </c>
      <c r="K429" s="7"/>
      <c r="L429" s="7"/>
      <c r="M429" s="7"/>
      <c r="N429" s="7"/>
      <c r="O429" s="7"/>
      <c r="P429" s="7"/>
      <c r="Q429" s="7"/>
      <c r="R429" s="7"/>
      <c r="S429" s="7"/>
      <c r="T429" s="7"/>
    </row>
    <row r="430" spans="1:20">
      <c r="A430" s="7"/>
      <c r="B430" s="7"/>
      <c r="C430" s="7"/>
      <c r="D430" s="7"/>
      <c r="E430" s="24"/>
      <c r="F430" s="7"/>
      <c r="G430" s="24"/>
      <c r="H430" s="7"/>
      <c r="I430" s="7"/>
      <c r="J430" s="7">
        <f>IF(AND(SCHOV!E16="andere",SCHOV!F30="echtgeno(o)t(e)"),G444,0)</f>
        <v>0</v>
      </c>
      <c r="K430" s="7"/>
      <c r="L430" s="7"/>
      <c r="M430" s="7"/>
      <c r="N430" s="7"/>
      <c r="O430" s="7"/>
      <c r="P430" s="7"/>
      <c r="Q430" s="7"/>
      <c r="R430" s="7"/>
      <c r="S430" s="7"/>
      <c r="T430" s="7"/>
    </row>
    <row r="431" spans="1:20">
      <c r="A431" s="35"/>
      <c r="B431" s="35"/>
      <c r="C431" s="35"/>
      <c r="D431" s="35"/>
      <c r="E431" s="36"/>
      <c r="F431" s="37"/>
      <c r="G431" s="36"/>
      <c r="H431" s="36"/>
      <c r="I431" s="38"/>
      <c r="J431" s="39">
        <f>IF(AND(SCHOV!E16="bouwgrond",SCHOV!F30="rechte lijn"),H444,0)</f>
        <v>0</v>
      </c>
      <c r="K431" s="38"/>
      <c r="L431" s="40"/>
      <c r="M431" s="7"/>
      <c r="N431" s="7"/>
      <c r="O431" s="7"/>
      <c r="P431" s="7"/>
      <c r="Q431" s="7"/>
      <c r="R431" s="7"/>
      <c r="S431" s="7"/>
      <c r="T431" s="7"/>
    </row>
    <row r="432" spans="1:20">
      <c r="A432" s="36" t="s">
        <v>10</v>
      </c>
      <c r="B432" s="36"/>
      <c r="C432" s="36"/>
      <c r="D432" s="36"/>
      <c r="E432" s="36"/>
      <c r="F432" s="36">
        <f>SCHOV!G32</f>
        <v>0</v>
      </c>
      <c r="G432" s="41"/>
      <c r="H432" s="36"/>
      <c r="I432" s="36"/>
      <c r="J432" s="39">
        <f>IF(AND(SCHOV!E16="andere",SCHOV!F30="rechte lijn"),G444,0)</f>
        <v>0</v>
      </c>
      <c r="K432" s="36"/>
      <c r="L432" s="40"/>
      <c r="M432" s="7"/>
      <c r="N432" s="7"/>
      <c r="O432" s="7"/>
      <c r="P432" s="7"/>
      <c r="Q432" s="7"/>
      <c r="R432" s="7"/>
      <c r="S432" s="7"/>
      <c r="T432" s="7"/>
    </row>
    <row r="433" spans="1:20">
      <c r="A433" s="36"/>
      <c r="B433" s="36"/>
      <c r="C433" s="36"/>
      <c r="D433" s="36"/>
      <c r="E433" s="36"/>
      <c r="F433" s="36"/>
      <c r="G433" s="36"/>
      <c r="H433" s="36"/>
      <c r="I433" s="36"/>
      <c r="J433" s="39">
        <f>IF(AND(SCHOV!E16="bouwgrond",SCHOV!F30="broer/zuster"),H454,0)</f>
        <v>0</v>
      </c>
      <c r="K433" s="36"/>
      <c r="L433" s="36"/>
      <c r="M433" s="7"/>
      <c r="N433" s="7" t="s">
        <v>77</v>
      </c>
      <c r="O433" s="7"/>
      <c r="P433" s="7"/>
      <c r="Q433" s="7"/>
      <c r="R433" s="7"/>
      <c r="S433" s="7"/>
      <c r="T433" s="7"/>
    </row>
    <row r="434" spans="1:20">
      <c r="A434" s="37" t="s">
        <v>11</v>
      </c>
      <c r="B434" s="37"/>
      <c r="C434" s="37"/>
      <c r="D434" s="37"/>
      <c r="E434" s="36"/>
      <c r="F434" s="36"/>
      <c r="G434" s="38" t="s">
        <v>12</v>
      </c>
      <c r="H434" s="38" t="s">
        <v>13</v>
      </c>
      <c r="I434" s="36"/>
      <c r="J434" s="39">
        <f>IF(AND(SCHOV!E16="andere",SCHOV!F30="broer/zuster"),G454,0)</f>
        <v>0</v>
      </c>
      <c r="K434" s="36"/>
      <c r="L434" s="36"/>
      <c r="M434" s="7"/>
      <c r="N434" s="7"/>
      <c r="O434" s="7"/>
      <c r="P434" s="7"/>
      <c r="Q434" s="7"/>
      <c r="R434" s="7"/>
      <c r="S434" s="7"/>
      <c r="T434" s="7"/>
    </row>
    <row r="435" spans="1:20">
      <c r="A435" s="36">
        <v>0</v>
      </c>
      <c r="B435" s="36"/>
      <c r="C435" s="36"/>
      <c r="D435" s="36"/>
      <c r="E435" s="36">
        <v>12500</v>
      </c>
      <c r="F435" s="36">
        <f>IF(AND(F432&gt;A435, F432&lt;=E435),F432,0)</f>
        <v>0</v>
      </c>
      <c r="G435" s="36">
        <f>0+(3/100)*(-A435+F435)</f>
        <v>0</v>
      </c>
      <c r="H435" s="36">
        <f>0+(1/100)*(-A435+F435)</f>
        <v>0</v>
      </c>
      <c r="I435" s="36"/>
      <c r="J435" s="39">
        <f>IF(AND(SCHOV!E16="bouwgrond",SCHOV!F30="oom-tante/neef-nicht"),J454,0)</f>
        <v>0</v>
      </c>
      <c r="K435" s="36"/>
      <c r="L435" s="36"/>
      <c r="M435" s="7" t="s">
        <v>78</v>
      </c>
      <c r="N435" s="7">
        <f>IF(SCHOV!I30=3,J440*12%,0)</f>
        <v>0</v>
      </c>
      <c r="O435" s="7">
        <f>IF(N435&gt;372,372,N435)</f>
        <v>0</v>
      </c>
      <c r="P435" s="7"/>
      <c r="Q435" s="7" t="s">
        <v>79</v>
      </c>
      <c r="R435" s="7">
        <f>J440*6%</f>
        <v>0</v>
      </c>
      <c r="S435" s="7">
        <f>IF(R435&gt;186,186,R435)</f>
        <v>0</v>
      </c>
      <c r="T435" s="7">
        <f>IF(SCHOV!I30=3,S435,0)</f>
        <v>0</v>
      </c>
    </row>
    <row r="436" spans="1:20">
      <c r="A436" s="36">
        <f t="shared" ref="A436:A443" si="5">E435</f>
        <v>12500</v>
      </c>
      <c r="B436" s="36"/>
      <c r="C436" s="36"/>
      <c r="D436" s="36"/>
      <c r="E436" s="36">
        <v>25000</v>
      </c>
      <c r="F436" s="36">
        <f>IF(AND(F432&gt;A436, F432&lt;=E436),F432,0)</f>
        <v>0</v>
      </c>
      <c r="G436" s="36">
        <f>(12500/100*3)+(4/100)*(-A436+F436)</f>
        <v>-125</v>
      </c>
      <c r="H436" s="36">
        <f>(12500/100*1)+(2/100)*(-A436+F436)</f>
        <v>-125</v>
      </c>
      <c r="I436" s="36"/>
      <c r="J436" s="39">
        <f>IF(AND(SCHOV!E16="andere",SCHOV!F30="oom-tante/neef-nicht"),I454,0)</f>
        <v>0</v>
      </c>
      <c r="K436" s="36"/>
      <c r="L436" s="7"/>
      <c r="M436" s="7"/>
      <c r="N436" s="7">
        <f>IF(SCHOV!I30=4,J440*16%,0)</f>
        <v>0</v>
      </c>
      <c r="O436" s="7">
        <f>IF(N436&gt;496,496,N436)</f>
        <v>0</v>
      </c>
      <c r="P436" s="7"/>
      <c r="Q436" s="7" t="s">
        <v>80</v>
      </c>
      <c r="R436" s="7">
        <f>J440*8%</f>
        <v>0</v>
      </c>
      <c r="S436" s="7">
        <f>IF(R436&gt;248,248,R436)</f>
        <v>0</v>
      </c>
      <c r="T436" s="7">
        <f>IF(SCHOV!I30=4,S436,0)</f>
        <v>0</v>
      </c>
    </row>
    <row r="437" spans="1:20">
      <c r="A437" s="36">
        <f t="shared" si="5"/>
        <v>25000</v>
      </c>
      <c r="B437" s="36"/>
      <c r="C437" s="36"/>
      <c r="D437" s="36"/>
      <c r="E437" s="36">
        <v>50000</v>
      </c>
      <c r="F437" s="36">
        <f>IF(AND(F432&gt;A437, F432&lt;=E437),F432,0)</f>
        <v>0</v>
      </c>
      <c r="G437" s="36">
        <f>(12500/100*3)+(12500/100*4)+((5/100)*(-A437+F437))</f>
        <v>-375</v>
      </c>
      <c r="H437" s="36">
        <f>(12500/100*1)+(12500/100*2)+((3/100)*(-A437+F437))</f>
        <v>-375</v>
      </c>
      <c r="I437" s="36"/>
      <c r="J437" s="39">
        <f>IF(AND(SCHOV!E16="bouwgrond",SCHOV!F30="vreemden"),L454,0)</f>
        <v>0</v>
      </c>
      <c r="K437" s="36"/>
      <c r="L437" s="36"/>
      <c r="M437" s="7"/>
      <c r="N437" s="7">
        <f>IF(SCHOV!I30=5,J440*20%,0)</f>
        <v>0</v>
      </c>
      <c r="O437" s="7">
        <f>IF(N437&gt;620,620,N437)</f>
        <v>0</v>
      </c>
      <c r="P437" s="7"/>
      <c r="Q437" s="7"/>
      <c r="R437" s="7">
        <f>J440*10%</f>
        <v>0</v>
      </c>
      <c r="S437" s="7">
        <f>IF(R437&gt;310,310,R437)</f>
        <v>0</v>
      </c>
      <c r="T437" s="7">
        <f>IF(SCHOV!I30=5,S437,0)</f>
        <v>0</v>
      </c>
    </row>
    <row r="438" spans="1:20">
      <c r="A438" s="36">
        <f t="shared" si="5"/>
        <v>50000</v>
      </c>
      <c r="B438" s="36"/>
      <c r="C438" s="36"/>
      <c r="D438" s="36"/>
      <c r="E438" s="36">
        <v>100000</v>
      </c>
      <c r="F438" s="36">
        <f>IF(AND(F432&gt;A438, F432&lt;=E438),F432,0)</f>
        <v>0</v>
      </c>
      <c r="G438" s="36">
        <f>(12500/100*3)+(12500/100*4)+(25000/100*5)+((7/100)*(-A438+F438))</f>
        <v>-1375.0000000000005</v>
      </c>
      <c r="H438" s="36">
        <f>(12500/100*1)+(12500/100*2)+(25000/100*3)+((5/100)*(-A438+F438))</f>
        <v>-1375</v>
      </c>
      <c r="I438" s="36"/>
      <c r="J438" s="39">
        <f>IF(AND(SCHOV!E16="andere",SCHOV!F30="vreemden"),K454,0)</f>
        <v>0</v>
      </c>
      <c r="K438" s="36"/>
      <c r="L438" s="36"/>
      <c r="M438" s="7"/>
      <c r="N438" s="7">
        <f>IF(SCHOV!I30=6,J440*24%,0)</f>
        <v>0</v>
      </c>
      <c r="O438" s="7">
        <f>IF(N438&gt;744,744,N438)</f>
        <v>0</v>
      </c>
      <c r="P438" s="7"/>
      <c r="Q438" s="7"/>
      <c r="R438" s="7">
        <f>J440*12%</f>
        <v>0</v>
      </c>
      <c r="S438" s="7">
        <f>IF(R438&gt;372,372,R438)</f>
        <v>0</v>
      </c>
      <c r="T438" s="7">
        <f>IF(SCHOV!I30=6,S438,0)</f>
        <v>0</v>
      </c>
    </row>
    <row r="439" spans="1:20">
      <c r="A439" s="36">
        <f t="shared" si="5"/>
        <v>100000</v>
      </c>
      <c r="B439" s="36"/>
      <c r="C439" s="36"/>
      <c r="D439" s="36"/>
      <c r="E439" s="36">
        <v>150000</v>
      </c>
      <c r="F439" s="36">
        <f>IF(AND(F432&gt;A439, F432&lt;=E439),F432,0)</f>
        <v>0</v>
      </c>
      <c r="G439" s="36">
        <f>(12500/100*3)+(12500/100*4)+(25000/100*5)+(50000/100*7)+((10/100)*(-A439+F439))</f>
        <v>-4375</v>
      </c>
      <c r="H439" s="36">
        <f>(12500/100*1)+(12500/100*2)+(25000/100*3)+(50000/100*5)+((8/100)*(-A439+F439))</f>
        <v>-4375</v>
      </c>
      <c r="I439" s="36"/>
      <c r="J439" s="36"/>
      <c r="K439" s="36"/>
      <c r="L439" s="36"/>
      <c r="M439" s="7"/>
      <c r="N439" s="7">
        <f>IF(SCHOV!I30=7,J440*28%,0)</f>
        <v>0</v>
      </c>
      <c r="O439" s="7">
        <f>IF(N439&gt;868,868,N439)</f>
        <v>0</v>
      </c>
      <c r="P439" s="7"/>
      <c r="Q439" s="7"/>
      <c r="R439" s="7">
        <f>J440*14%</f>
        <v>0</v>
      </c>
      <c r="S439" s="7">
        <f>IF(R439&gt;434,434,R439)</f>
        <v>0</v>
      </c>
      <c r="T439" s="7">
        <f>IF(SCHOV!I30=7,S439,0)</f>
        <v>0</v>
      </c>
    </row>
    <row r="440" spans="1:20">
      <c r="A440" s="36">
        <f t="shared" si="5"/>
        <v>150000</v>
      </c>
      <c r="B440" s="36"/>
      <c r="C440" s="36"/>
      <c r="D440" s="36"/>
      <c r="E440" s="36">
        <v>200000</v>
      </c>
      <c r="F440" s="36">
        <f>IF(AND(F432&gt;A440, F432&lt;=E440),F432,0)</f>
        <v>0</v>
      </c>
      <c r="G440" s="36">
        <f>(12500/100*3)+(12500/100*4)+(25000/100*5)+(50000/100*7)+(50000/100*10)+((14/100)*(-A440+F440))</f>
        <v>-10375.000000000004</v>
      </c>
      <c r="H440" s="36">
        <f>(12500/100*1)+(12500/100*2)+(25000/100*3)+(50000/100*5)+(50000/100*8)+((14/100)*(-A440+F440))</f>
        <v>-13375.000000000004</v>
      </c>
      <c r="I440" s="36"/>
      <c r="J440" s="36">
        <f>SUM(J429:J438)</f>
        <v>0</v>
      </c>
      <c r="K440" s="36"/>
      <c r="L440" s="36"/>
      <c r="M440" s="7"/>
      <c r="N440" s="7">
        <f>IF(SCHOV!I30=8,J440*32%,0)</f>
        <v>0</v>
      </c>
      <c r="O440" s="7">
        <f>IF(N440&gt;992,992,N440)</f>
        <v>0</v>
      </c>
      <c r="P440" s="7"/>
      <c r="Q440" s="7"/>
      <c r="R440" s="7">
        <f>J440*16%</f>
        <v>0</v>
      </c>
      <c r="S440" s="7">
        <f>IF(R440&gt;496,496,R440)</f>
        <v>0</v>
      </c>
      <c r="T440" s="7">
        <f>IF(SCHOV!I30=8,S440,0)</f>
        <v>0</v>
      </c>
    </row>
    <row r="441" spans="1:20">
      <c r="A441" s="36">
        <f t="shared" si="5"/>
        <v>200000</v>
      </c>
      <c r="B441" s="36"/>
      <c r="C441" s="36"/>
      <c r="D441" s="36"/>
      <c r="E441" s="36">
        <v>250000</v>
      </c>
      <c r="F441" s="36">
        <f>IF(AND(F432&gt;A441, F432&lt;=E441),F432,0)</f>
        <v>0</v>
      </c>
      <c r="G441" s="36">
        <f>(12500/100*3)+(12500/100*4)+(25000/100*5)+(50000/100*7)+(50000/100*10)+(50000/100*14)+((18/100)*(-A441+F441))</f>
        <v>-18375</v>
      </c>
      <c r="H441" s="36">
        <f>(12500/100*1)+(12500/100*2)+(25000/100*3)+(50000/100*5)+(50000/100*8)+(50000/100*14)+((18/100)*(-A441+F441))</f>
        <v>-21375</v>
      </c>
      <c r="I441" s="36"/>
      <c r="J441" s="36"/>
      <c r="K441" s="36"/>
      <c r="L441" s="36"/>
      <c r="M441" s="7"/>
      <c r="N441" s="7">
        <f>IF(SCHOV!I30=9,J440*36%,0)</f>
        <v>0</v>
      </c>
      <c r="O441" s="7">
        <f>IF(N441&gt;1116,1116,N441)</f>
        <v>0</v>
      </c>
      <c r="P441" s="7"/>
      <c r="Q441" s="7"/>
      <c r="R441" s="7">
        <f>J440*18%</f>
        <v>0</v>
      </c>
      <c r="S441" s="7">
        <f>IF(R441&gt;558,558,R441)</f>
        <v>0</v>
      </c>
      <c r="T441" s="7">
        <f>IF(SCHOV!I30=9,S441,0)</f>
        <v>0</v>
      </c>
    </row>
    <row r="442" spans="1:20">
      <c r="A442" s="36">
        <f t="shared" si="5"/>
        <v>250000</v>
      </c>
      <c r="B442" s="36"/>
      <c r="C442" s="36"/>
      <c r="D442" s="36"/>
      <c r="E442" s="36">
        <v>500000</v>
      </c>
      <c r="F442" s="36">
        <f>IF(AND(F432&gt;A442, F432&lt;=E442),F432,0)</f>
        <v>0</v>
      </c>
      <c r="G442" s="36">
        <f>(12500/100*3)+(12500/100*4)+(25000/100*5)+(50000/100*7)+(50000/100*10)+(50000/100*14)+(50000/100*18)+((24/100)*(-A442+F442))</f>
        <v>-33375</v>
      </c>
      <c r="H442" s="36">
        <f>(12500/100*1)+(12500/100*2)+(25000/100*3)+(50000/100*5)+(50000/100*8)+(50000/100*14)+(50000/100*18)+((24/100)*(-A442+F442))</f>
        <v>-36375</v>
      </c>
      <c r="I442" s="36"/>
      <c r="J442" s="36"/>
      <c r="K442" s="36"/>
      <c r="L442" s="36"/>
      <c r="M442" s="7"/>
      <c r="N442" s="7">
        <f>IF(SCHOV!I30=10,J440*40%,0)</f>
        <v>0</v>
      </c>
      <c r="O442" s="7">
        <f>IF(N442&gt;1240,1240,N442)</f>
        <v>0</v>
      </c>
      <c r="P442" s="7"/>
      <c r="Q442" s="7"/>
      <c r="R442" s="7">
        <f>J440*20%</f>
        <v>0</v>
      </c>
      <c r="S442" s="7">
        <f>IF(R442&gt;620,620,R442)</f>
        <v>0</v>
      </c>
      <c r="T442" s="7">
        <f>IF(SCHOV!I30=10,S442,0)</f>
        <v>0</v>
      </c>
    </row>
    <row r="443" spans="1:20">
      <c r="A443" s="36">
        <f t="shared" si="5"/>
        <v>500000</v>
      </c>
      <c r="B443" s="36"/>
      <c r="C443" s="36"/>
      <c r="D443" s="36"/>
      <c r="E443" s="36">
        <v>999999999</v>
      </c>
      <c r="F443" s="36">
        <f>IF(AND(F432&gt;A443, F432&lt;=E443),F432,0)</f>
        <v>0</v>
      </c>
      <c r="G443" s="36">
        <f>(12500/100*3)+(12500/100*4)+(25000/100*5)+(50000/100*7)+(50000/100*10)+(50000/100*14)+(50000/100*18)+(250000/100*24)+((30/100)*(-A443+F443))</f>
        <v>-63375</v>
      </c>
      <c r="H443" s="36">
        <f>(12500/100*1)+(12500/100*2)+(25000/100*3)+(50000/100*5)+(50000/100*8)+(50000/100*14)+(50000/100*18)+(250000/100*24)+((30/100)*(-A443+F443))</f>
        <v>-66375</v>
      </c>
      <c r="I443" s="36"/>
      <c r="J443" s="36"/>
      <c r="K443" s="36"/>
      <c r="L443" s="36"/>
      <c r="M443" s="7"/>
      <c r="N443" s="7"/>
      <c r="O443" s="7"/>
      <c r="P443" s="7"/>
      <c r="Q443" s="7"/>
      <c r="R443" s="7"/>
      <c r="S443" s="7"/>
      <c r="T443" s="7"/>
    </row>
    <row r="444" spans="1:20">
      <c r="A444" s="42" t="s">
        <v>14</v>
      </c>
      <c r="B444" s="42"/>
      <c r="C444" s="42"/>
      <c r="D444" s="42"/>
      <c r="E444" s="36"/>
      <c r="F444" s="36"/>
      <c r="G444" s="36">
        <f>VLOOKUP(F432,F435:G443,2,FALSE)</f>
        <v>0</v>
      </c>
      <c r="H444" s="36">
        <f>VLOOKUP(F432,F435:H443,3,FALSE)</f>
        <v>0</v>
      </c>
      <c r="I444" s="36"/>
      <c r="J444" s="36"/>
      <c r="K444" s="36"/>
      <c r="L444" s="43"/>
      <c r="M444" s="7"/>
      <c r="N444" s="7"/>
      <c r="O444" s="7">
        <f>SUM(O435:O443)</f>
        <v>0</v>
      </c>
      <c r="P444" s="7"/>
      <c r="Q444" s="7"/>
      <c r="R444" s="7"/>
      <c r="S444" s="7"/>
      <c r="T444" s="7">
        <f>SUM(T435:T443)</f>
        <v>0</v>
      </c>
    </row>
    <row r="445" spans="1:20">
      <c r="A445" s="36"/>
      <c r="B445" s="36"/>
      <c r="C445" s="36"/>
      <c r="D445" s="36"/>
      <c r="E445" s="36"/>
      <c r="F445" s="36"/>
      <c r="G445" s="36"/>
      <c r="H445" s="36"/>
      <c r="I445" s="36"/>
      <c r="J445" s="36"/>
      <c r="K445" s="36"/>
      <c r="L445" s="43"/>
      <c r="M445" s="7"/>
      <c r="N445" s="7"/>
      <c r="O445" s="29"/>
      <c r="P445" s="7"/>
      <c r="Q445" s="7"/>
      <c r="R445" s="7"/>
      <c r="S445" s="7"/>
      <c r="T445" s="7"/>
    </row>
    <row r="446" spans="1:20">
      <c r="A446" s="36"/>
      <c r="B446" s="36"/>
      <c r="C446" s="36"/>
      <c r="D446" s="36"/>
      <c r="E446" s="36"/>
      <c r="F446" s="36"/>
      <c r="G446" s="36"/>
      <c r="H446" s="36"/>
      <c r="I446" s="36"/>
      <c r="J446" s="36"/>
      <c r="K446" s="36"/>
      <c r="L446" s="43"/>
      <c r="M446" s="7"/>
      <c r="N446" s="7"/>
      <c r="O446" s="29"/>
      <c r="P446" s="7"/>
      <c r="Q446" s="7"/>
      <c r="R446" s="7"/>
      <c r="S446" s="7"/>
      <c r="T446" s="7"/>
    </row>
    <row r="447" spans="1:20">
      <c r="A447" s="37" t="s">
        <v>15</v>
      </c>
      <c r="B447" s="37"/>
      <c r="C447" s="37"/>
      <c r="D447" s="37"/>
      <c r="E447" s="36"/>
      <c r="F447" s="36"/>
      <c r="G447" s="38" t="s">
        <v>16</v>
      </c>
      <c r="H447" s="38" t="s">
        <v>17</v>
      </c>
      <c r="I447" s="35" t="s">
        <v>18</v>
      </c>
      <c r="J447" s="35" t="s">
        <v>19</v>
      </c>
      <c r="K447" s="35" t="s">
        <v>20</v>
      </c>
      <c r="L447" s="35" t="s">
        <v>21</v>
      </c>
      <c r="M447" s="7"/>
      <c r="N447" s="7"/>
      <c r="O447" s="29"/>
      <c r="P447" s="7"/>
      <c r="Q447" s="7"/>
      <c r="R447" s="7"/>
      <c r="S447" s="7"/>
      <c r="T447" s="7"/>
    </row>
    <row r="448" spans="1:20">
      <c r="A448" s="36">
        <v>0</v>
      </c>
      <c r="B448" s="36"/>
      <c r="C448" s="36"/>
      <c r="D448" s="36"/>
      <c r="E448" s="36">
        <v>12500</v>
      </c>
      <c r="F448" s="36">
        <f>IF(AND(F432&gt;A448, F432&lt;=E448),F432,0)</f>
        <v>0</v>
      </c>
      <c r="G448" s="36">
        <f>0+(20/100)*(-A448+F448)</f>
        <v>0</v>
      </c>
      <c r="H448" s="36">
        <f>0+(10/100)*(-A448+F448)</f>
        <v>0</v>
      </c>
      <c r="I448" s="36">
        <f>0+(25/100)*(-A448+F448)</f>
        <v>0</v>
      </c>
      <c r="J448" s="36">
        <f>0+(10/100)*(-A448+F448)</f>
        <v>0</v>
      </c>
      <c r="K448" s="36">
        <f>0+(30/100)*(-A448+F448)</f>
        <v>0</v>
      </c>
      <c r="L448" s="36">
        <f>0+(10/100)*(-A448+F448)</f>
        <v>0</v>
      </c>
      <c r="M448" s="7" t="s">
        <v>81</v>
      </c>
      <c r="N448" s="16">
        <f>J440-O444</f>
        <v>0</v>
      </c>
      <c r="O448" s="29"/>
      <c r="P448" s="7" t="s">
        <v>82</v>
      </c>
      <c r="Q448" s="44">
        <f>J440-T444</f>
        <v>0</v>
      </c>
      <c r="R448" s="7"/>
      <c r="S448" s="7"/>
      <c r="T448" s="7"/>
    </row>
    <row r="449" spans="1:20">
      <c r="A449" s="36">
        <f>E448</f>
        <v>12500</v>
      </c>
      <c r="B449" s="36"/>
      <c r="C449" s="36"/>
      <c r="D449" s="36"/>
      <c r="E449" s="36">
        <v>25000</v>
      </c>
      <c r="F449" s="36">
        <f>IF(AND(F432&gt;A449, F432&lt;=E449),F432,0)</f>
        <v>0</v>
      </c>
      <c r="G449" s="36">
        <f>(12500/100*20)+((25/100)*(-A449+F449))</f>
        <v>-625</v>
      </c>
      <c r="H449" s="36">
        <f>(12500/100*10)+((10/100)*(-A449+F449))</f>
        <v>0</v>
      </c>
      <c r="I449" s="36">
        <f>(12500/100*25)+((30/100)*(-A449+F449))</f>
        <v>-625</v>
      </c>
      <c r="J449" s="36">
        <f>(12500/100*10)+((10/100)*(-A449+F449))</f>
        <v>0</v>
      </c>
      <c r="K449" s="36">
        <f>(12500/100*30)+((35/100)*(-A449+F449))</f>
        <v>-625</v>
      </c>
      <c r="L449" s="36">
        <f>(12500/100*10)+((10/100)*(-A449+F449))</f>
        <v>0</v>
      </c>
      <c r="M449" s="7"/>
      <c r="N449" s="7"/>
      <c r="O449" s="7"/>
      <c r="P449" s="7"/>
      <c r="Q449" s="7"/>
      <c r="R449" s="7"/>
      <c r="S449" s="7"/>
      <c r="T449" s="7"/>
    </row>
    <row r="450" spans="1:20">
      <c r="A450" s="36">
        <f>E449</f>
        <v>25000</v>
      </c>
      <c r="B450" s="36"/>
      <c r="C450" s="36"/>
      <c r="D450" s="36"/>
      <c r="E450" s="36">
        <v>75000</v>
      </c>
      <c r="F450" s="36">
        <f>IF(AND(F432&gt;A450, F432&lt;=E450),F432,0)</f>
        <v>0</v>
      </c>
      <c r="G450" s="36">
        <f>(12500/100*20)+(12500/100*25)+((35/100)*(-A450+F450))</f>
        <v>-3125</v>
      </c>
      <c r="H450" s="36">
        <f>(12500/100*10)+(12500/100*10)+((10/100)*(-A450+F450))</f>
        <v>0</v>
      </c>
      <c r="I450" s="36">
        <f>(12500/100*25)+(12500/100*30)+((40/100)*(-A450+F450))</f>
        <v>-3125</v>
      </c>
      <c r="J450" s="36">
        <f>(12500/100*10)+(12500/100*10)+((10/100)*(-A450+F450))</f>
        <v>0</v>
      </c>
      <c r="K450" s="36">
        <f>(12500/100*30)+(12500/100*35)+((50/100)*(-A450+F450))</f>
        <v>-4375</v>
      </c>
      <c r="L450" s="36">
        <f>(12500/100*10)+(12500/100*10)+((10/100)*(-A450+F450))</f>
        <v>0</v>
      </c>
      <c r="M450" s="7"/>
      <c r="N450" s="7"/>
      <c r="O450" s="7">
        <f>(IF(SCHOV!F30="echtgeno(o)t(e)",N448,Q448))</f>
        <v>0</v>
      </c>
      <c r="P450" s="7"/>
      <c r="Q450" s="7"/>
      <c r="R450" s="7"/>
      <c r="S450" s="7"/>
      <c r="T450" s="7"/>
    </row>
    <row r="451" spans="1:20">
      <c r="A451" s="36">
        <f>E450</f>
        <v>75000</v>
      </c>
      <c r="B451" s="36"/>
      <c r="C451" s="36"/>
      <c r="D451" s="36"/>
      <c r="E451" s="36">
        <v>150000</v>
      </c>
      <c r="F451" s="36">
        <f>IF(AND(F432&gt;A451, F432&lt;=E451),F432,0)</f>
        <v>0</v>
      </c>
      <c r="G451" s="36">
        <f>(12500/100*20)+(12500/100*25)+(50000/100*35)+((50/100)*(-A451+F451))</f>
        <v>-14375</v>
      </c>
      <c r="H451" s="36">
        <f>(12500/100*10)+(12500/100*10)+(50000/100*10)+((10/100)*(-A451+F451))</f>
        <v>0</v>
      </c>
      <c r="I451" s="36">
        <f>(12500/100*25)+(12500/100*30)+(50000/100*40)+((55/100)*(-A451+F451))</f>
        <v>-14375</v>
      </c>
      <c r="J451" s="36">
        <f>(12500/100*10)+(12500/100*10)+(50000/100*10)+((10/100)*(-A451+F451))</f>
        <v>0</v>
      </c>
      <c r="K451" s="36">
        <f>(12500/100*30)+(12500/100*35)+(50000/100*50)+((65/100)*(-A451+F451))</f>
        <v>-15625</v>
      </c>
      <c r="L451" s="36">
        <f>(12500/100*10)+(12500/100*10)+(50000/100*10)+((10/100)*(-A451+F451))</f>
        <v>0</v>
      </c>
      <c r="M451" s="7"/>
      <c r="N451" s="7"/>
      <c r="O451" s="7"/>
      <c r="P451" s="7"/>
      <c r="Q451" s="7"/>
      <c r="R451" s="7"/>
      <c r="S451" s="7"/>
      <c r="T451" s="7"/>
    </row>
    <row r="452" spans="1:20">
      <c r="A452" s="36">
        <v>150000</v>
      </c>
      <c r="B452" s="36"/>
      <c r="C452" s="36"/>
      <c r="D452" s="36"/>
      <c r="E452" s="36">
        <v>175000</v>
      </c>
      <c r="F452" s="36">
        <f>IF(AND(F432&gt;A452, F432&lt;=E452),F432,0)</f>
        <v>0</v>
      </c>
      <c r="G452" s="36">
        <f>(12500/100*20)+(12500/100*25)+(50000/100*35)+(75000/100*50)+((50/100)*(-A452+F452))</f>
        <v>-14375</v>
      </c>
      <c r="H452" s="36">
        <f>(12500/100*10)+(12500/100*10)+(50000/100*10)+(75000/100*10)+((50/100)*(-A452+F452))</f>
        <v>-60000</v>
      </c>
      <c r="I452" s="36">
        <f>(12500/100*25)+(12500/100*30)+(50000/100*40)+(75000/100*55)+((55/100)*(-A452+F452))</f>
        <v>-14375</v>
      </c>
      <c r="J452" s="36">
        <f>(12500/100*10)+(12500/100*10)+(50000/100*10)+(75000/100*10)+((55/100)*(-A452+F452))</f>
        <v>-67500</v>
      </c>
      <c r="K452" s="36">
        <f>(12500/100*30)+(12500/100*35)+(50000/100*50)+(75000/100*65)+((65/100)*(-A452+F452))</f>
        <v>-15625</v>
      </c>
      <c r="L452" s="36">
        <f>(12500/100*10)+(12500/100*10)+(50000/100*10)+(75000/100*10)+((65/100)*(-A452+F452))</f>
        <v>-82500</v>
      </c>
      <c r="M452" s="7"/>
      <c r="N452" s="7"/>
      <c r="O452" s="7"/>
      <c r="P452" s="7"/>
      <c r="Q452" s="7"/>
      <c r="R452" s="7"/>
      <c r="S452" s="7"/>
      <c r="T452" s="7"/>
    </row>
    <row r="453" spans="1:20">
      <c r="A453" s="36">
        <v>175000</v>
      </c>
      <c r="B453" s="36"/>
      <c r="C453" s="36"/>
      <c r="D453" s="36"/>
      <c r="E453" s="36">
        <v>999999999</v>
      </c>
      <c r="F453" s="36">
        <f>IF(AND(F432&gt;A453, F432&lt;=E453),F432,0)</f>
        <v>0</v>
      </c>
      <c r="G453" s="36">
        <f>(12500/100*20)+(12500/100*25)+(50000/100*35)+(75000/100*50)+(25000/100*50)+((65/100)*(-A453+F453))</f>
        <v>-40625</v>
      </c>
      <c r="H453" s="36">
        <f>(12500/100*10)+(12500/100*10)+(50000/100*10)+(75000/100*10)+(25000/100*50)+((65/100)*(-A453+F453))</f>
        <v>-86250</v>
      </c>
      <c r="I453" s="36">
        <f>(12500/100*25)+(12500/100*30)+(50000/100*40)+(75000/100*55)+(25000/100*55)+((70/100)*(-A453+F453))</f>
        <v>-40624.999999999985</v>
      </c>
      <c r="J453" s="36">
        <f>(12500/100*10)+(12500/100*10)+(50000/100*10)+(75000/100*10)+(25000/100*55)+((70/100)*(-A453+F453))</f>
        <v>-93749.999999999985</v>
      </c>
      <c r="K453" s="36">
        <f>(12500/100*30)+(12500/100*35)+(50000/100*50)+(75000/100*65)+(25000/100*65)+((80/100)*(-A453+F453))</f>
        <v>-41875</v>
      </c>
      <c r="L453" s="36">
        <f>(12500/100*10)+(12500/100*10)+(50000/100*10)+(75000/100*10)+(25000/100*65)+((80/100)*(-A453+F453))</f>
        <v>-108750</v>
      </c>
      <c r="M453" s="7"/>
      <c r="N453" s="7"/>
      <c r="O453" s="7"/>
      <c r="P453" s="7"/>
      <c r="Q453" s="7"/>
      <c r="R453" s="7"/>
      <c r="S453" s="7"/>
      <c r="T453" s="7"/>
    </row>
    <row r="454" spans="1:20">
      <c r="A454" s="42" t="s">
        <v>14</v>
      </c>
      <c r="B454" s="42"/>
      <c r="C454" s="42"/>
      <c r="D454" s="42"/>
      <c r="E454" s="36"/>
      <c r="F454" s="36"/>
      <c r="G454" s="36">
        <f>VLOOKUP(F432,F448:G453,2,FALSE)</f>
        <v>0</v>
      </c>
      <c r="H454" s="36">
        <f>VLOOKUP(F432,F448:H453,3,FALSE)</f>
        <v>0</v>
      </c>
      <c r="I454" s="36">
        <f>VLOOKUP(F432,F448:I453,4,FALSE)</f>
        <v>0</v>
      </c>
      <c r="J454" s="36">
        <f>VLOOKUP(F432,F448:J453,5,FALSE)</f>
        <v>0</v>
      </c>
      <c r="K454" s="36">
        <f>VLOOKUP(F432,F448:K453,6,FALSE)</f>
        <v>0</v>
      </c>
      <c r="L454" s="36">
        <f>VLOOKUP(F432,F448:L453,7,FALSE)</f>
        <v>0</v>
      </c>
      <c r="M454" s="7"/>
      <c r="N454" s="7"/>
      <c r="O454" s="7"/>
      <c r="P454" s="7"/>
      <c r="Q454" s="7"/>
      <c r="R454" s="7"/>
      <c r="S454" s="7"/>
      <c r="T454" s="7"/>
    </row>
    <row r="455" spans="1:20">
      <c r="A455" s="7"/>
      <c r="B455" s="7"/>
      <c r="C455" s="7"/>
      <c r="D455" s="7"/>
      <c r="E455" s="7"/>
      <c r="F455" s="7"/>
      <c r="G455" s="7"/>
      <c r="H455" s="7"/>
      <c r="I455" s="7"/>
      <c r="J455" s="7"/>
      <c r="K455" s="7"/>
      <c r="L455" s="7"/>
      <c r="M455" s="7"/>
      <c r="N455" s="7"/>
      <c r="O455" s="7"/>
      <c r="P455" s="7"/>
      <c r="Q455" s="7"/>
      <c r="R455" s="7"/>
      <c r="S455" s="7"/>
      <c r="T455" s="7"/>
    </row>
    <row r="532" spans="1:20">
      <c r="A532" s="7"/>
      <c r="B532" s="7"/>
      <c r="C532" s="7"/>
      <c r="D532" s="7"/>
      <c r="E532" s="24"/>
      <c r="F532" s="7"/>
      <c r="G532" s="24"/>
      <c r="H532" s="7"/>
      <c r="I532" s="7"/>
      <c r="J532" s="7">
        <f>IF(AND(SCHOV!E16="bouwgrond",SCHOV!F35="echtgeno(o)t(e)"),H547,0)</f>
        <v>0</v>
      </c>
      <c r="K532" s="7"/>
      <c r="L532" s="7"/>
      <c r="M532" s="7"/>
      <c r="N532" s="7"/>
      <c r="O532" s="7"/>
      <c r="P532" s="7"/>
      <c r="Q532" s="7"/>
      <c r="R532" s="7"/>
      <c r="S532" s="7"/>
      <c r="T532" s="7"/>
    </row>
    <row r="533" spans="1:20">
      <c r="A533" s="7"/>
      <c r="B533" s="7"/>
      <c r="C533" s="7"/>
      <c r="D533" s="7"/>
      <c r="E533" s="24"/>
      <c r="F533" s="7"/>
      <c r="G533" s="24"/>
      <c r="H533" s="7"/>
      <c r="I533" s="7"/>
      <c r="J533" s="7">
        <f>IF(AND(SCHOV!E16="andere",SCHOV!F35="echtgeno(o)t(e)"),G547,0)</f>
        <v>0</v>
      </c>
      <c r="K533" s="7"/>
      <c r="L533" s="7"/>
      <c r="M533" s="7"/>
      <c r="N533" s="7"/>
      <c r="O533" s="7"/>
      <c r="P533" s="7"/>
      <c r="Q533" s="7"/>
      <c r="R533" s="7"/>
      <c r="S533" s="7"/>
      <c r="T533" s="7"/>
    </row>
    <row r="534" spans="1:20">
      <c r="A534" s="35"/>
      <c r="B534" s="35"/>
      <c r="C534" s="35"/>
      <c r="D534" s="35"/>
      <c r="E534" s="36"/>
      <c r="F534" s="37"/>
      <c r="G534" s="36"/>
      <c r="H534" s="36"/>
      <c r="I534" s="38"/>
      <c r="J534" s="39">
        <f>IF(AND(SCHOV!E16="bouwgrond",SCHOV!F35="rechte lijn"),H547,0)</f>
        <v>0</v>
      </c>
      <c r="K534" s="38"/>
      <c r="L534" s="40"/>
      <c r="M534" s="7"/>
      <c r="N534" s="7"/>
      <c r="O534" s="7"/>
      <c r="P534" s="7"/>
      <c r="Q534" s="7"/>
      <c r="R534" s="7"/>
      <c r="S534" s="7"/>
      <c r="T534" s="7"/>
    </row>
    <row r="535" spans="1:20">
      <c r="A535" s="36" t="s">
        <v>10</v>
      </c>
      <c r="B535" s="36"/>
      <c r="C535" s="36"/>
      <c r="D535" s="36"/>
      <c r="E535" s="36"/>
      <c r="F535" s="36">
        <f>SCHOV!G37</f>
        <v>0</v>
      </c>
      <c r="G535" s="41"/>
      <c r="H535" s="36"/>
      <c r="I535" s="36"/>
      <c r="J535" s="39">
        <f>IF(AND(SCHOV!E16="andere",SCHOV!F35="rechte lijn"),G547,0)</f>
        <v>0</v>
      </c>
      <c r="K535" s="36"/>
      <c r="L535" s="40"/>
      <c r="M535" s="7"/>
      <c r="N535" s="7"/>
      <c r="O535" s="7"/>
      <c r="P535" s="7"/>
      <c r="Q535" s="7"/>
      <c r="R535" s="7"/>
      <c r="S535" s="7"/>
      <c r="T535" s="7"/>
    </row>
    <row r="536" spans="1:20">
      <c r="A536" s="36"/>
      <c r="B536" s="36"/>
      <c r="C536" s="36"/>
      <c r="D536" s="36"/>
      <c r="E536" s="36"/>
      <c r="F536" s="36"/>
      <c r="G536" s="36"/>
      <c r="H536" s="36"/>
      <c r="I536" s="36"/>
      <c r="J536" s="39">
        <f>IF(AND(SCHOV!E16="bouwgrond",SCHOV!F35="broer/zuster"),H557,0)</f>
        <v>0</v>
      </c>
      <c r="K536" s="36"/>
      <c r="L536" s="36"/>
      <c r="M536" s="7"/>
      <c r="N536" s="7" t="s">
        <v>77</v>
      </c>
      <c r="O536" s="7"/>
      <c r="P536" s="7"/>
      <c r="Q536" s="7"/>
      <c r="R536" s="7"/>
      <c r="S536" s="7"/>
      <c r="T536" s="7"/>
    </row>
    <row r="537" spans="1:20">
      <c r="A537" s="37" t="s">
        <v>11</v>
      </c>
      <c r="B537" s="37"/>
      <c r="C537" s="37"/>
      <c r="D537" s="37"/>
      <c r="E537" s="36"/>
      <c r="F537" s="36"/>
      <c r="G537" s="38" t="s">
        <v>12</v>
      </c>
      <c r="H537" s="38" t="s">
        <v>13</v>
      </c>
      <c r="I537" s="36"/>
      <c r="J537" s="39">
        <f>IF(AND(SCHOV!E16="andere",SCHOV!F35="broer/zuster"),G557,0)</f>
        <v>0</v>
      </c>
      <c r="K537" s="36"/>
      <c r="L537" s="36"/>
      <c r="M537" s="7"/>
      <c r="N537" s="7"/>
      <c r="O537" s="7"/>
      <c r="P537" s="7"/>
      <c r="Q537" s="7"/>
      <c r="R537" s="7"/>
      <c r="S537" s="7"/>
      <c r="T537" s="7"/>
    </row>
    <row r="538" spans="1:20">
      <c r="A538" s="36">
        <v>0</v>
      </c>
      <c r="B538" s="36"/>
      <c r="C538" s="36"/>
      <c r="D538" s="36"/>
      <c r="E538" s="36">
        <v>12500</v>
      </c>
      <c r="F538" s="36">
        <f>IF(AND(F535&gt;A538, F535&lt;=E538),F535,0)</f>
        <v>0</v>
      </c>
      <c r="G538" s="36">
        <f>0+(3/100)*(-A538+F538)</f>
        <v>0</v>
      </c>
      <c r="H538" s="36">
        <f>0+(1/100)*(-A538+F538)</f>
        <v>0</v>
      </c>
      <c r="I538" s="36"/>
      <c r="J538" s="39">
        <f>IF(AND(SCHOV!E16="bouwgrond",SCHOV!F35="oom-tante/neef-nicht"),J557,0)</f>
        <v>0</v>
      </c>
      <c r="K538" s="36"/>
      <c r="L538" s="36"/>
      <c r="M538" s="7" t="s">
        <v>78</v>
      </c>
      <c r="N538" s="7">
        <f>IF(SCHOV!I35=3,J543*12%,0)</f>
        <v>0</v>
      </c>
      <c r="O538" s="7">
        <f>IF(N538&gt;372,372,N538)</f>
        <v>0</v>
      </c>
      <c r="P538" s="7"/>
      <c r="Q538" s="7" t="s">
        <v>79</v>
      </c>
      <c r="R538" s="7">
        <f>J543*6%</f>
        <v>0</v>
      </c>
      <c r="S538" s="7">
        <f>IF(R538&gt;186,186,R538)</f>
        <v>0</v>
      </c>
      <c r="T538" s="7">
        <f>IF(SCHOV!I35=3,S538,0)</f>
        <v>0</v>
      </c>
    </row>
    <row r="539" spans="1:20">
      <c r="A539" s="36">
        <f t="shared" ref="A539:A546" si="6">E538</f>
        <v>12500</v>
      </c>
      <c r="B539" s="36"/>
      <c r="C539" s="36"/>
      <c r="D539" s="36"/>
      <c r="E539" s="36">
        <v>25000</v>
      </c>
      <c r="F539" s="36">
        <f>IF(AND(F535&gt;A539, F535&lt;=E539),F535,0)</f>
        <v>0</v>
      </c>
      <c r="G539" s="36">
        <f>(12500/100*3)+(4/100)*(-A539+F539)</f>
        <v>-125</v>
      </c>
      <c r="H539" s="36">
        <f>(12500/100*1)+(2/100)*(-A539+F539)</f>
        <v>-125</v>
      </c>
      <c r="I539" s="36"/>
      <c r="J539" s="39">
        <f>IF(AND(SCHOV!E16="andere",SCHOV!F35="oom-tante/neef-nicht"),I557,0)</f>
        <v>0</v>
      </c>
      <c r="K539" s="36"/>
      <c r="L539" s="7"/>
      <c r="M539" s="7"/>
      <c r="N539" s="7">
        <f>IF(SCHOV!I35=4,J543*16%,0)</f>
        <v>0</v>
      </c>
      <c r="O539" s="7">
        <f>IF(N539&gt;496,496,N539)</f>
        <v>0</v>
      </c>
      <c r="P539" s="7"/>
      <c r="Q539" s="7" t="s">
        <v>80</v>
      </c>
      <c r="R539" s="7">
        <f>J543*8%</f>
        <v>0</v>
      </c>
      <c r="S539" s="7">
        <f>IF(R539&gt;248,248,R539)</f>
        <v>0</v>
      </c>
      <c r="T539" s="7">
        <f>IF(SCHOV!I35=4,S539,0)</f>
        <v>0</v>
      </c>
    </row>
    <row r="540" spans="1:20">
      <c r="A540" s="36">
        <f t="shared" si="6"/>
        <v>25000</v>
      </c>
      <c r="B540" s="36"/>
      <c r="C540" s="36"/>
      <c r="D540" s="36"/>
      <c r="E540" s="36">
        <v>50000</v>
      </c>
      <c r="F540" s="36">
        <f>IF(AND(F535&gt;A540, F535&lt;=E540),F535,0)</f>
        <v>0</v>
      </c>
      <c r="G540" s="36">
        <f>(12500/100*3)+(12500/100*4)+((5/100)*(-A540+F540))</f>
        <v>-375</v>
      </c>
      <c r="H540" s="36">
        <f>(12500/100*1)+(12500/100*2)+((3/100)*(-A540+F540))</f>
        <v>-375</v>
      </c>
      <c r="I540" s="36"/>
      <c r="J540" s="39">
        <f>IF(AND(SCHOV!E16="bouwgrond",SCHOV!F35="vreemden"),L557,0)</f>
        <v>0</v>
      </c>
      <c r="K540" s="36"/>
      <c r="L540" s="36"/>
      <c r="M540" s="7"/>
      <c r="N540" s="7">
        <f>IF(SCHOV!I35=5,J543*20%,0)</f>
        <v>0</v>
      </c>
      <c r="O540" s="7">
        <f>IF(N540&gt;620,620,N540)</f>
        <v>0</v>
      </c>
      <c r="P540" s="7"/>
      <c r="Q540" s="7"/>
      <c r="R540" s="7">
        <f>J543*10%</f>
        <v>0</v>
      </c>
      <c r="S540" s="7">
        <f>IF(R540&gt;310,310,R540)</f>
        <v>0</v>
      </c>
      <c r="T540" s="7">
        <f>IF(SCHOV!I35=5,S540,0)</f>
        <v>0</v>
      </c>
    </row>
    <row r="541" spans="1:20">
      <c r="A541" s="36">
        <f t="shared" si="6"/>
        <v>50000</v>
      </c>
      <c r="B541" s="36"/>
      <c r="C541" s="36"/>
      <c r="D541" s="36"/>
      <c r="E541" s="36">
        <v>100000</v>
      </c>
      <c r="F541" s="36">
        <f>IF(AND(F535&gt;A541, F535&lt;=E541),F535,0)</f>
        <v>0</v>
      </c>
      <c r="G541" s="36">
        <f>(12500/100*3)+(12500/100*4)+(25000/100*5)+((7/100)*(-A541+F541))</f>
        <v>-1375.0000000000005</v>
      </c>
      <c r="H541" s="36">
        <f>(12500/100*1)+(12500/100*2)+(25000/100*3)+((5/100)*(-A541+F541))</f>
        <v>-1375</v>
      </c>
      <c r="I541" s="36"/>
      <c r="J541" s="39">
        <f>IF(AND(SCHOV!E16="andere",SCHOV!F35="vreemden"),K557,0)</f>
        <v>0</v>
      </c>
      <c r="K541" s="36"/>
      <c r="L541" s="36"/>
      <c r="M541" s="7"/>
      <c r="N541" s="7">
        <f>IF(SCHOV!I35=6,J543*24%,0)</f>
        <v>0</v>
      </c>
      <c r="O541" s="7">
        <f>IF(N541&gt;744,744,N541)</f>
        <v>0</v>
      </c>
      <c r="P541" s="7"/>
      <c r="Q541" s="7"/>
      <c r="R541" s="7">
        <f>J543*12%</f>
        <v>0</v>
      </c>
      <c r="S541" s="7">
        <f>IF(R541&gt;372,372,R541)</f>
        <v>0</v>
      </c>
      <c r="T541" s="7">
        <f>IF(SCHOV!I35=6,S541,0)</f>
        <v>0</v>
      </c>
    </row>
    <row r="542" spans="1:20">
      <c r="A542" s="36">
        <f t="shared" si="6"/>
        <v>100000</v>
      </c>
      <c r="B542" s="36"/>
      <c r="C542" s="36"/>
      <c r="D542" s="36"/>
      <c r="E542" s="36">
        <v>150000</v>
      </c>
      <c r="F542" s="36">
        <f>IF(AND(F535&gt;A542, F535&lt;=E542),F535,0)</f>
        <v>0</v>
      </c>
      <c r="G542" s="36">
        <f>(12500/100*3)+(12500/100*4)+(25000/100*5)+(50000/100*7)+((10/100)*(-A542+F542))</f>
        <v>-4375</v>
      </c>
      <c r="H542" s="36">
        <f>(12500/100*1)+(12500/100*2)+(25000/100*3)+(50000/100*5)+((8/100)*(-A542+F542))</f>
        <v>-4375</v>
      </c>
      <c r="I542" s="36"/>
      <c r="J542" s="36"/>
      <c r="K542" s="36"/>
      <c r="L542" s="36"/>
      <c r="M542" s="7"/>
      <c r="N542" s="7">
        <f>IF(SCHOV!I35=7,J543*28%,0)</f>
        <v>0</v>
      </c>
      <c r="O542" s="7">
        <f>IF(N542&gt;868,868,N542)</f>
        <v>0</v>
      </c>
      <c r="P542" s="7"/>
      <c r="Q542" s="7"/>
      <c r="R542" s="7">
        <f>J543*14%</f>
        <v>0</v>
      </c>
      <c r="S542" s="7">
        <f>IF(R542&gt;434,434,R542)</f>
        <v>0</v>
      </c>
      <c r="T542" s="7">
        <f>IF(SCHOV!I35=7,S542,0)</f>
        <v>0</v>
      </c>
    </row>
    <row r="543" spans="1:20">
      <c r="A543" s="36">
        <f t="shared" si="6"/>
        <v>150000</v>
      </c>
      <c r="B543" s="36"/>
      <c r="C543" s="36"/>
      <c r="D543" s="36"/>
      <c r="E543" s="36">
        <v>200000</v>
      </c>
      <c r="F543" s="36">
        <f>IF(AND(F535&gt;A543, F535&lt;=E543),F535,0)</f>
        <v>0</v>
      </c>
      <c r="G543" s="36">
        <f>(12500/100*3)+(12500/100*4)+(25000/100*5)+(50000/100*7)+(50000/100*10)+((14/100)*(-A543+F543))</f>
        <v>-10375.000000000004</v>
      </c>
      <c r="H543" s="36">
        <f>(12500/100*1)+(12500/100*2)+(25000/100*3)+(50000/100*5)+(50000/100*8)+((14/100)*(-A543+F543))</f>
        <v>-13375.000000000004</v>
      </c>
      <c r="I543" s="36"/>
      <c r="J543" s="36">
        <f>SUM(J532:J541)</f>
        <v>0</v>
      </c>
      <c r="K543" s="36"/>
      <c r="L543" s="36"/>
      <c r="M543" s="7"/>
      <c r="N543" s="7">
        <f>IF(SCHOV!I35=8,J543*32%,0)</f>
        <v>0</v>
      </c>
      <c r="O543" s="7">
        <f>IF(N543&gt;992,992,N543)</f>
        <v>0</v>
      </c>
      <c r="P543" s="7"/>
      <c r="Q543" s="7"/>
      <c r="R543" s="7">
        <f>J543*16%</f>
        <v>0</v>
      </c>
      <c r="S543" s="7">
        <f>IF(R543&gt;496,496,R543)</f>
        <v>0</v>
      </c>
      <c r="T543" s="7">
        <f>IF(SCHOV!I35=8,S543,0)</f>
        <v>0</v>
      </c>
    </row>
    <row r="544" spans="1:20">
      <c r="A544" s="36">
        <f t="shared" si="6"/>
        <v>200000</v>
      </c>
      <c r="B544" s="36"/>
      <c r="C544" s="36"/>
      <c r="D544" s="36"/>
      <c r="E544" s="36">
        <v>250000</v>
      </c>
      <c r="F544" s="36">
        <f>IF(AND(F535&gt;A544, F535&lt;=E544),F535,0)</f>
        <v>0</v>
      </c>
      <c r="G544" s="36">
        <f>(12500/100*3)+(12500/100*4)+(25000/100*5)+(50000/100*7)+(50000/100*10)+(50000/100*14)+((18/100)*(-A544+F544))</f>
        <v>-18375</v>
      </c>
      <c r="H544" s="36">
        <f>(12500/100*1)+(12500/100*2)+(25000/100*3)+(50000/100*5)+(50000/100*8)+(50000/100*14)+((18/100)*(-A544+F544))</f>
        <v>-21375</v>
      </c>
      <c r="I544" s="36"/>
      <c r="J544" s="36"/>
      <c r="K544" s="36"/>
      <c r="L544" s="36"/>
      <c r="M544" s="7"/>
      <c r="N544" s="7">
        <f>IF(SCHOV!I35=9,J543*36%,0)</f>
        <v>0</v>
      </c>
      <c r="O544" s="7">
        <f>IF(N544&gt;1116,1116,N544)</f>
        <v>0</v>
      </c>
      <c r="P544" s="7"/>
      <c r="Q544" s="7"/>
      <c r="R544" s="7">
        <f>J543*18%</f>
        <v>0</v>
      </c>
      <c r="S544" s="7">
        <f>IF(R544&gt;558,558,R544)</f>
        <v>0</v>
      </c>
      <c r="T544" s="7">
        <f>IF(SCHOV!I35=9,S544,0)</f>
        <v>0</v>
      </c>
    </row>
    <row r="545" spans="1:20">
      <c r="A545" s="36">
        <f t="shared" si="6"/>
        <v>250000</v>
      </c>
      <c r="B545" s="36"/>
      <c r="C545" s="36"/>
      <c r="D545" s="36"/>
      <c r="E545" s="36">
        <v>500000</v>
      </c>
      <c r="F545" s="36">
        <f>IF(AND(F535&gt;A545, F535&lt;=E545),F535,0)</f>
        <v>0</v>
      </c>
      <c r="G545" s="36">
        <f>(12500/100*3)+(12500/100*4)+(25000/100*5)+(50000/100*7)+(50000/100*10)+(50000/100*14)+(50000/100*18)+((24/100)*(-A545+F545))</f>
        <v>-33375</v>
      </c>
      <c r="H545" s="36">
        <f>(12500/100*1)+(12500/100*2)+(25000/100*3)+(50000/100*5)+(50000/100*8)+(50000/100*14)+(50000/100*18)+((24/100)*(-A545+F545))</f>
        <v>-36375</v>
      </c>
      <c r="I545" s="36"/>
      <c r="J545" s="36"/>
      <c r="K545" s="36"/>
      <c r="L545" s="36"/>
      <c r="M545" s="7"/>
      <c r="N545" s="7">
        <f>IF(SCHOV!I35=10,J543*40%,0)</f>
        <v>0</v>
      </c>
      <c r="O545" s="7">
        <f>IF(N545&gt;1240,1240,N545)</f>
        <v>0</v>
      </c>
      <c r="P545" s="7"/>
      <c r="Q545" s="7"/>
      <c r="R545" s="7">
        <f>J543*20%</f>
        <v>0</v>
      </c>
      <c r="S545" s="7">
        <f>IF(R545&gt;620,620,R545)</f>
        <v>0</v>
      </c>
      <c r="T545" s="7">
        <f>IF(SCHOV!I35=10,S545,0)</f>
        <v>0</v>
      </c>
    </row>
    <row r="546" spans="1:20">
      <c r="A546" s="36">
        <f t="shared" si="6"/>
        <v>500000</v>
      </c>
      <c r="B546" s="36"/>
      <c r="C546" s="36"/>
      <c r="D546" s="36"/>
      <c r="E546" s="36">
        <v>999999999</v>
      </c>
      <c r="F546" s="36">
        <f>IF(AND(F535&gt;A546, F535&lt;=E546),F535,0)</f>
        <v>0</v>
      </c>
      <c r="G546" s="36">
        <f>(12500/100*3)+(12500/100*4)+(25000/100*5)+(50000/100*7)+(50000/100*10)+(50000/100*14)+(50000/100*18)+(250000/100*24)+((30/100)*(-A546+F546))</f>
        <v>-63375</v>
      </c>
      <c r="H546" s="36">
        <f>(12500/100*1)+(12500/100*2)+(25000/100*3)+(50000/100*5)+(50000/100*8)+(50000/100*14)+(50000/100*18)+(250000/100*24)+((30/100)*(-A546+F546))</f>
        <v>-66375</v>
      </c>
      <c r="I546" s="36"/>
      <c r="J546" s="36"/>
      <c r="K546" s="36"/>
      <c r="L546" s="36"/>
      <c r="M546" s="7"/>
      <c r="N546" s="7"/>
      <c r="O546" s="7"/>
      <c r="P546" s="7"/>
      <c r="Q546" s="7"/>
      <c r="R546" s="7"/>
      <c r="S546" s="7"/>
      <c r="T546" s="7"/>
    </row>
    <row r="547" spans="1:20">
      <c r="A547" s="42" t="s">
        <v>14</v>
      </c>
      <c r="B547" s="42"/>
      <c r="C547" s="42"/>
      <c r="D547" s="42"/>
      <c r="E547" s="36"/>
      <c r="F547" s="36"/>
      <c r="G547" s="36">
        <f>VLOOKUP(F535,F538:G546,2,FALSE)</f>
        <v>0</v>
      </c>
      <c r="H547" s="36">
        <f>VLOOKUP(F535,F538:H546,3,FALSE)</f>
        <v>0</v>
      </c>
      <c r="I547" s="36"/>
      <c r="J547" s="36"/>
      <c r="K547" s="36"/>
      <c r="L547" s="43"/>
      <c r="M547" s="7"/>
      <c r="N547" s="7"/>
      <c r="O547" s="7">
        <f>SUM(O538:O546)</f>
        <v>0</v>
      </c>
      <c r="P547" s="7"/>
      <c r="Q547" s="7"/>
      <c r="R547" s="7"/>
      <c r="S547" s="7"/>
      <c r="T547" s="7">
        <f>SUM(T538:T546)</f>
        <v>0</v>
      </c>
    </row>
    <row r="548" spans="1:20">
      <c r="A548" s="36"/>
      <c r="B548" s="36"/>
      <c r="C548" s="36"/>
      <c r="D548" s="36"/>
      <c r="E548" s="36"/>
      <c r="F548" s="36"/>
      <c r="G548" s="36"/>
      <c r="H548" s="36"/>
      <c r="I548" s="36"/>
      <c r="J548" s="36"/>
      <c r="K548" s="36"/>
      <c r="L548" s="43"/>
      <c r="M548" s="7"/>
      <c r="N548" s="7"/>
      <c r="O548" s="29"/>
      <c r="P548" s="7"/>
      <c r="Q548" s="7"/>
      <c r="R548" s="7"/>
      <c r="S548" s="7"/>
      <c r="T548" s="7"/>
    </row>
    <row r="549" spans="1:20">
      <c r="A549" s="36"/>
      <c r="B549" s="36"/>
      <c r="C549" s="36"/>
      <c r="D549" s="36"/>
      <c r="E549" s="36"/>
      <c r="F549" s="36"/>
      <c r="G549" s="36"/>
      <c r="H549" s="36"/>
      <c r="I549" s="36"/>
      <c r="J549" s="36"/>
      <c r="K549" s="36"/>
      <c r="L549" s="43"/>
      <c r="M549" s="7"/>
      <c r="N549" s="7"/>
      <c r="O549" s="29"/>
      <c r="P549" s="7"/>
      <c r="Q549" s="7"/>
      <c r="R549" s="7"/>
      <c r="S549" s="7"/>
      <c r="T549" s="7"/>
    </row>
    <row r="550" spans="1:20">
      <c r="A550" s="37" t="s">
        <v>15</v>
      </c>
      <c r="B550" s="37"/>
      <c r="C550" s="37"/>
      <c r="D550" s="37"/>
      <c r="E550" s="36"/>
      <c r="F550" s="36"/>
      <c r="G550" s="38" t="s">
        <v>16</v>
      </c>
      <c r="H550" s="38" t="s">
        <v>17</v>
      </c>
      <c r="I550" s="35" t="s">
        <v>18</v>
      </c>
      <c r="J550" s="35" t="s">
        <v>19</v>
      </c>
      <c r="K550" s="35" t="s">
        <v>20</v>
      </c>
      <c r="L550" s="35" t="s">
        <v>21</v>
      </c>
      <c r="M550" s="7"/>
      <c r="N550" s="7"/>
      <c r="O550" s="29"/>
      <c r="P550" s="7"/>
      <c r="Q550" s="7"/>
      <c r="R550" s="7"/>
      <c r="S550" s="7"/>
      <c r="T550" s="7"/>
    </row>
    <row r="551" spans="1:20">
      <c r="A551" s="36">
        <v>0</v>
      </c>
      <c r="B551" s="36"/>
      <c r="C551" s="36"/>
      <c r="D551" s="36"/>
      <c r="E551" s="36">
        <v>12500</v>
      </c>
      <c r="F551" s="36">
        <f>IF(AND(F535&gt;A551, F535&lt;=E551),F535,0)</f>
        <v>0</v>
      </c>
      <c r="G551" s="36">
        <f>0+(20/100)*(-A551+F551)</f>
        <v>0</v>
      </c>
      <c r="H551" s="36">
        <f>0+(10/100)*(-A551+F551)</f>
        <v>0</v>
      </c>
      <c r="I551" s="36">
        <f>0+(25/100)*(-A551+F551)</f>
        <v>0</v>
      </c>
      <c r="J551" s="36">
        <f>0+(10/100)*(-A551+F551)</f>
        <v>0</v>
      </c>
      <c r="K551" s="36">
        <f>0+(30/100)*(-A551+F551)</f>
        <v>0</v>
      </c>
      <c r="L551" s="36">
        <f>0+(10/100)*(-A551+F551)</f>
        <v>0</v>
      </c>
      <c r="M551" s="7" t="s">
        <v>81</v>
      </c>
      <c r="N551" s="16">
        <f>J543-O547</f>
        <v>0</v>
      </c>
      <c r="O551" s="29"/>
      <c r="P551" s="7" t="s">
        <v>82</v>
      </c>
      <c r="Q551" s="44">
        <f>J543-T547</f>
        <v>0</v>
      </c>
      <c r="R551" s="7"/>
      <c r="S551" s="7"/>
      <c r="T551" s="7"/>
    </row>
    <row r="552" spans="1:20">
      <c r="A552" s="36">
        <f>E551</f>
        <v>12500</v>
      </c>
      <c r="B552" s="36"/>
      <c r="C552" s="36"/>
      <c r="D552" s="36"/>
      <c r="E552" s="36">
        <v>25000</v>
      </c>
      <c r="F552" s="36">
        <f>IF(AND(F535&gt;A552, F535&lt;=E552),F535,0)</f>
        <v>0</v>
      </c>
      <c r="G552" s="36">
        <f>(12500/100*20)+((25/100)*(-A552+F552))</f>
        <v>-625</v>
      </c>
      <c r="H552" s="36">
        <f>(12500/100*10)+((10/100)*(-A552+F552))</f>
        <v>0</v>
      </c>
      <c r="I552" s="36">
        <f>(12500/100*25)+((30/100)*(-A552+F552))</f>
        <v>-625</v>
      </c>
      <c r="J552" s="36">
        <f>(12500/100*10)+((10/100)*(-A552+F552))</f>
        <v>0</v>
      </c>
      <c r="K552" s="36">
        <f>(12500/100*30)+((35/100)*(-A552+F552))</f>
        <v>-625</v>
      </c>
      <c r="L552" s="36">
        <f>(12500/100*10)+((10/100)*(-A552+F552))</f>
        <v>0</v>
      </c>
      <c r="M552" s="7"/>
      <c r="N552" s="7"/>
      <c r="O552" s="7"/>
      <c r="P552" s="7"/>
      <c r="Q552" s="7"/>
      <c r="R552" s="7"/>
      <c r="S552" s="7"/>
      <c r="T552" s="7"/>
    </row>
    <row r="553" spans="1:20">
      <c r="A553" s="36">
        <f>E552</f>
        <v>25000</v>
      </c>
      <c r="B553" s="36"/>
      <c r="C553" s="36"/>
      <c r="D553" s="36"/>
      <c r="E553" s="36">
        <v>75000</v>
      </c>
      <c r="F553" s="36">
        <f>IF(AND(F535&gt;A553, F535&lt;=E553),F535,0)</f>
        <v>0</v>
      </c>
      <c r="G553" s="36">
        <f>(12500/100*20)+(12500/100*25)+((35/100)*(-A553+F553))</f>
        <v>-3125</v>
      </c>
      <c r="H553" s="36">
        <f>(12500/100*10)+(12500/100*10)+((10/100)*(-A553+F553))</f>
        <v>0</v>
      </c>
      <c r="I553" s="36">
        <f>(12500/100*25)+(12500/100*30)+((40/100)*(-A553+F553))</f>
        <v>-3125</v>
      </c>
      <c r="J553" s="36">
        <f>(12500/100*10)+(12500/100*10)+((10/100)*(-A553+F553))</f>
        <v>0</v>
      </c>
      <c r="K553" s="36">
        <f>(12500/100*30)+(12500/100*35)+((50/100)*(-A553+F553))</f>
        <v>-4375</v>
      </c>
      <c r="L553" s="36">
        <f>(12500/100*10)+(12500/100*10)+((10/100)*(-A553+F553))</f>
        <v>0</v>
      </c>
      <c r="M553" s="7"/>
      <c r="N553" s="7"/>
      <c r="O553" s="7">
        <f>(IF(SCHOV!F35="echtgeno(o)t(e)",N551,Q551))</f>
        <v>0</v>
      </c>
      <c r="P553" s="7"/>
      <c r="Q553" s="7"/>
      <c r="R553" s="7"/>
      <c r="S553" s="7"/>
      <c r="T553" s="7"/>
    </row>
    <row r="554" spans="1:20">
      <c r="A554" s="36">
        <f>E553</f>
        <v>75000</v>
      </c>
      <c r="B554" s="36"/>
      <c r="C554" s="36"/>
      <c r="D554" s="36"/>
      <c r="E554" s="36">
        <v>150000</v>
      </c>
      <c r="F554" s="36">
        <f>IF(AND(F535&gt;A554, F535&lt;=E554),F535,0)</f>
        <v>0</v>
      </c>
      <c r="G554" s="36">
        <f>(12500/100*20)+(12500/100*25)+(50000/100*35)+((50/100)*(-A554+F554))</f>
        <v>-14375</v>
      </c>
      <c r="H554" s="36">
        <f>(12500/100*10)+(12500/100*10)+(50000/100*10)+((10/100)*(-A554+F554))</f>
        <v>0</v>
      </c>
      <c r="I554" s="36">
        <f>(12500/100*25)+(12500/100*30)+(50000/100*40)+((55/100)*(-A554+F554))</f>
        <v>-14375</v>
      </c>
      <c r="J554" s="36">
        <f>(12500/100*10)+(12500/100*10)+(50000/100*10)+((10/100)*(-A554+F554))</f>
        <v>0</v>
      </c>
      <c r="K554" s="36">
        <f>(12500/100*30)+(12500/100*35)+(50000/100*50)+((65/100)*(-A554+F554))</f>
        <v>-15625</v>
      </c>
      <c r="L554" s="36">
        <f>(12500/100*10)+(12500/100*10)+(50000/100*10)+((10/100)*(-A554+F554))</f>
        <v>0</v>
      </c>
      <c r="M554" s="7"/>
      <c r="N554" s="7"/>
      <c r="O554" s="7"/>
      <c r="P554" s="7"/>
      <c r="Q554" s="7"/>
      <c r="R554" s="7"/>
      <c r="S554" s="7"/>
      <c r="T554" s="7"/>
    </row>
    <row r="555" spans="1:20">
      <c r="A555" s="36">
        <v>150000</v>
      </c>
      <c r="B555" s="36"/>
      <c r="C555" s="36"/>
      <c r="D555" s="36"/>
      <c r="E555" s="36">
        <v>175000</v>
      </c>
      <c r="F555" s="36">
        <f>IF(AND(F535&gt;A555, F535&lt;=E555),F535,0)</f>
        <v>0</v>
      </c>
      <c r="G555" s="36">
        <f>(12500/100*20)+(12500/100*25)+(50000/100*35)+(75000/100*50)+((50/100)*(-A555+F555))</f>
        <v>-14375</v>
      </c>
      <c r="H555" s="36">
        <f>(12500/100*10)+(12500/100*10)+(50000/100*10)+(75000/100*10)+((50/100)*(-A555+F555))</f>
        <v>-60000</v>
      </c>
      <c r="I555" s="36">
        <f>(12500/100*25)+(12500/100*30)+(50000/100*40)+(75000/100*55)+((55/100)*(-A555+F555))</f>
        <v>-14375</v>
      </c>
      <c r="J555" s="36">
        <f>(12500/100*10)+(12500/100*10)+(50000/100*10)+(75000/100*10)+((55/100)*(-A555+F555))</f>
        <v>-67500</v>
      </c>
      <c r="K555" s="36">
        <f>(12500/100*30)+(12500/100*35)+(50000/100*50)+(75000/100*65)+((65/100)*(-A555+F555))</f>
        <v>-15625</v>
      </c>
      <c r="L555" s="36">
        <f>(12500/100*10)+(12500/100*10)+(50000/100*10)+(75000/100*10)+((65/100)*(-A555+F555))</f>
        <v>-82500</v>
      </c>
      <c r="M555" s="7"/>
      <c r="N555" s="7"/>
      <c r="O555" s="7"/>
      <c r="P555" s="7"/>
      <c r="Q555" s="7"/>
      <c r="R555" s="7"/>
      <c r="S555" s="7"/>
      <c r="T555" s="7"/>
    </row>
    <row r="556" spans="1:20">
      <c r="A556" s="36">
        <v>175000</v>
      </c>
      <c r="B556" s="36"/>
      <c r="C556" s="36"/>
      <c r="D556" s="36"/>
      <c r="E556" s="36">
        <v>999999999</v>
      </c>
      <c r="F556" s="36">
        <f>IF(AND(F535&gt;A556, F535&lt;=E556),F535,0)</f>
        <v>0</v>
      </c>
      <c r="G556" s="36">
        <f>(12500/100*20)+(12500/100*25)+(50000/100*35)+(75000/100*50)+(25000/100*50)+((65/100)*(-A556+F556))</f>
        <v>-40625</v>
      </c>
      <c r="H556" s="36">
        <f>(12500/100*10)+(12500/100*10)+(50000/100*10)+(75000/100*10)+(25000/100*50)+((65/100)*(-A556+F556))</f>
        <v>-86250</v>
      </c>
      <c r="I556" s="36">
        <f>(12500/100*25)+(12500/100*30)+(50000/100*40)+(75000/100*55)+(25000/100*55)+((70/100)*(-A556+F556))</f>
        <v>-40624.999999999985</v>
      </c>
      <c r="J556" s="36">
        <f>(12500/100*10)+(12500/100*10)+(50000/100*10)+(75000/100*10)+(25000/100*55)+((70/100)*(-A556+F556))</f>
        <v>-93749.999999999985</v>
      </c>
      <c r="K556" s="36">
        <f>(12500/100*30)+(12500/100*35)+(50000/100*50)+(75000/100*65)+(25000/100*65)+((80/100)*(-A556+F556))</f>
        <v>-41875</v>
      </c>
      <c r="L556" s="36">
        <f>(12500/100*10)+(12500/100*10)+(50000/100*10)+(75000/100*10)+(25000/100*65)+((80/100)*(-A556+F556))</f>
        <v>-108750</v>
      </c>
      <c r="M556" s="7"/>
      <c r="N556" s="7"/>
      <c r="O556" s="7"/>
      <c r="P556" s="7"/>
      <c r="Q556" s="7"/>
      <c r="R556" s="7"/>
      <c r="S556" s="7"/>
      <c r="T556" s="7"/>
    </row>
    <row r="557" spans="1:20">
      <c r="A557" s="42" t="s">
        <v>14</v>
      </c>
      <c r="B557" s="42"/>
      <c r="C557" s="42"/>
      <c r="D557" s="42"/>
      <c r="E557" s="36"/>
      <c r="F557" s="36"/>
      <c r="G557" s="36">
        <f>VLOOKUP(F535,F551:G556,2,FALSE)</f>
        <v>0</v>
      </c>
      <c r="H557" s="36">
        <f>VLOOKUP(F535,F551:H556,3,FALSE)</f>
        <v>0</v>
      </c>
      <c r="I557" s="36">
        <f>VLOOKUP(F535,F551:I556,4,FALSE)</f>
        <v>0</v>
      </c>
      <c r="J557" s="36">
        <f>VLOOKUP(F535,F551:J556,5,FALSE)</f>
        <v>0</v>
      </c>
      <c r="K557" s="36">
        <f>VLOOKUP(F535,F551:K556,6,FALSE)</f>
        <v>0</v>
      </c>
      <c r="L557" s="36">
        <f>VLOOKUP(F535,F551:L556,7,FALSE)</f>
        <v>0</v>
      </c>
      <c r="M557" s="7"/>
      <c r="N557" s="7"/>
      <c r="O557" s="7"/>
      <c r="P557" s="7"/>
      <c r="Q557" s="7"/>
      <c r="R557" s="7"/>
      <c r="S557" s="7"/>
      <c r="T557" s="7"/>
    </row>
    <row r="558" spans="1:20">
      <c r="A558" s="7"/>
      <c r="B558" s="7"/>
      <c r="C558" s="7"/>
      <c r="D558" s="7"/>
      <c r="E558" s="7"/>
      <c r="F558" s="7"/>
      <c r="G558" s="7"/>
      <c r="H558" s="7"/>
      <c r="I558" s="7"/>
      <c r="J558" s="7"/>
      <c r="K558" s="7"/>
      <c r="L558" s="7"/>
      <c r="M558" s="7"/>
      <c r="N558" s="7"/>
      <c r="O558" s="7"/>
      <c r="P558" s="7"/>
      <c r="Q558" s="7"/>
      <c r="R558" s="7"/>
      <c r="S558" s="7"/>
      <c r="T558" s="7"/>
    </row>
    <row r="635" spans="1:20">
      <c r="A635" s="7"/>
      <c r="B635" s="7"/>
      <c r="C635" s="7"/>
      <c r="D635" s="7"/>
      <c r="E635" s="24"/>
      <c r="F635" s="7"/>
      <c r="G635" s="24"/>
      <c r="H635" s="7"/>
      <c r="I635" s="7"/>
      <c r="J635" s="7">
        <f>IF(AND(SCHOV!E16="bouwgrond",SCHOV!F40="echtgeno(o)t(e)"),H650,0)</f>
        <v>0</v>
      </c>
      <c r="K635" s="7"/>
      <c r="L635" s="7"/>
      <c r="M635" s="7"/>
      <c r="N635" s="7"/>
      <c r="O635" s="7"/>
      <c r="P635" s="7"/>
      <c r="Q635" s="7"/>
      <c r="R635" s="7"/>
      <c r="S635" s="7"/>
      <c r="T635" s="7"/>
    </row>
    <row r="636" spans="1:20">
      <c r="A636" s="7"/>
      <c r="B636" s="7"/>
      <c r="C636" s="7"/>
      <c r="D636" s="7"/>
      <c r="E636" s="24"/>
      <c r="F636" s="7"/>
      <c r="G636" s="24"/>
      <c r="H636" s="7"/>
      <c r="I636" s="7"/>
      <c r="J636" s="7">
        <f>IF(AND(SCHOV!E16="andere",SCHOV!F40="echtgeno(o)t(e)"),G650,0)</f>
        <v>0</v>
      </c>
      <c r="K636" s="7"/>
      <c r="L636" s="7"/>
      <c r="M636" s="7"/>
      <c r="N636" s="7"/>
      <c r="O636" s="7"/>
      <c r="P636" s="7"/>
      <c r="Q636" s="7"/>
      <c r="R636" s="7"/>
      <c r="S636" s="7"/>
      <c r="T636" s="7"/>
    </row>
    <row r="637" spans="1:20">
      <c r="A637" s="35"/>
      <c r="B637" s="35"/>
      <c r="C637" s="35"/>
      <c r="D637" s="35"/>
      <c r="E637" s="36"/>
      <c r="F637" s="37"/>
      <c r="G637" s="36"/>
      <c r="H637" s="36"/>
      <c r="I637" s="38"/>
      <c r="J637" s="39">
        <f>IF(AND(SCHOV!E16="bouwgrond",SCHOV!F40="rechte lijn"),H650,0)</f>
        <v>0</v>
      </c>
      <c r="K637" s="38"/>
      <c r="L637" s="40"/>
      <c r="M637" s="7"/>
      <c r="N637" s="7"/>
      <c r="O637" s="7"/>
      <c r="P637" s="7"/>
      <c r="Q637" s="7"/>
      <c r="R637" s="7"/>
      <c r="S637" s="7"/>
      <c r="T637" s="7"/>
    </row>
    <row r="638" spans="1:20">
      <c r="A638" s="36" t="s">
        <v>10</v>
      </c>
      <c r="B638" s="36"/>
      <c r="C638" s="36"/>
      <c r="D638" s="36"/>
      <c r="E638" s="36"/>
      <c r="F638" s="36">
        <f>SCHOV!G42</f>
        <v>0</v>
      </c>
      <c r="G638" s="41"/>
      <c r="H638" s="36"/>
      <c r="I638" s="36"/>
      <c r="J638" s="39">
        <f>IF(AND(SCHOV!E16="andere",SCHOV!F40="rechte lijn"),G650,0)</f>
        <v>0</v>
      </c>
      <c r="K638" s="36"/>
      <c r="L638" s="40"/>
      <c r="M638" s="7"/>
      <c r="N638" s="7"/>
      <c r="O638" s="7"/>
      <c r="P638" s="7"/>
      <c r="Q638" s="7"/>
      <c r="R638" s="7"/>
      <c r="S638" s="7"/>
      <c r="T638" s="7"/>
    </row>
    <row r="639" spans="1:20">
      <c r="A639" s="36"/>
      <c r="B639" s="36"/>
      <c r="C639" s="36"/>
      <c r="D639" s="36"/>
      <c r="E639" s="36"/>
      <c r="F639" s="36"/>
      <c r="G639" s="36"/>
      <c r="H639" s="36"/>
      <c r="I639" s="36"/>
      <c r="J639" s="39">
        <f>IF(AND(SCHOV!E16="bouwgrond",SCHOV!F40="broer/zuster"),H660,0)</f>
        <v>0</v>
      </c>
      <c r="K639" s="36"/>
      <c r="L639" s="36"/>
      <c r="M639" s="7"/>
      <c r="N639" s="7" t="s">
        <v>77</v>
      </c>
      <c r="O639" s="7"/>
      <c r="P639" s="7"/>
      <c r="Q639" s="7"/>
      <c r="R639" s="7"/>
      <c r="S639" s="7"/>
      <c r="T639" s="7"/>
    </row>
    <row r="640" spans="1:20">
      <c r="A640" s="37" t="s">
        <v>11</v>
      </c>
      <c r="B640" s="37"/>
      <c r="C640" s="37"/>
      <c r="D640" s="37"/>
      <c r="E640" s="36"/>
      <c r="F640" s="36"/>
      <c r="G640" s="38" t="s">
        <v>12</v>
      </c>
      <c r="H640" s="38" t="s">
        <v>13</v>
      </c>
      <c r="I640" s="36"/>
      <c r="J640" s="39">
        <f>IF(AND(SCHOV!E16="andere",SCHOV!F40="broer/zuster"),G660,0)</f>
        <v>0</v>
      </c>
      <c r="K640" s="36"/>
      <c r="L640" s="36"/>
      <c r="M640" s="7"/>
      <c r="N640" s="7"/>
      <c r="O640" s="7"/>
      <c r="P640" s="7"/>
      <c r="Q640" s="7"/>
      <c r="R640" s="7"/>
      <c r="S640" s="7"/>
      <c r="T640" s="7"/>
    </row>
    <row r="641" spans="1:20">
      <c r="A641" s="36">
        <v>0</v>
      </c>
      <c r="B641" s="36"/>
      <c r="C641" s="36"/>
      <c r="D641" s="36"/>
      <c r="E641" s="36">
        <v>12500</v>
      </c>
      <c r="F641" s="36">
        <f>IF(AND(F638&gt;A641, F638&lt;=E641),F638,0)</f>
        <v>0</v>
      </c>
      <c r="G641" s="36">
        <f>0+(3/100)*(-A641+F641)</f>
        <v>0</v>
      </c>
      <c r="H641" s="36">
        <f>0+(1/100)*(-A641+F641)</f>
        <v>0</v>
      </c>
      <c r="I641" s="36"/>
      <c r="J641" s="39">
        <f>IF(AND(SCHOV!E16="bouwgrond",SCHOV!F40="oom-tante/neef-nicht"),J660,0)</f>
        <v>0</v>
      </c>
      <c r="K641" s="36"/>
      <c r="L641" s="36"/>
      <c r="M641" s="7" t="s">
        <v>78</v>
      </c>
      <c r="N641" s="7">
        <f>IF(SCHOV!I40=3,J646*12%,0)</f>
        <v>0</v>
      </c>
      <c r="O641" s="7">
        <f>IF(N641&gt;372,372,N641)</f>
        <v>0</v>
      </c>
      <c r="P641" s="7"/>
      <c r="Q641" s="7" t="s">
        <v>79</v>
      </c>
      <c r="R641" s="7">
        <f>J646*6%</f>
        <v>0</v>
      </c>
      <c r="S641" s="7">
        <f>IF(R641&gt;186,186,R641)</f>
        <v>0</v>
      </c>
      <c r="T641" s="7">
        <f>IF(SCHOV!I40=3,S641,0)</f>
        <v>0</v>
      </c>
    </row>
    <row r="642" spans="1:20">
      <c r="A642" s="36">
        <f t="shared" ref="A642:A649" si="7">E641</f>
        <v>12500</v>
      </c>
      <c r="B642" s="36"/>
      <c r="C642" s="36"/>
      <c r="D642" s="36"/>
      <c r="E642" s="36">
        <v>25000</v>
      </c>
      <c r="F642" s="36">
        <f>IF(AND(F638&gt;A642, F638&lt;=E642),F638,0)</f>
        <v>0</v>
      </c>
      <c r="G642" s="36">
        <f>(12500/100*3)+(4/100)*(-A642+F642)</f>
        <v>-125</v>
      </c>
      <c r="H642" s="36">
        <f>(12500/100*1)+(2/100)*(-A642+F642)</f>
        <v>-125</v>
      </c>
      <c r="I642" s="36"/>
      <c r="J642" s="39">
        <f>IF(AND(SCHOV!E16="andere",SCHOV!F40="oom-tante/neef-nicht"),I660,0)</f>
        <v>0</v>
      </c>
      <c r="K642" s="36"/>
      <c r="L642" s="7"/>
      <c r="M642" s="7"/>
      <c r="N642" s="7">
        <f>IF(SCHOV!I40=4,J646*16%,0)</f>
        <v>0</v>
      </c>
      <c r="O642" s="7">
        <f>IF(N642&gt;496,496,N642)</f>
        <v>0</v>
      </c>
      <c r="P642" s="7"/>
      <c r="Q642" s="7" t="s">
        <v>80</v>
      </c>
      <c r="R642" s="7">
        <f>J646*8%</f>
        <v>0</v>
      </c>
      <c r="S642" s="7">
        <f>IF(R642&gt;248,248,R642)</f>
        <v>0</v>
      </c>
      <c r="T642" s="7">
        <f>IF(SCHOV!I40=4,S642,0)</f>
        <v>0</v>
      </c>
    </row>
    <row r="643" spans="1:20">
      <c r="A643" s="36">
        <f t="shared" si="7"/>
        <v>25000</v>
      </c>
      <c r="B643" s="36"/>
      <c r="C643" s="36"/>
      <c r="D643" s="36"/>
      <c r="E643" s="36">
        <v>50000</v>
      </c>
      <c r="F643" s="36">
        <f>IF(AND(F638&gt;A643, F638&lt;=E643),F638,0)</f>
        <v>0</v>
      </c>
      <c r="G643" s="36">
        <f>(12500/100*3)+(12500/100*4)+((5/100)*(-A643+F643))</f>
        <v>-375</v>
      </c>
      <c r="H643" s="36">
        <f>(12500/100*1)+(12500/100*2)+((3/100)*(-A643+F643))</f>
        <v>-375</v>
      </c>
      <c r="I643" s="36"/>
      <c r="J643" s="39">
        <f>IF(AND(SCHOV!E16="bouwgrond",SCHOV!F40="vreemden"),L660,0)</f>
        <v>0</v>
      </c>
      <c r="K643" s="36"/>
      <c r="L643" s="36"/>
      <c r="M643" s="7"/>
      <c r="N643" s="7">
        <f>IF(SCHOV!I40=5,J646*20%,0)</f>
        <v>0</v>
      </c>
      <c r="O643" s="7">
        <f>IF(N643&gt;620,620,N643)</f>
        <v>0</v>
      </c>
      <c r="P643" s="7"/>
      <c r="Q643" s="7"/>
      <c r="R643" s="7">
        <f>J646*10%</f>
        <v>0</v>
      </c>
      <c r="S643" s="7">
        <f>IF(R643&gt;310,310,R643)</f>
        <v>0</v>
      </c>
      <c r="T643" s="7">
        <f>IF(SCHOV!I40=5,S643,0)</f>
        <v>0</v>
      </c>
    </row>
    <row r="644" spans="1:20">
      <c r="A644" s="36">
        <f t="shared" si="7"/>
        <v>50000</v>
      </c>
      <c r="B644" s="36"/>
      <c r="C644" s="36"/>
      <c r="D644" s="36"/>
      <c r="E644" s="36">
        <v>100000</v>
      </c>
      <c r="F644" s="36">
        <f>IF(AND(F638&gt;A644, F638&lt;=E644),F638,0)</f>
        <v>0</v>
      </c>
      <c r="G644" s="36">
        <f>(12500/100*3)+(12500/100*4)+(25000/100*5)+((7/100)*(-A644+F644))</f>
        <v>-1375.0000000000005</v>
      </c>
      <c r="H644" s="36">
        <f>(12500/100*1)+(12500/100*2)+(25000/100*3)+((5/100)*(-A644+F644))</f>
        <v>-1375</v>
      </c>
      <c r="I644" s="36"/>
      <c r="J644" s="39">
        <f>IF(AND(SCHOV!E16="andere",SCHOV!F40="vreemden"),K660,0)</f>
        <v>0</v>
      </c>
      <c r="K644" s="36"/>
      <c r="L644" s="36"/>
      <c r="M644" s="7"/>
      <c r="N644" s="7">
        <f>IF(SCHOV!I40=6,J646*24%,0)</f>
        <v>0</v>
      </c>
      <c r="O644" s="7">
        <f>IF(N644&gt;744,744,N644)</f>
        <v>0</v>
      </c>
      <c r="P644" s="7"/>
      <c r="Q644" s="7"/>
      <c r="R644" s="7">
        <f>J646*12%</f>
        <v>0</v>
      </c>
      <c r="S644" s="7">
        <f>IF(R644&gt;372,372,R644)</f>
        <v>0</v>
      </c>
      <c r="T644" s="7">
        <f>IF(SCHOV!I40=6,S644,0)</f>
        <v>0</v>
      </c>
    </row>
    <row r="645" spans="1:20">
      <c r="A645" s="36">
        <f t="shared" si="7"/>
        <v>100000</v>
      </c>
      <c r="B645" s="36"/>
      <c r="C645" s="36"/>
      <c r="D645" s="36"/>
      <c r="E645" s="36">
        <v>150000</v>
      </c>
      <c r="F645" s="36">
        <f>IF(AND(F638&gt;A645, F638&lt;=E645),F638,0)</f>
        <v>0</v>
      </c>
      <c r="G645" s="36">
        <f>(12500/100*3)+(12500/100*4)+(25000/100*5)+(50000/100*7)+((10/100)*(-A645+F645))</f>
        <v>-4375</v>
      </c>
      <c r="H645" s="36">
        <f>(12500/100*1)+(12500/100*2)+(25000/100*3)+(50000/100*5)+((8/100)*(-A645+F645))</f>
        <v>-4375</v>
      </c>
      <c r="I645" s="36"/>
      <c r="J645" s="36"/>
      <c r="K645" s="36"/>
      <c r="L645" s="36"/>
      <c r="M645" s="7"/>
      <c r="N645" s="7">
        <f>IF(SCHOV!I40=7,J646*28%,0)</f>
        <v>0</v>
      </c>
      <c r="O645" s="7">
        <f>IF(N645&gt;868,868,N645)</f>
        <v>0</v>
      </c>
      <c r="P645" s="7"/>
      <c r="Q645" s="7"/>
      <c r="R645" s="7">
        <f>J646*14%</f>
        <v>0</v>
      </c>
      <c r="S645" s="7">
        <f>IF(R645&gt;434,434,R645)</f>
        <v>0</v>
      </c>
      <c r="T645" s="7">
        <f>IF(SCHOV!I40=7,S645,0)</f>
        <v>0</v>
      </c>
    </row>
    <row r="646" spans="1:20">
      <c r="A646" s="36">
        <f t="shared" si="7"/>
        <v>150000</v>
      </c>
      <c r="B646" s="36"/>
      <c r="C646" s="36"/>
      <c r="D646" s="36"/>
      <c r="E646" s="36">
        <v>200000</v>
      </c>
      <c r="F646" s="36">
        <f>IF(AND(F638&gt;A646, F638&lt;=E646),F638,0)</f>
        <v>0</v>
      </c>
      <c r="G646" s="36">
        <f>(12500/100*3)+(12500/100*4)+(25000/100*5)+(50000/100*7)+(50000/100*10)+((14/100)*(-A646+F646))</f>
        <v>-10375.000000000004</v>
      </c>
      <c r="H646" s="36">
        <f>(12500/100*1)+(12500/100*2)+(25000/100*3)+(50000/100*5)+(50000/100*8)+((14/100)*(-A646+F646))</f>
        <v>-13375.000000000004</v>
      </c>
      <c r="I646" s="36"/>
      <c r="J646" s="36">
        <f>SUM(J635:J644)</f>
        <v>0</v>
      </c>
      <c r="K646" s="36"/>
      <c r="L646" s="36"/>
      <c r="M646" s="7"/>
      <c r="N646" s="7">
        <f>IF(SCHOV!I40=8,J646*32%,0)</f>
        <v>0</v>
      </c>
      <c r="O646" s="7">
        <f>IF(N646&gt;992,992,N646)</f>
        <v>0</v>
      </c>
      <c r="P646" s="7"/>
      <c r="Q646" s="7"/>
      <c r="R646" s="7">
        <f>J646*16%</f>
        <v>0</v>
      </c>
      <c r="S646" s="7">
        <f>IF(R646&gt;496,496,R646)</f>
        <v>0</v>
      </c>
      <c r="T646" s="7">
        <f>IF(SCHOV!I40=8,S646,0)</f>
        <v>0</v>
      </c>
    </row>
    <row r="647" spans="1:20">
      <c r="A647" s="36">
        <f t="shared" si="7"/>
        <v>200000</v>
      </c>
      <c r="B647" s="36"/>
      <c r="C647" s="36"/>
      <c r="D647" s="36"/>
      <c r="E647" s="36">
        <v>250000</v>
      </c>
      <c r="F647" s="36">
        <f>IF(AND(F638&gt;A647, F638&lt;=E647),F638,0)</f>
        <v>0</v>
      </c>
      <c r="G647" s="36">
        <f>(12500/100*3)+(12500/100*4)+(25000/100*5)+(50000/100*7)+(50000/100*10)+(50000/100*14)+((18/100)*(-A647+F647))</f>
        <v>-18375</v>
      </c>
      <c r="H647" s="36">
        <f>(12500/100*1)+(12500/100*2)+(25000/100*3)+(50000/100*5)+(50000/100*8)+(50000/100*14)+((18/100)*(-A647+F647))</f>
        <v>-21375</v>
      </c>
      <c r="I647" s="36"/>
      <c r="J647" s="36"/>
      <c r="K647" s="36"/>
      <c r="L647" s="36"/>
      <c r="M647" s="7"/>
      <c r="N647" s="7">
        <f>IF(SCHOV!I40=9,J646*36%,0)</f>
        <v>0</v>
      </c>
      <c r="O647" s="7">
        <f>IF(N647&gt;1116,1116,N647)</f>
        <v>0</v>
      </c>
      <c r="P647" s="7"/>
      <c r="Q647" s="7"/>
      <c r="R647" s="7">
        <f>J646*18%</f>
        <v>0</v>
      </c>
      <c r="S647" s="7">
        <f>IF(R647&gt;558,558,R647)</f>
        <v>0</v>
      </c>
      <c r="T647" s="7">
        <f>IF(SCHOV!I40=9,S647,0)</f>
        <v>0</v>
      </c>
    </row>
    <row r="648" spans="1:20">
      <c r="A648" s="36">
        <f t="shared" si="7"/>
        <v>250000</v>
      </c>
      <c r="B648" s="36"/>
      <c r="C648" s="36"/>
      <c r="D648" s="36"/>
      <c r="E648" s="36">
        <v>500000</v>
      </c>
      <c r="F648" s="36">
        <f>IF(AND(F638&gt;A648, F638&lt;=E648),F638,0)</f>
        <v>0</v>
      </c>
      <c r="G648" s="36">
        <f>(12500/100*3)+(12500/100*4)+(25000/100*5)+(50000/100*7)+(50000/100*10)+(50000/100*14)+(50000/100*18)+((24/100)*(-A648+F648))</f>
        <v>-33375</v>
      </c>
      <c r="H648" s="36">
        <f>(12500/100*1)+(12500/100*2)+(25000/100*3)+(50000/100*5)+(50000/100*8)+(50000/100*14)+(50000/100*18)+((24/100)*(-A648+F648))</f>
        <v>-36375</v>
      </c>
      <c r="I648" s="36"/>
      <c r="J648" s="36"/>
      <c r="K648" s="36"/>
      <c r="L648" s="36"/>
      <c r="M648" s="7"/>
      <c r="N648" s="7">
        <f>IF(SCHOV!I40=10,J646*40%,0)</f>
        <v>0</v>
      </c>
      <c r="O648" s="7">
        <f>IF(N648&gt;1240,1240,N648)</f>
        <v>0</v>
      </c>
      <c r="P648" s="7"/>
      <c r="Q648" s="7"/>
      <c r="R648" s="7">
        <f>J646*20%</f>
        <v>0</v>
      </c>
      <c r="S648" s="7">
        <f>IF(R648&gt;620,620,R648)</f>
        <v>0</v>
      </c>
      <c r="T648" s="7">
        <f>IF(SCHOV!I40=10,S648,0)</f>
        <v>0</v>
      </c>
    </row>
    <row r="649" spans="1:20">
      <c r="A649" s="36">
        <f t="shared" si="7"/>
        <v>500000</v>
      </c>
      <c r="B649" s="36"/>
      <c r="C649" s="36"/>
      <c r="D649" s="36"/>
      <c r="E649" s="36">
        <v>999999999</v>
      </c>
      <c r="F649" s="36">
        <f>IF(AND(F638&gt;A649, F638&lt;=E649),F638,0)</f>
        <v>0</v>
      </c>
      <c r="G649" s="36">
        <f>(12500/100*3)+(12500/100*4)+(25000/100*5)+(50000/100*7)+(50000/100*10)+(50000/100*14)+(50000/100*18)+(250000/100*24)+((30/100)*(-A649+F649))</f>
        <v>-63375</v>
      </c>
      <c r="H649" s="36">
        <f>(12500/100*1)+(12500/100*2)+(25000/100*3)+(50000/100*5)+(50000/100*8)+(50000/100*14)+(50000/100*18)+(250000/100*24)+((30/100)*(-A649+F649))</f>
        <v>-66375</v>
      </c>
      <c r="I649" s="36"/>
      <c r="J649" s="36"/>
      <c r="K649" s="36"/>
      <c r="L649" s="36"/>
      <c r="M649" s="7"/>
      <c r="N649" s="7"/>
      <c r="O649" s="7"/>
      <c r="P649" s="7"/>
      <c r="Q649" s="7"/>
      <c r="R649" s="7"/>
      <c r="S649" s="7"/>
      <c r="T649" s="7"/>
    </row>
    <row r="650" spans="1:20">
      <c r="A650" s="42" t="s">
        <v>14</v>
      </c>
      <c r="B650" s="42"/>
      <c r="C650" s="42"/>
      <c r="D650" s="42"/>
      <c r="E650" s="36"/>
      <c r="F650" s="36"/>
      <c r="G650" s="36">
        <f>VLOOKUP(F638,F641:G649,2,FALSE)</f>
        <v>0</v>
      </c>
      <c r="H650" s="36">
        <f>VLOOKUP(F638,F641:H649,3,FALSE)</f>
        <v>0</v>
      </c>
      <c r="I650" s="36"/>
      <c r="J650" s="36"/>
      <c r="K650" s="36"/>
      <c r="L650" s="43"/>
      <c r="M650" s="7"/>
      <c r="N650" s="7"/>
      <c r="O650" s="7">
        <f>SUM(O641:O649)</f>
        <v>0</v>
      </c>
      <c r="P650" s="7"/>
      <c r="Q650" s="7"/>
      <c r="R650" s="7"/>
      <c r="S650" s="7"/>
      <c r="T650" s="7">
        <f>SUM(T641:T649)</f>
        <v>0</v>
      </c>
    </row>
    <row r="651" spans="1:20">
      <c r="A651" s="36"/>
      <c r="B651" s="36"/>
      <c r="C651" s="36"/>
      <c r="D651" s="36"/>
      <c r="E651" s="36"/>
      <c r="F651" s="36"/>
      <c r="G651" s="36"/>
      <c r="H651" s="36"/>
      <c r="I651" s="36"/>
      <c r="J651" s="36"/>
      <c r="K651" s="36"/>
      <c r="L651" s="43"/>
      <c r="M651" s="7"/>
      <c r="N651" s="7"/>
      <c r="O651" s="29"/>
      <c r="P651" s="7"/>
      <c r="Q651" s="7"/>
      <c r="R651" s="7"/>
      <c r="S651" s="7"/>
      <c r="T651" s="7"/>
    </row>
    <row r="652" spans="1:20">
      <c r="A652" s="36"/>
      <c r="B652" s="36"/>
      <c r="C652" s="36"/>
      <c r="D652" s="36"/>
      <c r="E652" s="36"/>
      <c r="F652" s="36"/>
      <c r="G652" s="36"/>
      <c r="H652" s="36"/>
      <c r="I652" s="36"/>
      <c r="J652" s="36"/>
      <c r="K652" s="36"/>
      <c r="L652" s="43"/>
      <c r="M652" s="7"/>
      <c r="N652" s="7"/>
      <c r="O652" s="29"/>
      <c r="P652" s="7"/>
      <c r="Q652" s="7"/>
      <c r="R652" s="7"/>
      <c r="S652" s="7"/>
      <c r="T652" s="7"/>
    </row>
    <row r="653" spans="1:20">
      <c r="A653" s="37" t="s">
        <v>15</v>
      </c>
      <c r="B653" s="37"/>
      <c r="C653" s="37"/>
      <c r="D653" s="37"/>
      <c r="E653" s="36"/>
      <c r="F653" s="36"/>
      <c r="G653" s="38" t="s">
        <v>16</v>
      </c>
      <c r="H653" s="38" t="s">
        <v>17</v>
      </c>
      <c r="I653" s="35" t="s">
        <v>18</v>
      </c>
      <c r="J653" s="35" t="s">
        <v>19</v>
      </c>
      <c r="K653" s="35" t="s">
        <v>20</v>
      </c>
      <c r="L653" s="35" t="s">
        <v>21</v>
      </c>
      <c r="M653" s="7"/>
      <c r="N653" s="7"/>
      <c r="O653" s="29"/>
      <c r="P653" s="7"/>
      <c r="Q653" s="7"/>
      <c r="R653" s="7"/>
      <c r="S653" s="7"/>
      <c r="T653" s="7"/>
    </row>
    <row r="654" spans="1:20">
      <c r="A654" s="36">
        <v>0</v>
      </c>
      <c r="B654" s="36"/>
      <c r="C654" s="36"/>
      <c r="D654" s="36"/>
      <c r="E654" s="36">
        <v>12500</v>
      </c>
      <c r="F654" s="36">
        <f>IF(AND(F638&gt;A654, F638&lt;=E654),F638,0)</f>
        <v>0</v>
      </c>
      <c r="G654" s="36">
        <f>0+(20/100)*(-A654+F654)</f>
        <v>0</v>
      </c>
      <c r="H654" s="36">
        <f>0+(10/100)*(-A654+F654)</f>
        <v>0</v>
      </c>
      <c r="I654" s="36">
        <f>0+(25/100)*(-A654+F654)</f>
        <v>0</v>
      </c>
      <c r="J654" s="36">
        <f>0+(10/100)*(-A654+F654)</f>
        <v>0</v>
      </c>
      <c r="K654" s="36">
        <f>0+(30/100)*(-A654+F654)</f>
        <v>0</v>
      </c>
      <c r="L654" s="36">
        <f>0+(10/100)*(-A654+F654)</f>
        <v>0</v>
      </c>
      <c r="M654" s="7" t="s">
        <v>81</v>
      </c>
      <c r="N654" s="16">
        <f>J646-O650</f>
        <v>0</v>
      </c>
      <c r="O654" s="29"/>
      <c r="P654" s="7" t="s">
        <v>82</v>
      </c>
      <c r="Q654" s="44">
        <f>J646-T650</f>
        <v>0</v>
      </c>
      <c r="R654" s="7"/>
      <c r="S654" s="7"/>
      <c r="T654" s="7"/>
    </row>
    <row r="655" spans="1:20">
      <c r="A655" s="36">
        <f>E654</f>
        <v>12500</v>
      </c>
      <c r="B655" s="36"/>
      <c r="C655" s="36"/>
      <c r="D655" s="36"/>
      <c r="E655" s="36">
        <v>25000</v>
      </c>
      <c r="F655" s="36">
        <f>IF(AND(F638&gt;A655, F638&lt;=E655),F638,0)</f>
        <v>0</v>
      </c>
      <c r="G655" s="36">
        <f>(12500/100*20)+((25/100)*(-A655+F655))</f>
        <v>-625</v>
      </c>
      <c r="H655" s="36">
        <f>(12500/100*10)+((10/100)*(-A655+F655))</f>
        <v>0</v>
      </c>
      <c r="I655" s="36">
        <f>(12500/100*25)+((30/100)*(-A655+F655))</f>
        <v>-625</v>
      </c>
      <c r="J655" s="36">
        <f>(12500/100*10)+((10/100)*(-A655+F655))</f>
        <v>0</v>
      </c>
      <c r="K655" s="36">
        <f>(12500/100*30)+((35/100)*(-A655+F655))</f>
        <v>-625</v>
      </c>
      <c r="L655" s="36">
        <f>(12500/100*10)+((10/100)*(-A655+F655))</f>
        <v>0</v>
      </c>
      <c r="M655" s="7"/>
      <c r="N655" s="7"/>
      <c r="O655" s="7"/>
      <c r="P655" s="7"/>
      <c r="Q655" s="7"/>
      <c r="R655" s="7"/>
      <c r="S655" s="7"/>
      <c r="T655" s="7"/>
    </row>
    <row r="656" spans="1:20">
      <c r="A656" s="36">
        <f>E655</f>
        <v>25000</v>
      </c>
      <c r="B656" s="36"/>
      <c r="C656" s="36"/>
      <c r="D656" s="36"/>
      <c r="E656" s="36">
        <v>75000</v>
      </c>
      <c r="F656" s="36">
        <f>IF(AND(F638&gt;A656, F638&lt;=E656),F638,0)</f>
        <v>0</v>
      </c>
      <c r="G656" s="36">
        <f>(12500/100*20)+(12500/100*25)+((35/100)*(-A656+F656))</f>
        <v>-3125</v>
      </c>
      <c r="H656" s="36">
        <f>(12500/100*10)+(12500/100*10)+((10/100)*(-A656+F656))</f>
        <v>0</v>
      </c>
      <c r="I656" s="36">
        <f>(12500/100*25)+(12500/100*30)+((40/100)*(-A656+F656))</f>
        <v>-3125</v>
      </c>
      <c r="J656" s="36">
        <f>(12500/100*10)+(12500/100*10)+((10/100)*(-A656+F656))</f>
        <v>0</v>
      </c>
      <c r="K656" s="36">
        <f>(12500/100*30)+(12500/100*35)+((50/100)*(-A656+F656))</f>
        <v>-4375</v>
      </c>
      <c r="L656" s="36">
        <f>(12500/100*10)+(12500/100*10)+((10/100)*(-A656+F656))</f>
        <v>0</v>
      </c>
      <c r="M656" s="7"/>
      <c r="N656" s="7"/>
      <c r="O656" s="7">
        <f>(IF(SCHOV!F40="echtgeno(o)t(e)",N654,Q654))</f>
        <v>0</v>
      </c>
      <c r="P656" s="7"/>
      <c r="Q656" s="7"/>
      <c r="R656" s="7"/>
      <c r="S656" s="7"/>
      <c r="T656" s="7"/>
    </row>
    <row r="657" spans="1:20">
      <c r="A657" s="36">
        <f>E656</f>
        <v>75000</v>
      </c>
      <c r="B657" s="36"/>
      <c r="C657" s="36"/>
      <c r="D657" s="36"/>
      <c r="E657" s="36">
        <v>150000</v>
      </c>
      <c r="F657" s="36">
        <f>IF(AND(F638&gt;A657, F638&lt;=E657),F638,0)</f>
        <v>0</v>
      </c>
      <c r="G657" s="36">
        <f>(12500/100*20)+(12500/100*25)+(50000/100*35)+((50/100)*(-A657+F657))</f>
        <v>-14375</v>
      </c>
      <c r="H657" s="36">
        <f>(12500/100*10)+(12500/100*10)+(50000/100*10)+((10/100)*(-A657+F657))</f>
        <v>0</v>
      </c>
      <c r="I657" s="36">
        <f>(12500/100*25)+(12500/100*30)+(50000/100*40)+((55/100)*(-A657+F657))</f>
        <v>-14375</v>
      </c>
      <c r="J657" s="36">
        <f>(12500/100*10)+(12500/100*10)+(50000/100*10)+((10/100)*(-A657+F657))</f>
        <v>0</v>
      </c>
      <c r="K657" s="36">
        <f>(12500/100*30)+(12500/100*35)+(50000/100*50)+((65/100)*(-A657+F657))</f>
        <v>-15625</v>
      </c>
      <c r="L657" s="36">
        <f>(12500/100*10)+(12500/100*10)+(50000/100*10)+((10/100)*(-A657+F657))</f>
        <v>0</v>
      </c>
      <c r="M657" s="7"/>
      <c r="N657" s="7"/>
      <c r="O657" s="7"/>
      <c r="P657" s="7"/>
      <c r="Q657" s="7"/>
      <c r="R657" s="7"/>
      <c r="S657" s="7"/>
      <c r="T657" s="7"/>
    </row>
    <row r="658" spans="1:20">
      <c r="A658" s="36">
        <v>150000</v>
      </c>
      <c r="B658" s="36"/>
      <c r="C658" s="36"/>
      <c r="D658" s="36"/>
      <c r="E658" s="36">
        <v>175000</v>
      </c>
      <c r="F658" s="36">
        <f>IF(AND(F638&gt;A658, F638&lt;=E658),F638,0)</f>
        <v>0</v>
      </c>
      <c r="G658" s="36">
        <f>(12500/100*20)+(12500/100*25)+(50000/100*35)+(75000/100*50)+((50/100)*(-A658+F658))</f>
        <v>-14375</v>
      </c>
      <c r="H658" s="36">
        <f>(12500/100*10)+(12500/100*10)+(50000/100*10)+(75000/100*10)+((50/100)*(-A658+F658))</f>
        <v>-60000</v>
      </c>
      <c r="I658" s="36">
        <f>(12500/100*25)+(12500/100*30)+(50000/100*40)+(75000/100*55)+((55/100)*(-A658+F658))</f>
        <v>-14375</v>
      </c>
      <c r="J658" s="36">
        <f>(12500/100*10)+(12500/100*10)+(50000/100*10)+(75000/100*10)+((55/100)*(-A658+F658))</f>
        <v>-67500</v>
      </c>
      <c r="K658" s="36">
        <f>(12500/100*30)+(12500/100*35)+(50000/100*50)+(75000/100*65)+((65/100)*(-A658+F658))</f>
        <v>-15625</v>
      </c>
      <c r="L658" s="36">
        <f>(12500/100*10)+(12500/100*10)+(50000/100*10)+(75000/100*10)+((65/100)*(-A658+F658))</f>
        <v>-82500</v>
      </c>
      <c r="M658" s="7"/>
      <c r="N658" s="7"/>
      <c r="O658" s="7"/>
      <c r="P658" s="7"/>
      <c r="Q658" s="7"/>
      <c r="R658" s="7"/>
      <c r="S658" s="7"/>
      <c r="T658" s="7"/>
    </row>
    <row r="659" spans="1:20">
      <c r="A659" s="36">
        <v>175000</v>
      </c>
      <c r="B659" s="36"/>
      <c r="C659" s="36"/>
      <c r="D659" s="36"/>
      <c r="E659" s="36">
        <v>999999999</v>
      </c>
      <c r="F659" s="36">
        <f>IF(AND(F638&gt;A659, F638&lt;=E659),F638,0)</f>
        <v>0</v>
      </c>
      <c r="G659" s="36">
        <f>(12500/100*20)+(12500/100*25)+(50000/100*35)+(75000/100*50)+(25000/100*50)+((65/100)*(-A659+F659))</f>
        <v>-40625</v>
      </c>
      <c r="H659" s="36">
        <f>(12500/100*10)+(12500/100*10)+(50000/100*10)+(75000/100*10)+(25000/100*50)+((65/100)*(-A659+F659))</f>
        <v>-86250</v>
      </c>
      <c r="I659" s="36">
        <f>(12500/100*25)+(12500/100*30)+(50000/100*40)+(75000/100*55)+(25000/100*55)+((70/100)*(-A659+F659))</f>
        <v>-40624.999999999985</v>
      </c>
      <c r="J659" s="36">
        <f>(12500/100*10)+(12500/100*10)+(50000/100*10)+(75000/100*10)+(25000/100*55)+((70/100)*(-A659+F659))</f>
        <v>-93749.999999999985</v>
      </c>
      <c r="K659" s="36">
        <f>(12500/100*30)+(12500/100*35)+(50000/100*50)+(75000/100*65)+(25000/100*65)+((80/100)*(-A659+F659))</f>
        <v>-41875</v>
      </c>
      <c r="L659" s="36">
        <f>(12500/100*10)+(12500/100*10)+(50000/100*10)+(75000/100*10)+(25000/100*65)+((80/100)*(-A659+F659))</f>
        <v>-108750</v>
      </c>
      <c r="M659" s="7"/>
      <c r="N659" s="7"/>
      <c r="O659" s="7"/>
      <c r="P659" s="7"/>
      <c r="Q659" s="7"/>
      <c r="R659" s="7"/>
      <c r="S659" s="7"/>
      <c r="T659" s="7"/>
    </row>
    <row r="660" spans="1:20">
      <c r="A660" s="42" t="s">
        <v>14</v>
      </c>
      <c r="B660" s="42"/>
      <c r="C660" s="42"/>
      <c r="D660" s="42"/>
      <c r="E660" s="36"/>
      <c r="F660" s="36"/>
      <c r="G660" s="36">
        <f>VLOOKUP(F638,F654:G659,2,FALSE)</f>
        <v>0</v>
      </c>
      <c r="H660" s="36">
        <f>VLOOKUP(F638,F654:H659,3,FALSE)</f>
        <v>0</v>
      </c>
      <c r="I660" s="36">
        <f>VLOOKUP(F638,F654:I659,4,FALSE)</f>
        <v>0</v>
      </c>
      <c r="J660" s="36">
        <f>VLOOKUP(F638,F654:J659,5,FALSE)</f>
        <v>0</v>
      </c>
      <c r="K660" s="36">
        <f>VLOOKUP(F638,F654:K659,6,FALSE)</f>
        <v>0</v>
      </c>
      <c r="L660" s="36">
        <f>VLOOKUP(F638,F654:L659,7,FALSE)</f>
        <v>0</v>
      </c>
      <c r="M660" s="7"/>
      <c r="N660" s="7"/>
      <c r="O660" s="7"/>
      <c r="P660" s="7"/>
      <c r="Q660" s="7"/>
      <c r="R660" s="7"/>
      <c r="S660" s="7"/>
      <c r="T660" s="7"/>
    </row>
    <row r="661" spans="1:20">
      <c r="A661" s="7"/>
      <c r="B661" s="7"/>
      <c r="C661" s="7"/>
      <c r="D661" s="7"/>
      <c r="E661" s="7"/>
      <c r="F661" s="7"/>
      <c r="G661" s="7"/>
      <c r="H661" s="7"/>
      <c r="I661" s="7"/>
      <c r="J661" s="7"/>
      <c r="K661" s="7"/>
      <c r="L661" s="7"/>
      <c r="M661" s="7"/>
      <c r="N661" s="7"/>
      <c r="O661" s="7"/>
      <c r="P661" s="7"/>
      <c r="Q661" s="7"/>
      <c r="R661" s="7"/>
      <c r="S661" s="7"/>
      <c r="T661" s="7"/>
    </row>
    <row r="738" spans="1:20">
      <c r="A738" s="7"/>
      <c r="B738" s="7"/>
      <c r="C738" s="7"/>
      <c r="D738" s="7"/>
      <c r="E738" s="24"/>
      <c r="F738" s="7"/>
      <c r="G738" s="24"/>
      <c r="H738" s="7"/>
      <c r="I738" s="7"/>
      <c r="J738" s="7">
        <f>IF(AND(SCHOV!E16="bouwgrond",SCHOV!F45="echtgeno(o)t(e)"),H753,0)</f>
        <v>0</v>
      </c>
      <c r="K738" s="7"/>
      <c r="L738" s="7"/>
      <c r="M738" s="7"/>
      <c r="N738" s="7"/>
      <c r="O738" s="7"/>
      <c r="P738" s="7"/>
      <c r="Q738" s="7"/>
      <c r="R738" s="7"/>
      <c r="S738" s="7"/>
      <c r="T738" s="7"/>
    </row>
    <row r="739" spans="1:20">
      <c r="A739" s="7"/>
      <c r="B739" s="7"/>
      <c r="C739" s="7"/>
      <c r="D739" s="7"/>
      <c r="E739" s="24"/>
      <c r="F739" s="7"/>
      <c r="G739" s="24"/>
      <c r="H739" s="7"/>
      <c r="I739" s="7"/>
      <c r="J739" s="7">
        <f>IF(AND(SCHOV!E16="andere",SCHOV!F45="echtgeno(o)t(e)"),G753,0)</f>
        <v>0</v>
      </c>
      <c r="K739" s="7"/>
      <c r="L739" s="7"/>
      <c r="M739" s="7"/>
      <c r="N739" s="7"/>
      <c r="O739" s="7"/>
      <c r="P739" s="7"/>
      <c r="Q739" s="7"/>
      <c r="R739" s="7"/>
      <c r="S739" s="7"/>
      <c r="T739" s="7"/>
    </row>
    <row r="740" spans="1:20">
      <c r="A740" s="35"/>
      <c r="B740" s="35"/>
      <c r="C740" s="35"/>
      <c r="D740" s="35"/>
      <c r="E740" s="36"/>
      <c r="F740" s="37"/>
      <c r="G740" s="36"/>
      <c r="H740" s="36"/>
      <c r="I740" s="38"/>
      <c r="J740" s="39">
        <f>IF(AND(SCHOV!E16="bouwgrond",SCHOV!F45="rechte lijn"),H753,0)</f>
        <v>0</v>
      </c>
      <c r="K740" s="38"/>
      <c r="L740" s="40"/>
      <c r="M740" s="7"/>
      <c r="N740" s="7"/>
      <c r="O740" s="7"/>
      <c r="P740" s="7"/>
      <c r="Q740" s="7"/>
      <c r="R740" s="7"/>
      <c r="S740" s="7"/>
      <c r="T740" s="7"/>
    </row>
    <row r="741" spans="1:20">
      <c r="A741" s="36" t="s">
        <v>10</v>
      </c>
      <c r="B741" s="36"/>
      <c r="C741" s="36"/>
      <c r="D741" s="36"/>
      <c r="E741" s="36"/>
      <c r="F741" s="36">
        <f>SCHOV!G47</f>
        <v>0</v>
      </c>
      <c r="G741" s="41"/>
      <c r="H741" s="36"/>
      <c r="I741" s="36"/>
      <c r="J741" s="39">
        <f>IF(AND(SCHOV!E16="andere",SCHOV!F45="rechte lijn"),G753,0)</f>
        <v>0</v>
      </c>
      <c r="K741" s="36"/>
      <c r="L741" s="40"/>
      <c r="M741" s="7"/>
      <c r="N741" s="7"/>
      <c r="O741" s="7"/>
      <c r="P741" s="7"/>
      <c r="Q741" s="7"/>
      <c r="R741" s="7"/>
      <c r="S741" s="7"/>
      <c r="T741" s="7"/>
    </row>
    <row r="742" spans="1:20">
      <c r="A742" s="36"/>
      <c r="B742" s="36"/>
      <c r="C742" s="36"/>
      <c r="D742" s="36"/>
      <c r="E742" s="36"/>
      <c r="F742" s="36"/>
      <c r="G742" s="36"/>
      <c r="H742" s="36"/>
      <c r="I742" s="36"/>
      <c r="J742" s="39">
        <f>IF(AND(SCHOV!E16="bouwgrond",SCHOV!F45="broer/zuster"),H763,0)</f>
        <v>0</v>
      </c>
      <c r="K742" s="36"/>
      <c r="L742" s="36"/>
      <c r="M742" s="7"/>
      <c r="N742" s="7" t="s">
        <v>77</v>
      </c>
      <c r="O742" s="7"/>
      <c r="P742" s="7"/>
      <c r="Q742" s="7"/>
      <c r="R742" s="7"/>
      <c r="S742" s="7"/>
      <c r="T742" s="7"/>
    </row>
    <row r="743" spans="1:20">
      <c r="A743" s="37" t="s">
        <v>11</v>
      </c>
      <c r="B743" s="37"/>
      <c r="C743" s="37"/>
      <c r="D743" s="37"/>
      <c r="E743" s="36"/>
      <c r="F743" s="36"/>
      <c r="G743" s="38" t="s">
        <v>12</v>
      </c>
      <c r="H743" s="38" t="s">
        <v>13</v>
      </c>
      <c r="I743" s="36"/>
      <c r="J743" s="39">
        <f>IF(AND(SCHOV!E16="andere",SCHOV!F45="broer/zuster"),G763,0)</f>
        <v>0</v>
      </c>
      <c r="K743" s="36"/>
      <c r="L743" s="36"/>
      <c r="M743" s="7"/>
      <c r="N743" s="7"/>
      <c r="O743" s="7"/>
      <c r="P743" s="7"/>
      <c r="Q743" s="7"/>
      <c r="R743" s="7"/>
      <c r="S743" s="7"/>
      <c r="T743" s="7"/>
    </row>
    <row r="744" spans="1:20">
      <c r="A744" s="36">
        <v>0</v>
      </c>
      <c r="B744" s="36"/>
      <c r="C744" s="36"/>
      <c r="D744" s="36"/>
      <c r="E744" s="36">
        <v>12500</v>
      </c>
      <c r="F744" s="36">
        <f>IF(AND(F741&gt;A744, F741&lt;=E744),F741,0)</f>
        <v>0</v>
      </c>
      <c r="G744" s="36">
        <f>0+(3/100)*(-A744+F744)</f>
        <v>0</v>
      </c>
      <c r="H744" s="36">
        <f>0+(1/100)*(-A744+F744)</f>
        <v>0</v>
      </c>
      <c r="I744" s="36"/>
      <c r="J744" s="39">
        <f>IF(AND(SCHOV!E16="bouwgrond",SCHOV!F45="oom-tante/neef-nicht"),J763,0)</f>
        <v>0</v>
      </c>
      <c r="K744" s="36"/>
      <c r="L744" s="36"/>
      <c r="M744" s="7" t="s">
        <v>78</v>
      </c>
      <c r="N744" s="7">
        <f>IF(SCHOV!I45=3,J749*12%,0)</f>
        <v>0</v>
      </c>
      <c r="O744" s="7">
        <f>IF(N744&gt;372,372,N744)</f>
        <v>0</v>
      </c>
      <c r="P744" s="7"/>
      <c r="Q744" s="7" t="s">
        <v>79</v>
      </c>
      <c r="R744" s="7">
        <f>J749*6%</f>
        <v>0</v>
      </c>
      <c r="S744" s="7">
        <f>IF(R744&gt;186,186,R744)</f>
        <v>0</v>
      </c>
      <c r="T744" s="7">
        <f>IF(SCHOV!I45=3,S744,0)</f>
        <v>0</v>
      </c>
    </row>
    <row r="745" spans="1:20">
      <c r="A745" s="36">
        <f t="shared" ref="A745:A752" si="8">E744</f>
        <v>12500</v>
      </c>
      <c r="B745" s="36"/>
      <c r="C745" s="36"/>
      <c r="D745" s="36"/>
      <c r="E745" s="36">
        <v>25000</v>
      </c>
      <c r="F745" s="36">
        <f>IF(AND(F741&gt;A745, F741&lt;=E745),F741,0)</f>
        <v>0</v>
      </c>
      <c r="G745" s="36">
        <f>(12500/100*3)+(4/100)*(-A745+F745)</f>
        <v>-125</v>
      </c>
      <c r="H745" s="36">
        <f>(12500/100*1)+(2/100)*(-A745+F745)</f>
        <v>-125</v>
      </c>
      <c r="I745" s="36"/>
      <c r="J745" s="39">
        <f>IF(AND(SCHOV!E16="andere",SCHOV!F45="oom-tante/neef-nicht"),I763,0)</f>
        <v>0</v>
      </c>
      <c r="K745" s="36"/>
      <c r="L745" s="7"/>
      <c r="M745" s="7"/>
      <c r="N745" s="7">
        <f>IF(SCHOV!I45=4,J749*16%,0)</f>
        <v>0</v>
      </c>
      <c r="O745" s="7">
        <f>IF(N745&gt;496,496,N745)</f>
        <v>0</v>
      </c>
      <c r="P745" s="7"/>
      <c r="Q745" s="7" t="s">
        <v>80</v>
      </c>
      <c r="R745" s="7">
        <f>J749*8%</f>
        <v>0</v>
      </c>
      <c r="S745" s="7">
        <f>IF(R745&gt;248,248,R745)</f>
        <v>0</v>
      </c>
      <c r="T745" s="7">
        <f>IF(SCHOV!I45=4,S745,0)</f>
        <v>0</v>
      </c>
    </row>
    <row r="746" spans="1:20">
      <c r="A746" s="36">
        <f t="shared" si="8"/>
        <v>25000</v>
      </c>
      <c r="B746" s="36"/>
      <c r="C746" s="36"/>
      <c r="D746" s="36"/>
      <c r="E746" s="36">
        <v>50000</v>
      </c>
      <c r="F746" s="36">
        <f>IF(AND(F741&gt;A746, F741&lt;=E746),F741,0)</f>
        <v>0</v>
      </c>
      <c r="G746" s="36">
        <f>(12500/100*3)+(12500/100*4)+((5/100)*(-A746+F746))</f>
        <v>-375</v>
      </c>
      <c r="H746" s="36">
        <f>(12500/100*1)+(12500/100*2)+((3/100)*(-A746+F746))</f>
        <v>-375</v>
      </c>
      <c r="I746" s="36"/>
      <c r="J746" s="39">
        <f>IF(AND(SCHOV!E16="bouwgrond",SCHOV!F45="vreemden"),L763,0)</f>
        <v>0</v>
      </c>
      <c r="K746" s="36"/>
      <c r="L746" s="36"/>
      <c r="M746" s="7"/>
      <c r="N746" s="7">
        <f>IF(SCHOV!I45=5,J749*20%,0)</f>
        <v>0</v>
      </c>
      <c r="O746" s="7">
        <f>IF(N746&gt;620,620,N746)</f>
        <v>0</v>
      </c>
      <c r="P746" s="7"/>
      <c r="Q746" s="7"/>
      <c r="R746" s="7">
        <f>J749*10%</f>
        <v>0</v>
      </c>
      <c r="S746" s="7">
        <f>IF(R746&gt;310,310,R746)</f>
        <v>0</v>
      </c>
      <c r="T746" s="7">
        <f>IF(SCHOV!I45=5,S746,0)</f>
        <v>0</v>
      </c>
    </row>
    <row r="747" spans="1:20">
      <c r="A747" s="36">
        <f t="shared" si="8"/>
        <v>50000</v>
      </c>
      <c r="B747" s="36"/>
      <c r="C747" s="36"/>
      <c r="D747" s="36"/>
      <c r="E747" s="36">
        <v>100000</v>
      </c>
      <c r="F747" s="36">
        <f>IF(AND(F741&gt;A747, F741&lt;=E747),F741,0)</f>
        <v>0</v>
      </c>
      <c r="G747" s="36">
        <f>(12500/100*3)+(12500/100*4)+(25000/100*5)+((7/100)*(-A747+F747))</f>
        <v>-1375.0000000000005</v>
      </c>
      <c r="H747" s="36">
        <f>(12500/100*1)+(12500/100*2)+(25000/100*3)+((5/100)*(-A747+F747))</f>
        <v>-1375</v>
      </c>
      <c r="I747" s="36"/>
      <c r="J747" s="39">
        <f>IF(AND(SCHOV!E16="andere",SCHOV!F45="vreemden"),K763,0)</f>
        <v>0</v>
      </c>
      <c r="K747" s="36"/>
      <c r="L747" s="36"/>
      <c r="M747" s="7"/>
      <c r="N747" s="7">
        <f>IF(SCHOV!I45=6,J749*24%,0)</f>
        <v>0</v>
      </c>
      <c r="O747" s="7">
        <f>IF(N747&gt;744,744,N747)</f>
        <v>0</v>
      </c>
      <c r="P747" s="7"/>
      <c r="Q747" s="7"/>
      <c r="R747" s="7">
        <f>J749*12%</f>
        <v>0</v>
      </c>
      <c r="S747" s="7">
        <f>IF(R747&gt;372,372,R747)</f>
        <v>0</v>
      </c>
      <c r="T747" s="7">
        <f>IF(SCHOV!I45=6,S747,0)</f>
        <v>0</v>
      </c>
    </row>
    <row r="748" spans="1:20">
      <c r="A748" s="36">
        <f t="shared" si="8"/>
        <v>100000</v>
      </c>
      <c r="B748" s="36"/>
      <c r="C748" s="36"/>
      <c r="D748" s="36"/>
      <c r="E748" s="36">
        <v>150000</v>
      </c>
      <c r="F748" s="36">
        <f>IF(AND(F741&gt;A748, F741&lt;=E748),F741,0)</f>
        <v>0</v>
      </c>
      <c r="G748" s="36">
        <f>(12500/100*3)+(12500/100*4)+(25000/100*5)+(50000/100*7)+((10/100)*(-A748+F748))</f>
        <v>-4375</v>
      </c>
      <c r="H748" s="36">
        <f>(12500/100*1)+(12500/100*2)+(25000/100*3)+(50000/100*5)+((8/100)*(-A748+F748))</f>
        <v>-4375</v>
      </c>
      <c r="I748" s="36"/>
      <c r="J748" s="36"/>
      <c r="K748" s="36"/>
      <c r="L748" s="36"/>
      <c r="M748" s="7"/>
      <c r="N748" s="7">
        <f>IF(SCHOV!I45=7,J749*28%,0)</f>
        <v>0</v>
      </c>
      <c r="O748" s="7">
        <f>IF(N748&gt;868,868,N748)</f>
        <v>0</v>
      </c>
      <c r="P748" s="7"/>
      <c r="Q748" s="7"/>
      <c r="R748" s="7">
        <f>J749*14%</f>
        <v>0</v>
      </c>
      <c r="S748" s="7">
        <f>IF(R748&gt;434,434,R748)</f>
        <v>0</v>
      </c>
      <c r="T748" s="7">
        <f>IF(SCHOV!I45=7,S748,0)</f>
        <v>0</v>
      </c>
    </row>
    <row r="749" spans="1:20">
      <c r="A749" s="36">
        <f t="shared" si="8"/>
        <v>150000</v>
      </c>
      <c r="B749" s="36"/>
      <c r="C749" s="36"/>
      <c r="D749" s="36"/>
      <c r="E749" s="36">
        <v>200000</v>
      </c>
      <c r="F749" s="36">
        <f>IF(AND(F741&gt;A749, F741&lt;=E749),F741,0)</f>
        <v>0</v>
      </c>
      <c r="G749" s="36">
        <f>(12500/100*3)+(12500/100*4)+(25000/100*5)+(50000/100*7)+(50000/100*10)+((14/100)*(-A749+F749))</f>
        <v>-10375.000000000004</v>
      </c>
      <c r="H749" s="36">
        <f>(12500/100*1)+(12500/100*2)+(25000/100*3)+(50000/100*5)+(50000/100*8)+((14/100)*(-A749+F749))</f>
        <v>-13375.000000000004</v>
      </c>
      <c r="I749" s="36"/>
      <c r="J749" s="36">
        <f>SUM(J738:J747)</f>
        <v>0</v>
      </c>
      <c r="K749" s="36"/>
      <c r="L749" s="36"/>
      <c r="M749" s="7"/>
      <c r="N749" s="7">
        <f>IF(SCHOV!I45=8,J749*32%,0)</f>
        <v>0</v>
      </c>
      <c r="O749" s="7">
        <f>IF(N749&gt;992,992,N749)</f>
        <v>0</v>
      </c>
      <c r="P749" s="7"/>
      <c r="Q749" s="7"/>
      <c r="R749" s="7">
        <f>J749*16%</f>
        <v>0</v>
      </c>
      <c r="S749" s="7">
        <f>IF(R749&gt;496,496,R749)</f>
        <v>0</v>
      </c>
      <c r="T749" s="7">
        <f>IF(SCHOV!I45=8,S749,0)</f>
        <v>0</v>
      </c>
    </row>
    <row r="750" spans="1:20">
      <c r="A750" s="36">
        <f t="shared" si="8"/>
        <v>200000</v>
      </c>
      <c r="B750" s="36"/>
      <c r="C750" s="36"/>
      <c r="D750" s="36"/>
      <c r="E750" s="36">
        <v>250000</v>
      </c>
      <c r="F750" s="36">
        <f>IF(AND(F741&gt;A750, F741&lt;=E750),F741,0)</f>
        <v>0</v>
      </c>
      <c r="G750" s="36">
        <f>(12500/100*3)+(12500/100*4)+(25000/100*5)+(50000/100*7)+(50000/100*10)+(50000/100*14)+((18/100)*(-A750+F750))</f>
        <v>-18375</v>
      </c>
      <c r="H750" s="36">
        <f>(12500/100*1)+(12500/100*2)+(25000/100*3)+(50000/100*5)+(50000/100*8)+(50000/100*14)+((18/100)*(-A750+F750))</f>
        <v>-21375</v>
      </c>
      <c r="I750" s="36"/>
      <c r="J750" s="36"/>
      <c r="K750" s="36"/>
      <c r="L750" s="36"/>
      <c r="M750" s="7"/>
      <c r="N750" s="7">
        <f>IF(SCHOV!I45=9,J749*36%,0)</f>
        <v>0</v>
      </c>
      <c r="O750" s="7">
        <f>IF(N750&gt;1116,1116,N750)</f>
        <v>0</v>
      </c>
      <c r="P750" s="7"/>
      <c r="Q750" s="7"/>
      <c r="R750" s="7">
        <f>J749*18%</f>
        <v>0</v>
      </c>
      <c r="S750" s="7">
        <f>IF(R750&gt;558,558,R750)</f>
        <v>0</v>
      </c>
      <c r="T750" s="7">
        <f>IF(SCHOV!I45=9,S750,0)</f>
        <v>0</v>
      </c>
    </row>
    <row r="751" spans="1:20">
      <c r="A751" s="36">
        <f t="shared" si="8"/>
        <v>250000</v>
      </c>
      <c r="B751" s="36"/>
      <c r="C751" s="36"/>
      <c r="D751" s="36"/>
      <c r="E751" s="36">
        <v>500000</v>
      </c>
      <c r="F751" s="36">
        <f>IF(AND(F741&gt;A751, F741&lt;=E751),F741,0)</f>
        <v>0</v>
      </c>
      <c r="G751" s="36">
        <f>(12500/100*3)+(12500/100*4)+(25000/100*5)+(50000/100*7)+(50000/100*10)+(50000/100*14)+(50000/100*18)+((24/100)*(-A751+F751))</f>
        <v>-33375</v>
      </c>
      <c r="H751" s="36">
        <f>(12500/100*1)+(12500/100*2)+(25000/100*3)+(50000/100*5)+(50000/100*8)+(50000/100*14)+(50000/100*18)+((24/100)*(-A751+F751))</f>
        <v>-36375</v>
      </c>
      <c r="I751" s="36"/>
      <c r="J751" s="36"/>
      <c r="K751" s="36"/>
      <c r="L751" s="36"/>
      <c r="M751" s="7"/>
      <c r="N751" s="7">
        <f>IF(SCHOV!I45=10,J749*40%,0)</f>
        <v>0</v>
      </c>
      <c r="O751" s="7">
        <f>IF(N751&gt;1240,1240,N751)</f>
        <v>0</v>
      </c>
      <c r="P751" s="7"/>
      <c r="Q751" s="7"/>
      <c r="R751" s="7">
        <f>J749*20%</f>
        <v>0</v>
      </c>
      <c r="S751" s="7">
        <f>IF(R751&gt;620,620,R751)</f>
        <v>0</v>
      </c>
      <c r="T751" s="7">
        <f>IF(SCHOV!I45=10,S751,0)</f>
        <v>0</v>
      </c>
    </row>
    <row r="752" spans="1:20">
      <c r="A752" s="36">
        <f t="shared" si="8"/>
        <v>500000</v>
      </c>
      <c r="B752" s="36"/>
      <c r="C752" s="36"/>
      <c r="D752" s="36"/>
      <c r="E752" s="36">
        <v>999999999</v>
      </c>
      <c r="F752" s="36">
        <f>IF(AND(F741&gt;A752, F741&lt;=E752),F741,0)</f>
        <v>0</v>
      </c>
      <c r="G752" s="36">
        <f>(12500/100*3)+(12500/100*4)+(25000/100*5)+(50000/100*7)+(50000/100*10)+(50000/100*14)+(50000/100*18)+(250000/100*24)+((30/100)*(-A752+F752))</f>
        <v>-63375</v>
      </c>
      <c r="H752" s="36">
        <f>(12500/100*1)+(12500/100*2)+(25000/100*3)+(50000/100*5)+(50000/100*8)+(50000/100*14)+(50000/100*18)+(250000/100*24)+((30/100)*(-A752+F752))</f>
        <v>-66375</v>
      </c>
      <c r="I752" s="36"/>
      <c r="J752" s="36"/>
      <c r="K752" s="36"/>
      <c r="L752" s="36"/>
      <c r="M752" s="7"/>
      <c r="N752" s="7"/>
      <c r="O752" s="7"/>
      <c r="P752" s="7"/>
      <c r="Q752" s="7"/>
      <c r="R752" s="7"/>
      <c r="S752" s="7"/>
      <c r="T752" s="7"/>
    </row>
    <row r="753" spans="1:20">
      <c r="A753" s="42" t="s">
        <v>14</v>
      </c>
      <c r="B753" s="42"/>
      <c r="C753" s="42"/>
      <c r="D753" s="42"/>
      <c r="E753" s="36"/>
      <c r="F753" s="36"/>
      <c r="G753" s="36">
        <f>VLOOKUP(F741,F744:G752,2,FALSE)</f>
        <v>0</v>
      </c>
      <c r="H753" s="36">
        <f>VLOOKUP(F741,F744:H752,3,FALSE)</f>
        <v>0</v>
      </c>
      <c r="I753" s="36"/>
      <c r="J753" s="36"/>
      <c r="K753" s="36"/>
      <c r="L753" s="43"/>
      <c r="M753" s="7"/>
      <c r="N753" s="7"/>
      <c r="O753" s="7">
        <f>SUM(O744:O752)</f>
        <v>0</v>
      </c>
      <c r="P753" s="7"/>
      <c r="Q753" s="7"/>
      <c r="R753" s="7"/>
      <c r="S753" s="7"/>
      <c r="T753" s="7">
        <f>SUM(T744:T752)</f>
        <v>0</v>
      </c>
    </row>
    <row r="754" spans="1:20">
      <c r="A754" s="36"/>
      <c r="B754" s="36"/>
      <c r="C754" s="36"/>
      <c r="D754" s="36"/>
      <c r="E754" s="36"/>
      <c r="F754" s="36"/>
      <c r="G754" s="36"/>
      <c r="H754" s="36"/>
      <c r="I754" s="36"/>
      <c r="J754" s="36"/>
      <c r="K754" s="36"/>
      <c r="L754" s="43"/>
      <c r="M754" s="7"/>
      <c r="N754" s="7"/>
      <c r="O754" s="29"/>
      <c r="P754" s="7"/>
      <c r="Q754" s="7"/>
      <c r="R754" s="7"/>
      <c r="S754" s="7"/>
      <c r="T754" s="7"/>
    </row>
    <row r="755" spans="1:20">
      <c r="A755" s="36"/>
      <c r="B755" s="36"/>
      <c r="C755" s="36"/>
      <c r="D755" s="36"/>
      <c r="E755" s="36"/>
      <c r="F755" s="36"/>
      <c r="G755" s="36"/>
      <c r="H755" s="36"/>
      <c r="I755" s="36"/>
      <c r="J755" s="36"/>
      <c r="K755" s="36"/>
      <c r="L755" s="43"/>
      <c r="M755" s="7"/>
      <c r="N755" s="7"/>
      <c r="O755" s="29"/>
      <c r="P755" s="7"/>
      <c r="Q755" s="7"/>
      <c r="R755" s="7"/>
      <c r="S755" s="7"/>
      <c r="T755" s="7"/>
    </row>
    <row r="756" spans="1:20">
      <c r="A756" s="37" t="s">
        <v>15</v>
      </c>
      <c r="B756" s="37"/>
      <c r="C756" s="37"/>
      <c r="D756" s="37"/>
      <c r="E756" s="36"/>
      <c r="F756" s="36"/>
      <c r="G756" s="38" t="s">
        <v>16</v>
      </c>
      <c r="H756" s="38" t="s">
        <v>17</v>
      </c>
      <c r="I756" s="35" t="s">
        <v>18</v>
      </c>
      <c r="J756" s="35" t="s">
        <v>19</v>
      </c>
      <c r="K756" s="35" t="s">
        <v>20</v>
      </c>
      <c r="L756" s="35" t="s">
        <v>21</v>
      </c>
      <c r="M756" s="7"/>
      <c r="N756" s="7"/>
      <c r="O756" s="29"/>
      <c r="P756" s="7"/>
      <c r="Q756" s="7"/>
      <c r="R756" s="7"/>
      <c r="S756" s="7"/>
      <c r="T756" s="7"/>
    </row>
    <row r="757" spans="1:20">
      <c r="A757" s="36">
        <v>0</v>
      </c>
      <c r="B757" s="36"/>
      <c r="C757" s="36"/>
      <c r="D757" s="36"/>
      <c r="E757" s="36">
        <v>12500</v>
      </c>
      <c r="F757" s="36">
        <f>IF(AND(F741&gt;A757, F741&lt;=E757),F741,0)</f>
        <v>0</v>
      </c>
      <c r="G757" s="36">
        <f>0+(20/100)*(-A757+F757)</f>
        <v>0</v>
      </c>
      <c r="H757" s="36">
        <f>0+(10/100)*(-A757+F757)</f>
        <v>0</v>
      </c>
      <c r="I757" s="36">
        <f>0+(25/100)*(-A757+F757)</f>
        <v>0</v>
      </c>
      <c r="J757" s="36">
        <f>0+(10/100)*(-A757+F757)</f>
        <v>0</v>
      </c>
      <c r="K757" s="36">
        <f>0+(30/100)*(-A757+F757)</f>
        <v>0</v>
      </c>
      <c r="L757" s="36">
        <f>0+(10/100)*(-A757+F757)</f>
        <v>0</v>
      </c>
      <c r="M757" s="7" t="s">
        <v>81</v>
      </c>
      <c r="N757" s="16">
        <f>J749-O753</f>
        <v>0</v>
      </c>
      <c r="O757" s="29"/>
      <c r="P757" s="7" t="s">
        <v>82</v>
      </c>
      <c r="Q757" s="44">
        <f>J749-T753</f>
        <v>0</v>
      </c>
      <c r="R757" s="7"/>
      <c r="S757" s="7"/>
      <c r="T757" s="7"/>
    </row>
    <row r="758" spans="1:20">
      <c r="A758" s="36">
        <f>E757</f>
        <v>12500</v>
      </c>
      <c r="B758" s="36"/>
      <c r="C758" s="36"/>
      <c r="D758" s="36"/>
      <c r="E758" s="36">
        <v>25000</v>
      </c>
      <c r="F758" s="36">
        <f>IF(AND(F741&gt;A758, F741&lt;=E758),F741,0)</f>
        <v>0</v>
      </c>
      <c r="G758" s="36">
        <f>(12500/100*20)+((25/100)*(-A758+F758))</f>
        <v>-625</v>
      </c>
      <c r="H758" s="36">
        <f>(12500/100*10)+((10/100)*(-A758+F758))</f>
        <v>0</v>
      </c>
      <c r="I758" s="36">
        <f>(12500/100*25)+((30/100)*(-A758+F758))</f>
        <v>-625</v>
      </c>
      <c r="J758" s="36">
        <f>(12500/100*10)+((10/100)*(-A758+F758))</f>
        <v>0</v>
      </c>
      <c r="K758" s="36">
        <f>(12500/100*30)+((35/100)*(-A758+F758))</f>
        <v>-625</v>
      </c>
      <c r="L758" s="36">
        <f>(12500/100*10)+((10/100)*(-A758+F758))</f>
        <v>0</v>
      </c>
      <c r="M758" s="7"/>
      <c r="N758" s="7"/>
      <c r="O758" s="7"/>
      <c r="P758" s="7"/>
      <c r="Q758" s="7"/>
      <c r="R758" s="7"/>
      <c r="S758" s="7"/>
      <c r="T758" s="7"/>
    </row>
    <row r="759" spans="1:20">
      <c r="A759" s="36">
        <f>E758</f>
        <v>25000</v>
      </c>
      <c r="B759" s="36"/>
      <c r="C759" s="36"/>
      <c r="D759" s="36"/>
      <c r="E759" s="36">
        <v>75000</v>
      </c>
      <c r="F759" s="36">
        <f>IF(AND(F741&gt;A759, F741&lt;=E759),F741,0)</f>
        <v>0</v>
      </c>
      <c r="G759" s="36">
        <f>(12500/100*20)+(12500/100*25)+((35/100)*(-A759+F759))</f>
        <v>-3125</v>
      </c>
      <c r="H759" s="36">
        <f>(12500/100*10)+(12500/100*10)+((10/100)*(-A759+F759))</f>
        <v>0</v>
      </c>
      <c r="I759" s="36">
        <f>(12500/100*25)+(12500/100*30)+((40/100)*(-A759+F759))</f>
        <v>-3125</v>
      </c>
      <c r="J759" s="36">
        <f>(12500/100*10)+(12500/100*10)+((10/100)*(-A759+F759))</f>
        <v>0</v>
      </c>
      <c r="K759" s="36">
        <f>(12500/100*30)+(12500/100*35)+((50/100)*(-A759+F759))</f>
        <v>-4375</v>
      </c>
      <c r="L759" s="36">
        <f>(12500/100*10)+(12500/100*10)+((10/100)*(-A759+F759))</f>
        <v>0</v>
      </c>
      <c r="M759" s="7"/>
      <c r="N759" s="7"/>
      <c r="O759" s="7">
        <f>(IF(SCHOV!F45="echtgeno(o)t(e)",N757,Q757))</f>
        <v>0</v>
      </c>
      <c r="P759" s="7"/>
      <c r="Q759" s="7"/>
      <c r="R759" s="7"/>
      <c r="S759" s="7"/>
      <c r="T759" s="7"/>
    </row>
    <row r="760" spans="1:20">
      <c r="A760" s="36">
        <f>E759</f>
        <v>75000</v>
      </c>
      <c r="B760" s="36"/>
      <c r="C760" s="36"/>
      <c r="D760" s="36"/>
      <c r="E760" s="36">
        <v>150000</v>
      </c>
      <c r="F760" s="36">
        <f>IF(AND(F741&gt;A760, F741&lt;=E760),F741,0)</f>
        <v>0</v>
      </c>
      <c r="G760" s="36">
        <f>(12500/100*20)+(12500/100*25)+(50000/100*35)+((50/100)*(-A760+F760))</f>
        <v>-14375</v>
      </c>
      <c r="H760" s="36">
        <f>(12500/100*10)+(12500/100*10)+(50000/100*10)+((10/100)*(-A760+F760))</f>
        <v>0</v>
      </c>
      <c r="I760" s="36">
        <f>(12500/100*25)+(12500/100*30)+(50000/100*40)+((55/100)*(-A760+F760))</f>
        <v>-14375</v>
      </c>
      <c r="J760" s="36">
        <f>(12500/100*10)+(12500/100*10)+(50000/100*10)+((10/100)*(-A760+F760))</f>
        <v>0</v>
      </c>
      <c r="K760" s="36">
        <f>(12500/100*30)+(12500/100*35)+(50000/100*50)+((65/100)*(-A760+F760))</f>
        <v>-15625</v>
      </c>
      <c r="L760" s="36">
        <f>(12500/100*10)+(12500/100*10)+(50000/100*10)+((10/100)*(-A760+F760))</f>
        <v>0</v>
      </c>
      <c r="M760" s="7"/>
      <c r="N760" s="7"/>
      <c r="O760" s="7"/>
      <c r="P760" s="7"/>
      <c r="Q760" s="7"/>
      <c r="R760" s="7"/>
      <c r="S760" s="7"/>
      <c r="T760" s="7"/>
    </row>
    <row r="761" spans="1:20">
      <c r="A761" s="36">
        <v>150000</v>
      </c>
      <c r="B761" s="36"/>
      <c r="C761" s="36"/>
      <c r="D761" s="36"/>
      <c r="E761" s="36">
        <v>175000</v>
      </c>
      <c r="F761" s="36">
        <f>IF(AND(F741&gt;A761, F741&lt;=E761),F741,0)</f>
        <v>0</v>
      </c>
      <c r="G761" s="36">
        <f>(12500/100*20)+(12500/100*25)+(50000/100*35)+(75000/100*50)+((50/100)*(-A761+F761))</f>
        <v>-14375</v>
      </c>
      <c r="H761" s="36">
        <f>(12500/100*10)+(12500/100*10)+(50000/100*10)+(75000/100*10)+((50/100)*(-A761+F761))</f>
        <v>-60000</v>
      </c>
      <c r="I761" s="36">
        <f>(12500/100*25)+(12500/100*30)+(50000/100*40)+(75000/100*55)+((55/100)*(-A761+F761))</f>
        <v>-14375</v>
      </c>
      <c r="J761" s="36">
        <f>(12500/100*10)+(12500/100*10)+(50000/100*10)+(75000/100*10)+((55/100)*(-A761+F761))</f>
        <v>-67500</v>
      </c>
      <c r="K761" s="36">
        <f>(12500/100*30)+(12500/100*35)+(50000/100*50)+(75000/100*65)+((65/100)*(-A761+F761))</f>
        <v>-15625</v>
      </c>
      <c r="L761" s="36">
        <f>(12500/100*10)+(12500/100*10)+(50000/100*10)+(75000/100*10)+((65/100)*(-A761+F761))</f>
        <v>-82500</v>
      </c>
      <c r="M761" s="7"/>
      <c r="N761" s="7"/>
      <c r="O761" s="7"/>
      <c r="P761" s="7"/>
      <c r="Q761" s="7"/>
      <c r="R761" s="7"/>
      <c r="S761" s="7"/>
      <c r="T761" s="7"/>
    </row>
    <row r="762" spans="1:20">
      <c r="A762" s="36">
        <v>175000</v>
      </c>
      <c r="B762" s="36"/>
      <c r="C762" s="36"/>
      <c r="D762" s="36"/>
      <c r="E762" s="36">
        <v>999999999</v>
      </c>
      <c r="F762" s="36">
        <f>IF(AND(F741&gt;A762, F741&lt;=E762),F741,0)</f>
        <v>0</v>
      </c>
      <c r="G762" s="36">
        <f>(12500/100*20)+(12500/100*25)+(50000/100*35)+(75000/100*50)+(25000/100*50)+((65/100)*(-A762+F762))</f>
        <v>-40625</v>
      </c>
      <c r="H762" s="36">
        <f>(12500/100*10)+(12500/100*10)+(50000/100*10)+(75000/100*10)+(25000/100*50)+((65/100)*(-A762+F762))</f>
        <v>-86250</v>
      </c>
      <c r="I762" s="36">
        <f>(12500/100*25)+(12500/100*30)+(50000/100*40)+(75000/100*55)+(25000/100*55)+((70/100)*(-A762+F762))</f>
        <v>-40624.999999999985</v>
      </c>
      <c r="J762" s="36">
        <f>(12500/100*10)+(12500/100*10)+(50000/100*10)+(75000/100*10)+(25000/100*55)+((70/100)*(-A762+F762))</f>
        <v>-93749.999999999985</v>
      </c>
      <c r="K762" s="36">
        <f>(12500/100*30)+(12500/100*35)+(50000/100*50)+(75000/100*65)+(25000/100*65)+((80/100)*(-A762+F762))</f>
        <v>-41875</v>
      </c>
      <c r="L762" s="36">
        <f>(12500/100*10)+(12500/100*10)+(50000/100*10)+(75000/100*10)+(25000/100*65)+((80/100)*(-A762+F762))</f>
        <v>-108750</v>
      </c>
      <c r="M762" s="7"/>
      <c r="N762" s="7"/>
      <c r="O762" s="7"/>
      <c r="P762" s="7"/>
      <c r="Q762" s="7"/>
      <c r="R762" s="7"/>
      <c r="S762" s="7"/>
      <c r="T762" s="7"/>
    </row>
    <row r="763" spans="1:20">
      <c r="A763" s="42" t="s">
        <v>14</v>
      </c>
      <c r="B763" s="42"/>
      <c r="C763" s="42"/>
      <c r="D763" s="42"/>
      <c r="E763" s="36"/>
      <c r="F763" s="36"/>
      <c r="G763" s="36">
        <f>VLOOKUP(F741,F757:G762,2,FALSE)</f>
        <v>0</v>
      </c>
      <c r="H763" s="36">
        <f>VLOOKUP(F741,F757:H762,3,FALSE)</f>
        <v>0</v>
      </c>
      <c r="I763" s="36">
        <f>VLOOKUP(F741,F757:I762,4,FALSE)</f>
        <v>0</v>
      </c>
      <c r="J763" s="36">
        <f>VLOOKUP(F741,F757:J762,5,FALSE)</f>
        <v>0</v>
      </c>
      <c r="K763" s="36">
        <f>VLOOKUP(F741,F757:K762,6,FALSE)</f>
        <v>0</v>
      </c>
      <c r="L763" s="36">
        <f>VLOOKUP(F741,F757:L762,7,FALSE)</f>
        <v>0</v>
      </c>
      <c r="M763" s="7"/>
      <c r="N763" s="7"/>
      <c r="O763" s="7"/>
      <c r="P763" s="7"/>
      <c r="Q763" s="7"/>
      <c r="R763" s="7"/>
      <c r="S763" s="7"/>
      <c r="T763" s="7"/>
    </row>
    <row r="764" spans="1:20">
      <c r="A764" s="7"/>
      <c r="B764" s="7"/>
      <c r="C764" s="7"/>
      <c r="D764" s="7"/>
      <c r="E764" s="7"/>
      <c r="F764" s="7"/>
      <c r="G764" s="7"/>
      <c r="H764" s="7"/>
      <c r="I764" s="7"/>
      <c r="J764" s="7"/>
      <c r="K764" s="7"/>
      <c r="L764" s="7"/>
      <c r="M764" s="7"/>
      <c r="N764" s="7"/>
      <c r="O764" s="7"/>
      <c r="P764" s="7"/>
      <c r="Q764" s="7"/>
      <c r="R764" s="7"/>
      <c r="S764" s="7"/>
      <c r="T764" s="7"/>
    </row>
    <row r="841" spans="1:20">
      <c r="A841" s="7"/>
      <c r="B841" s="7"/>
      <c r="C841" s="7"/>
      <c r="D841" s="7"/>
      <c r="E841" s="24"/>
      <c r="F841" s="7"/>
      <c r="G841" s="24"/>
      <c r="H841" s="7"/>
      <c r="I841" s="7"/>
      <c r="J841" s="7">
        <f>IF(AND(SCHOV!E16="bouwgrond",SCHOV!F50="echtgeno(o)t(e)"),H856,0)</f>
        <v>0</v>
      </c>
      <c r="K841" s="7"/>
      <c r="L841" s="7"/>
      <c r="M841" s="7"/>
      <c r="N841" s="7"/>
      <c r="O841" s="7"/>
      <c r="P841" s="7"/>
      <c r="Q841" s="7"/>
      <c r="R841" s="7"/>
      <c r="S841" s="7"/>
      <c r="T841" s="7"/>
    </row>
    <row r="842" spans="1:20">
      <c r="A842" s="7"/>
      <c r="B842" s="7"/>
      <c r="C842" s="7"/>
      <c r="D842" s="7"/>
      <c r="E842" s="24"/>
      <c r="F842" s="7"/>
      <c r="G842" s="24"/>
      <c r="H842" s="7"/>
      <c r="I842" s="7"/>
      <c r="J842" s="7">
        <f>IF(AND(SCHOV!E16="andere",SCHOV!F50="echtgeno(o)t(e)"),G856,0)</f>
        <v>0</v>
      </c>
      <c r="K842" s="7"/>
      <c r="L842" s="7"/>
      <c r="M842" s="7"/>
      <c r="N842" s="7"/>
      <c r="O842" s="7"/>
      <c r="P842" s="7"/>
      <c r="Q842" s="7"/>
      <c r="R842" s="7"/>
      <c r="S842" s="7"/>
      <c r="T842" s="7"/>
    </row>
    <row r="843" spans="1:20">
      <c r="A843" s="35"/>
      <c r="B843" s="35"/>
      <c r="C843" s="35"/>
      <c r="D843" s="35"/>
      <c r="E843" s="36"/>
      <c r="F843" s="37"/>
      <c r="G843" s="36"/>
      <c r="H843" s="36"/>
      <c r="I843" s="38"/>
      <c r="J843" s="39">
        <f>IF(AND(SCHOV!E16="bouwgrond",SCHOV!F50="rechte lijn"),H856,0)</f>
        <v>0</v>
      </c>
      <c r="K843" s="38"/>
      <c r="L843" s="40"/>
      <c r="M843" s="7"/>
      <c r="N843" s="7"/>
      <c r="O843" s="7"/>
      <c r="P843" s="7"/>
      <c r="Q843" s="7"/>
      <c r="R843" s="7"/>
      <c r="S843" s="7"/>
      <c r="T843" s="7"/>
    </row>
    <row r="844" spans="1:20">
      <c r="A844" s="36" t="s">
        <v>10</v>
      </c>
      <c r="B844" s="36"/>
      <c r="C844" s="36"/>
      <c r="D844" s="36"/>
      <c r="E844" s="36"/>
      <c r="F844" s="36">
        <f>SCHOV!G52</f>
        <v>0</v>
      </c>
      <c r="G844" s="41"/>
      <c r="H844" s="36"/>
      <c r="I844" s="36"/>
      <c r="J844" s="39">
        <f>IF(AND(SCHOV!E16="andere",SCHOV!F50="rechte lijn"),G856,0)</f>
        <v>0</v>
      </c>
      <c r="K844" s="36"/>
      <c r="L844" s="40"/>
      <c r="M844" s="7"/>
      <c r="N844" s="7"/>
      <c r="O844" s="7"/>
      <c r="P844" s="7"/>
      <c r="Q844" s="7"/>
      <c r="R844" s="7"/>
      <c r="S844" s="7"/>
      <c r="T844" s="7"/>
    </row>
    <row r="845" spans="1:20">
      <c r="A845" s="36"/>
      <c r="B845" s="36"/>
      <c r="C845" s="36"/>
      <c r="D845" s="36"/>
      <c r="E845" s="36"/>
      <c r="F845" s="36"/>
      <c r="G845" s="36"/>
      <c r="H845" s="36"/>
      <c r="I845" s="36"/>
      <c r="J845" s="39">
        <f>IF(AND(SCHOV!E16="bouwgrond",SCHOV!F50="broer/zuster"),H866,0)</f>
        <v>0</v>
      </c>
      <c r="K845" s="36"/>
      <c r="L845" s="36"/>
      <c r="M845" s="7"/>
      <c r="N845" s="7" t="s">
        <v>77</v>
      </c>
      <c r="O845" s="7"/>
      <c r="P845" s="7"/>
      <c r="Q845" s="7"/>
      <c r="R845" s="7"/>
      <c r="S845" s="7"/>
      <c r="T845" s="7"/>
    </row>
    <row r="846" spans="1:20">
      <c r="A846" s="37" t="s">
        <v>11</v>
      </c>
      <c r="B846" s="37"/>
      <c r="C846" s="37"/>
      <c r="D846" s="37"/>
      <c r="E846" s="36"/>
      <c r="F846" s="36"/>
      <c r="G846" s="38" t="s">
        <v>12</v>
      </c>
      <c r="H846" s="38" t="s">
        <v>13</v>
      </c>
      <c r="I846" s="36"/>
      <c r="J846" s="39">
        <f>IF(AND(SCHOV!E16="andere",SCHOV!F50="broer/zuster"),G866,0)</f>
        <v>0</v>
      </c>
      <c r="K846" s="36"/>
      <c r="L846" s="36"/>
      <c r="M846" s="7"/>
      <c r="N846" s="7"/>
      <c r="O846" s="7"/>
      <c r="P846" s="7"/>
      <c r="Q846" s="7"/>
      <c r="R846" s="7"/>
      <c r="S846" s="7"/>
      <c r="T846" s="7"/>
    </row>
    <row r="847" spans="1:20">
      <c r="A847" s="36">
        <v>0</v>
      </c>
      <c r="B847" s="36"/>
      <c r="C847" s="36"/>
      <c r="D847" s="36"/>
      <c r="E847" s="36">
        <v>12500</v>
      </c>
      <c r="F847" s="36">
        <f>IF(AND(F844&gt;A847, F844&lt;=E847),F844,0)</f>
        <v>0</v>
      </c>
      <c r="G847" s="36">
        <f>0+(3/100)*(-A847+F847)</f>
        <v>0</v>
      </c>
      <c r="H847" s="36">
        <f>0+(1/100)*(-A847+F847)</f>
        <v>0</v>
      </c>
      <c r="I847" s="36"/>
      <c r="J847" s="39">
        <f>IF(AND(SCHOV!E16="bouwgrond",SCHOV!F50="oom-tante/neef-nicht"),J866,0)</f>
        <v>0</v>
      </c>
      <c r="K847" s="36"/>
      <c r="L847" s="36"/>
      <c r="M847" s="7" t="s">
        <v>78</v>
      </c>
      <c r="N847" s="7">
        <f>IF(SCHOV!I50=3,J852*12%,0)</f>
        <v>0</v>
      </c>
      <c r="O847" s="7">
        <f>IF(N847&gt;372,372,N847)</f>
        <v>0</v>
      </c>
      <c r="P847" s="7"/>
      <c r="Q847" s="7" t="s">
        <v>79</v>
      </c>
      <c r="R847" s="7">
        <f>J852*6%</f>
        <v>0</v>
      </c>
      <c r="S847" s="7">
        <f>IF(R847&gt;186,186,R847)</f>
        <v>0</v>
      </c>
      <c r="T847" s="7">
        <f>IF(SCHOV!I50=3,S847,0)</f>
        <v>0</v>
      </c>
    </row>
    <row r="848" spans="1:20">
      <c r="A848" s="36">
        <f t="shared" ref="A848:A855" si="9">E847</f>
        <v>12500</v>
      </c>
      <c r="B848" s="36"/>
      <c r="C848" s="36"/>
      <c r="D848" s="36"/>
      <c r="E848" s="36">
        <v>25000</v>
      </c>
      <c r="F848" s="36">
        <f>IF(AND(F844&gt;A848, F844&lt;=E848),F844,0)</f>
        <v>0</v>
      </c>
      <c r="G848" s="36">
        <f>(12500/100*3)+(4/100)*(-A848+F848)</f>
        <v>-125</v>
      </c>
      <c r="H848" s="36">
        <f>(12500/100*1)+(2/100)*(-A848+F848)</f>
        <v>-125</v>
      </c>
      <c r="I848" s="36"/>
      <c r="J848" s="39">
        <f>IF(AND(SCHOV!E16="andere",SCHOV!F50="oom-tante/neef-nicht"),I866,0)</f>
        <v>0</v>
      </c>
      <c r="K848" s="36"/>
      <c r="L848" s="7"/>
      <c r="M848" s="7"/>
      <c r="N848" s="7">
        <f>IF(SCHOV!I50=4,J852*16%,0)</f>
        <v>0</v>
      </c>
      <c r="O848" s="7">
        <f>IF(N848&gt;496,496,N848)</f>
        <v>0</v>
      </c>
      <c r="P848" s="7"/>
      <c r="Q848" s="7" t="s">
        <v>80</v>
      </c>
      <c r="R848" s="7">
        <f>J852*8%</f>
        <v>0</v>
      </c>
      <c r="S848" s="7">
        <f>IF(R848&gt;248,248,R848)</f>
        <v>0</v>
      </c>
      <c r="T848" s="7">
        <f>IF(SCHOV!I50=4,S848,0)</f>
        <v>0</v>
      </c>
    </row>
    <row r="849" spans="1:20">
      <c r="A849" s="36">
        <f t="shared" si="9"/>
        <v>25000</v>
      </c>
      <c r="B849" s="36"/>
      <c r="C849" s="36"/>
      <c r="D849" s="36"/>
      <c r="E849" s="36">
        <v>50000</v>
      </c>
      <c r="F849" s="36">
        <f>IF(AND(F844&gt;A849, F844&lt;=E849),F844,0)</f>
        <v>0</v>
      </c>
      <c r="G849" s="36">
        <f>(12500/100*3)+(12500/100*4)+((5/100)*(-A849+F849))</f>
        <v>-375</v>
      </c>
      <c r="H849" s="36">
        <f>(12500/100*1)+(12500/100*2)+((3/100)*(-A849+F849))</f>
        <v>-375</v>
      </c>
      <c r="I849" s="36"/>
      <c r="J849" s="39">
        <f>IF(AND(SCHOV!E16="bouwgrond",SCHOV!F50="vreemden"),L866,0)</f>
        <v>0</v>
      </c>
      <c r="K849" s="36"/>
      <c r="L849" s="36"/>
      <c r="M849" s="7"/>
      <c r="N849" s="7">
        <f>IF(SCHOV!I50=5,J852*20%,0)</f>
        <v>0</v>
      </c>
      <c r="O849" s="7">
        <f>IF(N849&gt;620,620,N849)</f>
        <v>0</v>
      </c>
      <c r="P849" s="7"/>
      <c r="Q849" s="7"/>
      <c r="R849" s="7">
        <f>J852*10%</f>
        <v>0</v>
      </c>
      <c r="S849" s="7">
        <f>IF(R849&gt;310,310,R849)</f>
        <v>0</v>
      </c>
      <c r="T849" s="7">
        <f>IF(SCHOV!I50=5,S849,0)</f>
        <v>0</v>
      </c>
    </row>
    <row r="850" spans="1:20">
      <c r="A850" s="36">
        <f t="shared" si="9"/>
        <v>50000</v>
      </c>
      <c r="B850" s="36"/>
      <c r="C850" s="36"/>
      <c r="D850" s="36"/>
      <c r="E850" s="36">
        <v>100000</v>
      </c>
      <c r="F850" s="36">
        <f>IF(AND(F844&gt;A850, F844&lt;=E850),F844,0)</f>
        <v>0</v>
      </c>
      <c r="G850" s="36">
        <f>(12500/100*3)+(12500/100*4)+(25000/100*5)+((7/100)*(-A850+F850))</f>
        <v>-1375.0000000000005</v>
      </c>
      <c r="H850" s="36">
        <f>(12500/100*1)+(12500/100*2)+(25000/100*3)+((5/100)*(-A850+F850))</f>
        <v>-1375</v>
      </c>
      <c r="I850" s="36"/>
      <c r="J850" s="39">
        <f>IF(AND(SCHOV!E16="andere",SCHOV!F50="vreemden"),K866,0)</f>
        <v>0</v>
      </c>
      <c r="K850" s="36"/>
      <c r="L850" s="36"/>
      <c r="M850" s="7"/>
      <c r="N850" s="7">
        <f>IF(SCHOV!I50=6,J852*24%,0)</f>
        <v>0</v>
      </c>
      <c r="O850" s="7">
        <f>IF(N850&gt;744,744,N850)</f>
        <v>0</v>
      </c>
      <c r="P850" s="7"/>
      <c r="Q850" s="7"/>
      <c r="R850" s="7">
        <f>J852*12%</f>
        <v>0</v>
      </c>
      <c r="S850" s="7">
        <f>IF(R850&gt;372,372,R850)</f>
        <v>0</v>
      </c>
      <c r="T850" s="7">
        <f>IF(SCHOV!I50=6,S850,0)</f>
        <v>0</v>
      </c>
    </row>
    <row r="851" spans="1:20">
      <c r="A851" s="36">
        <f t="shared" si="9"/>
        <v>100000</v>
      </c>
      <c r="B851" s="36"/>
      <c r="C851" s="36"/>
      <c r="D851" s="36"/>
      <c r="E851" s="36">
        <v>150000</v>
      </c>
      <c r="F851" s="36">
        <f>IF(AND(F844&gt;A851, F844&lt;=E851),F844,0)</f>
        <v>0</v>
      </c>
      <c r="G851" s="36">
        <f>(12500/100*3)+(12500/100*4)+(25000/100*5)+(50000/100*7)+((10/100)*(-A851+F851))</f>
        <v>-4375</v>
      </c>
      <c r="H851" s="36">
        <f>(12500/100*1)+(12500/100*2)+(25000/100*3)+(50000/100*5)+((8/100)*(-A851+F851))</f>
        <v>-4375</v>
      </c>
      <c r="I851" s="36"/>
      <c r="J851" s="36"/>
      <c r="K851" s="36"/>
      <c r="L851" s="36"/>
      <c r="M851" s="7"/>
      <c r="N851" s="7">
        <f>IF(SCHOV!I50=7,J852*28%,0)</f>
        <v>0</v>
      </c>
      <c r="O851" s="7">
        <f>IF(N851&gt;868,868,N851)</f>
        <v>0</v>
      </c>
      <c r="P851" s="7"/>
      <c r="Q851" s="7"/>
      <c r="R851" s="7">
        <f>J852*14%</f>
        <v>0</v>
      </c>
      <c r="S851" s="7">
        <f>IF(R851&gt;434,434,R851)</f>
        <v>0</v>
      </c>
      <c r="T851" s="7">
        <f>IF(SCHOV!I50=7,S851,0)</f>
        <v>0</v>
      </c>
    </row>
    <row r="852" spans="1:20">
      <c r="A852" s="36">
        <f t="shared" si="9"/>
        <v>150000</v>
      </c>
      <c r="B852" s="36"/>
      <c r="C852" s="36"/>
      <c r="D852" s="36"/>
      <c r="E852" s="36">
        <v>200000</v>
      </c>
      <c r="F852" s="36">
        <f>IF(AND(F844&gt;A852, F844&lt;=E852),F844,0)</f>
        <v>0</v>
      </c>
      <c r="G852" s="36">
        <f>(12500/100*3)+(12500/100*4)+(25000/100*5)+(50000/100*7)+(50000/100*10)+((14/100)*(-A852+F852))</f>
        <v>-10375.000000000004</v>
      </c>
      <c r="H852" s="36">
        <f>(12500/100*1)+(12500/100*2)+(25000/100*3)+(50000/100*5)+(50000/100*8)+((14/100)*(-A852+F852))</f>
        <v>-13375.000000000004</v>
      </c>
      <c r="I852" s="36"/>
      <c r="J852" s="36">
        <f>SUM(J841:J850)</f>
        <v>0</v>
      </c>
      <c r="K852" s="36"/>
      <c r="L852" s="36"/>
      <c r="M852" s="7"/>
      <c r="N852" s="7">
        <f>IF(SCHOV!I50=8,J852*32%,0)</f>
        <v>0</v>
      </c>
      <c r="O852" s="7">
        <f>IF(N852&gt;992,992,N852)</f>
        <v>0</v>
      </c>
      <c r="P852" s="7"/>
      <c r="Q852" s="7"/>
      <c r="R852" s="7">
        <f>J852*16%</f>
        <v>0</v>
      </c>
      <c r="S852" s="7">
        <f>IF(R852&gt;496,496,R852)</f>
        <v>0</v>
      </c>
      <c r="T852" s="7">
        <f>IF(SCHOV!I50=8,S852,0)</f>
        <v>0</v>
      </c>
    </row>
    <row r="853" spans="1:20">
      <c r="A853" s="36">
        <f t="shared" si="9"/>
        <v>200000</v>
      </c>
      <c r="B853" s="36"/>
      <c r="C853" s="36"/>
      <c r="D853" s="36"/>
      <c r="E853" s="36">
        <v>250000</v>
      </c>
      <c r="F853" s="36">
        <f>IF(AND(F844&gt;A853, F844&lt;=E853),F844,0)</f>
        <v>0</v>
      </c>
      <c r="G853" s="36">
        <f>(12500/100*3)+(12500/100*4)+(25000/100*5)+(50000/100*7)+(50000/100*10)+(50000/100*14)+((18/100)*(-A853+F853))</f>
        <v>-18375</v>
      </c>
      <c r="H853" s="36">
        <f>(12500/100*1)+(12500/100*2)+(25000/100*3)+(50000/100*5)+(50000/100*8)+(50000/100*14)+((18/100)*(-A853+F853))</f>
        <v>-21375</v>
      </c>
      <c r="I853" s="36"/>
      <c r="J853" s="36"/>
      <c r="K853" s="36"/>
      <c r="L853" s="36"/>
      <c r="M853" s="7"/>
      <c r="N853" s="7">
        <f>IF(SCHOV!I50=9,J852*36%,0)</f>
        <v>0</v>
      </c>
      <c r="O853" s="7">
        <f>IF(N853&gt;1116,1116,N853)</f>
        <v>0</v>
      </c>
      <c r="P853" s="7"/>
      <c r="Q853" s="7"/>
      <c r="R853" s="7">
        <f>J852*18%</f>
        <v>0</v>
      </c>
      <c r="S853" s="7">
        <f>IF(R853&gt;558,558,R853)</f>
        <v>0</v>
      </c>
      <c r="T853" s="7">
        <f>IF(SCHOV!I50=9,S853,0)</f>
        <v>0</v>
      </c>
    </row>
    <row r="854" spans="1:20">
      <c r="A854" s="36">
        <f t="shared" si="9"/>
        <v>250000</v>
      </c>
      <c r="B854" s="36"/>
      <c r="C854" s="36"/>
      <c r="D854" s="36"/>
      <c r="E854" s="36">
        <v>500000</v>
      </c>
      <c r="F854" s="36">
        <f>IF(AND(F844&gt;A854, F844&lt;=E854),F844,0)</f>
        <v>0</v>
      </c>
      <c r="G854" s="36">
        <f>(12500/100*3)+(12500/100*4)+(25000/100*5)+(50000/100*7)+(50000/100*10)+(50000/100*14)+(50000/100*18)+((24/100)*(-A854+F854))</f>
        <v>-33375</v>
      </c>
      <c r="H854" s="36">
        <f>(12500/100*1)+(12500/100*2)+(25000/100*3)+(50000/100*5)+(50000/100*8)+(50000/100*14)+(50000/100*18)+((24/100)*(-A854+F854))</f>
        <v>-36375</v>
      </c>
      <c r="I854" s="36"/>
      <c r="J854" s="36"/>
      <c r="K854" s="36"/>
      <c r="L854" s="36"/>
      <c r="M854" s="7"/>
      <c r="N854" s="7">
        <f>IF(SCHOV!I50=10,J852*40%,0)</f>
        <v>0</v>
      </c>
      <c r="O854" s="7">
        <f>IF(N854&gt;1240,1240,N854)</f>
        <v>0</v>
      </c>
      <c r="P854" s="7"/>
      <c r="Q854" s="7"/>
      <c r="R854" s="7">
        <f>J852*20%</f>
        <v>0</v>
      </c>
      <c r="S854" s="7">
        <f>IF(R854&gt;620,620,R854)</f>
        <v>0</v>
      </c>
      <c r="T854" s="7">
        <f>IF(SCHOV!I50=10,S854,0)</f>
        <v>0</v>
      </c>
    </row>
    <row r="855" spans="1:20">
      <c r="A855" s="36">
        <f t="shared" si="9"/>
        <v>500000</v>
      </c>
      <c r="B855" s="36"/>
      <c r="C855" s="36"/>
      <c r="D855" s="36"/>
      <c r="E855" s="36">
        <v>999999999</v>
      </c>
      <c r="F855" s="36">
        <f>IF(AND(F844&gt;A855, F844&lt;=E855),F844,0)</f>
        <v>0</v>
      </c>
      <c r="G855" s="36">
        <f>(12500/100*3)+(12500/100*4)+(25000/100*5)+(50000/100*7)+(50000/100*10)+(50000/100*14)+(50000/100*18)+(250000/100*24)+((30/100)*(-A855+F855))</f>
        <v>-63375</v>
      </c>
      <c r="H855" s="36">
        <f>(12500/100*1)+(12500/100*2)+(25000/100*3)+(50000/100*5)+(50000/100*8)+(50000/100*14)+(50000/100*18)+(250000/100*24)+((30/100)*(-A855+F855))</f>
        <v>-66375</v>
      </c>
      <c r="I855" s="36"/>
      <c r="J855" s="36"/>
      <c r="K855" s="36"/>
      <c r="L855" s="36"/>
      <c r="M855" s="7"/>
      <c r="N855" s="7"/>
      <c r="O855" s="7"/>
      <c r="P855" s="7"/>
      <c r="Q855" s="7"/>
      <c r="R855" s="7"/>
      <c r="S855" s="7"/>
      <c r="T855" s="7"/>
    </row>
    <row r="856" spans="1:20">
      <c r="A856" s="42" t="s">
        <v>14</v>
      </c>
      <c r="B856" s="42"/>
      <c r="C856" s="42"/>
      <c r="D856" s="42"/>
      <c r="E856" s="36"/>
      <c r="F856" s="36"/>
      <c r="G856" s="36">
        <f>VLOOKUP(F844,F847:G855,2,FALSE)</f>
        <v>0</v>
      </c>
      <c r="H856" s="36">
        <f>VLOOKUP(F844,F847:H855,3,FALSE)</f>
        <v>0</v>
      </c>
      <c r="I856" s="36"/>
      <c r="J856" s="36"/>
      <c r="K856" s="36"/>
      <c r="L856" s="43"/>
      <c r="M856" s="7"/>
      <c r="N856" s="7"/>
      <c r="O856" s="7">
        <f>SUM(O847:O855)</f>
        <v>0</v>
      </c>
      <c r="P856" s="7"/>
      <c r="Q856" s="7"/>
      <c r="R856" s="7"/>
      <c r="S856" s="7"/>
      <c r="T856" s="7">
        <f>SUM(T847:T855)</f>
        <v>0</v>
      </c>
    </row>
    <row r="857" spans="1:20">
      <c r="A857" s="36"/>
      <c r="B857" s="36"/>
      <c r="C857" s="36"/>
      <c r="D857" s="36"/>
      <c r="E857" s="36"/>
      <c r="F857" s="36"/>
      <c r="G857" s="36"/>
      <c r="H857" s="36"/>
      <c r="I857" s="36"/>
      <c r="J857" s="36"/>
      <c r="K857" s="36"/>
      <c r="L857" s="43"/>
      <c r="M857" s="7"/>
      <c r="N857" s="7"/>
      <c r="O857" s="29"/>
      <c r="P857" s="7"/>
      <c r="Q857" s="7"/>
      <c r="R857" s="7"/>
      <c r="S857" s="7"/>
      <c r="T857" s="7"/>
    </row>
    <row r="858" spans="1:20">
      <c r="A858" s="36"/>
      <c r="B858" s="36"/>
      <c r="C858" s="36"/>
      <c r="D858" s="36"/>
      <c r="E858" s="36"/>
      <c r="F858" s="36"/>
      <c r="G858" s="36"/>
      <c r="H858" s="36"/>
      <c r="I858" s="36"/>
      <c r="J858" s="36"/>
      <c r="K858" s="36"/>
      <c r="L858" s="43"/>
      <c r="M858" s="7"/>
      <c r="N858" s="7"/>
      <c r="O858" s="29"/>
      <c r="P858" s="7"/>
      <c r="Q858" s="7"/>
      <c r="R858" s="7"/>
      <c r="S858" s="7"/>
      <c r="T858" s="7"/>
    </row>
    <row r="859" spans="1:20">
      <c r="A859" s="37" t="s">
        <v>15</v>
      </c>
      <c r="B859" s="37"/>
      <c r="C859" s="37"/>
      <c r="D859" s="37"/>
      <c r="E859" s="36"/>
      <c r="F859" s="36"/>
      <c r="G859" s="38" t="s">
        <v>16</v>
      </c>
      <c r="H859" s="38" t="s">
        <v>17</v>
      </c>
      <c r="I859" s="35" t="s">
        <v>18</v>
      </c>
      <c r="J859" s="35" t="s">
        <v>19</v>
      </c>
      <c r="K859" s="35" t="s">
        <v>20</v>
      </c>
      <c r="L859" s="35" t="s">
        <v>21</v>
      </c>
      <c r="M859" s="7"/>
      <c r="N859" s="7"/>
      <c r="O859" s="29"/>
      <c r="P859" s="7"/>
      <c r="Q859" s="7"/>
      <c r="R859" s="7"/>
      <c r="S859" s="7"/>
      <c r="T859" s="7"/>
    </row>
    <row r="860" spans="1:20">
      <c r="A860" s="36">
        <v>0</v>
      </c>
      <c r="B860" s="36"/>
      <c r="C860" s="36"/>
      <c r="D860" s="36"/>
      <c r="E860" s="36">
        <v>12500</v>
      </c>
      <c r="F860" s="36">
        <f>IF(AND(F844&gt;A860, F844&lt;=E860),F844,0)</f>
        <v>0</v>
      </c>
      <c r="G860" s="36">
        <f>0+(20/100)*(-A860+F860)</f>
        <v>0</v>
      </c>
      <c r="H860" s="36">
        <f>0+(10/100)*(-A860+F860)</f>
        <v>0</v>
      </c>
      <c r="I860" s="36">
        <f>0+(25/100)*(-A860+F860)</f>
        <v>0</v>
      </c>
      <c r="J860" s="36">
        <f>0+(10/100)*(-A860+F860)</f>
        <v>0</v>
      </c>
      <c r="K860" s="36">
        <f>0+(30/100)*(-A860+F860)</f>
        <v>0</v>
      </c>
      <c r="L860" s="36">
        <f>0+(10/100)*(-A860+F860)</f>
        <v>0</v>
      </c>
      <c r="M860" s="7" t="s">
        <v>81</v>
      </c>
      <c r="N860" s="16">
        <f>J852-O856</f>
        <v>0</v>
      </c>
      <c r="O860" s="29"/>
      <c r="P860" s="7" t="s">
        <v>82</v>
      </c>
      <c r="Q860" s="44">
        <f>J852-T856</f>
        <v>0</v>
      </c>
      <c r="R860" s="7"/>
      <c r="S860" s="7"/>
      <c r="T860" s="7"/>
    </row>
    <row r="861" spans="1:20">
      <c r="A861" s="36">
        <f>E860</f>
        <v>12500</v>
      </c>
      <c r="B861" s="36"/>
      <c r="C861" s="36"/>
      <c r="D861" s="36"/>
      <c r="E861" s="36">
        <v>25000</v>
      </c>
      <c r="F861" s="36">
        <f>IF(AND(F844&gt;A861, F844&lt;=E861),F844,0)</f>
        <v>0</v>
      </c>
      <c r="G861" s="36">
        <f>(12500/100*20)+((25/100)*(-A861+F861))</f>
        <v>-625</v>
      </c>
      <c r="H861" s="36">
        <f>(12500/100*10)+((10/100)*(-A861+F861))</f>
        <v>0</v>
      </c>
      <c r="I861" s="36">
        <f>(12500/100*25)+((30/100)*(-A861+F861))</f>
        <v>-625</v>
      </c>
      <c r="J861" s="36">
        <f>(12500/100*10)+((10/100)*(-A861+F861))</f>
        <v>0</v>
      </c>
      <c r="K861" s="36">
        <f>(12500/100*30)+((35/100)*(-A861+F861))</f>
        <v>-625</v>
      </c>
      <c r="L861" s="36">
        <f>(12500/100*10)+((10/100)*(-A861+F861))</f>
        <v>0</v>
      </c>
      <c r="M861" s="7"/>
      <c r="N861" s="7"/>
      <c r="O861" s="7"/>
      <c r="P861" s="7"/>
      <c r="Q861" s="7"/>
      <c r="R861" s="7"/>
      <c r="S861" s="7"/>
      <c r="T861" s="7"/>
    </row>
    <row r="862" spans="1:20">
      <c r="A862" s="36">
        <f>E861</f>
        <v>25000</v>
      </c>
      <c r="B862" s="36"/>
      <c r="C862" s="36"/>
      <c r="D862" s="36"/>
      <c r="E862" s="36">
        <v>75000</v>
      </c>
      <c r="F862" s="36">
        <f>IF(AND(F844&gt;A862, F844&lt;=E862),F844,0)</f>
        <v>0</v>
      </c>
      <c r="G862" s="36">
        <f>(12500/100*20)+(12500/100*25)+((35/100)*(-A862+F862))</f>
        <v>-3125</v>
      </c>
      <c r="H862" s="36">
        <f>(12500/100*10)+(12500/100*10)+((10/100)*(-A862+F862))</f>
        <v>0</v>
      </c>
      <c r="I862" s="36">
        <f>(12500/100*25)+(12500/100*30)+((40/100)*(-A862+F862))</f>
        <v>-3125</v>
      </c>
      <c r="J862" s="36">
        <f>(12500/100*10)+(12500/100*10)+((10/100)*(-A862+F862))</f>
        <v>0</v>
      </c>
      <c r="K862" s="36">
        <f>(12500/100*30)+(12500/100*35)+((50/100)*(-A862+F862))</f>
        <v>-4375</v>
      </c>
      <c r="L862" s="36">
        <f>(12500/100*10)+(12500/100*10)+((10/100)*(-A862+F862))</f>
        <v>0</v>
      </c>
      <c r="M862" s="7"/>
      <c r="N862" s="7"/>
      <c r="O862" s="7">
        <f>(IF(SCHOV!F50="echtgeno(o)t(e)",N860,Q860))</f>
        <v>0</v>
      </c>
      <c r="P862" s="7"/>
      <c r="Q862" s="7"/>
      <c r="R862" s="7"/>
      <c r="S862" s="7"/>
      <c r="T862" s="7"/>
    </row>
    <row r="863" spans="1:20">
      <c r="A863" s="36">
        <f>E862</f>
        <v>75000</v>
      </c>
      <c r="B863" s="36"/>
      <c r="C863" s="36"/>
      <c r="D863" s="36"/>
      <c r="E863" s="36">
        <v>150000</v>
      </c>
      <c r="F863" s="36">
        <f>IF(AND(F844&gt;A863, F844&lt;=E863),F844,0)</f>
        <v>0</v>
      </c>
      <c r="G863" s="36">
        <f>(12500/100*20)+(12500/100*25)+(50000/100*35)+((50/100)*(-A863+F863))</f>
        <v>-14375</v>
      </c>
      <c r="H863" s="36">
        <f>(12500/100*10)+(12500/100*10)+(50000/100*10)+((10/100)*(-A863+F863))</f>
        <v>0</v>
      </c>
      <c r="I863" s="36">
        <f>(12500/100*25)+(12500/100*30)+(50000/100*40)+((55/100)*(-A863+F863))</f>
        <v>-14375</v>
      </c>
      <c r="J863" s="36">
        <f>(12500/100*10)+(12500/100*10)+(50000/100*10)+((10/100)*(-A863+F863))</f>
        <v>0</v>
      </c>
      <c r="K863" s="36">
        <f>(12500/100*30)+(12500/100*35)+(50000/100*50)+((65/100)*(-A863+F863))</f>
        <v>-15625</v>
      </c>
      <c r="L863" s="36">
        <f>(12500/100*10)+(12500/100*10)+(50000/100*10)+((10/100)*(-A863+F863))</f>
        <v>0</v>
      </c>
      <c r="M863" s="7"/>
      <c r="N863" s="7"/>
      <c r="O863" s="7"/>
      <c r="P863" s="7"/>
      <c r="Q863" s="7"/>
      <c r="R863" s="7"/>
      <c r="S863" s="7"/>
      <c r="T863" s="7"/>
    </row>
    <row r="864" spans="1:20">
      <c r="A864" s="36">
        <v>150000</v>
      </c>
      <c r="B864" s="36"/>
      <c r="C864" s="36"/>
      <c r="D864" s="36"/>
      <c r="E864" s="36">
        <v>175000</v>
      </c>
      <c r="F864" s="36">
        <f>IF(AND(F844&gt;A864, F844&lt;=E864),F844,0)</f>
        <v>0</v>
      </c>
      <c r="G864" s="36">
        <f>(12500/100*20)+(12500/100*25)+(50000/100*35)+(75000/100*50)+((50/100)*(-A864+F864))</f>
        <v>-14375</v>
      </c>
      <c r="H864" s="36">
        <f>(12500/100*10)+(12500/100*10)+(50000/100*10)+(75000/100*10)+((50/100)*(-A864+F864))</f>
        <v>-60000</v>
      </c>
      <c r="I864" s="36">
        <f>(12500/100*25)+(12500/100*30)+(50000/100*40)+(75000/100*55)+((55/100)*(-A864+F864))</f>
        <v>-14375</v>
      </c>
      <c r="J864" s="36">
        <f>(12500/100*10)+(12500/100*10)+(50000/100*10)+(75000/100*10)+((55/100)*(-A864+F864))</f>
        <v>-67500</v>
      </c>
      <c r="K864" s="36">
        <f>(12500/100*30)+(12500/100*35)+(50000/100*50)+(75000/100*65)+((65/100)*(-A864+F864))</f>
        <v>-15625</v>
      </c>
      <c r="L864" s="36">
        <f>(12500/100*10)+(12500/100*10)+(50000/100*10)+(75000/100*10)+((65/100)*(-A864+F864))</f>
        <v>-82500</v>
      </c>
      <c r="M864" s="7"/>
      <c r="N864" s="7"/>
      <c r="O864" s="7"/>
      <c r="P864" s="7"/>
      <c r="Q864" s="7"/>
      <c r="R864" s="7"/>
      <c r="S864" s="7"/>
      <c r="T864" s="7"/>
    </row>
    <row r="865" spans="1:20">
      <c r="A865" s="36">
        <v>175000</v>
      </c>
      <c r="B865" s="36"/>
      <c r="C865" s="36"/>
      <c r="D865" s="36"/>
      <c r="E865" s="36">
        <v>999999999</v>
      </c>
      <c r="F865" s="36">
        <f>IF(AND(F844&gt;A865, F844&lt;=E865),F844,0)</f>
        <v>0</v>
      </c>
      <c r="G865" s="36">
        <f>(12500/100*20)+(12500/100*25)+(50000/100*35)+(75000/100*50)+(25000/100*50)+((65/100)*(-A865+F865))</f>
        <v>-40625</v>
      </c>
      <c r="H865" s="36">
        <f>(12500/100*10)+(12500/100*10)+(50000/100*10)+(75000/100*10)+(25000/100*50)+((65/100)*(-A865+F865))</f>
        <v>-86250</v>
      </c>
      <c r="I865" s="36">
        <f>(12500/100*25)+(12500/100*30)+(50000/100*40)+(75000/100*55)+(25000/100*55)+((70/100)*(-A865+F865))</f>
        <v>-40624.999999999985</v>
      </c>
      <c r="J865" s="36">
        <f>(12500/100*10)+(12500/100*10)+(50000/100*10)+(75000/100*10)+(25000/100*55)+((70/100)*(-A865+F865))</f>
        <v>-93749.999999999985</v>
      </c>
      <c r="K865" s="36">
        <f>(12500/100*30)+(12500/100*35)+(50000/100*50)+(75000/100*65)+(25000/100*65)+((80/100)*(-A865+F865))</f>
        <v>-41875</v>
      </c>
      <c r="L865" s="36">
        <f>(12500/100*10)+(12500/100*10)+(50000/100*10)+(75000/100*10)+(25000/100*65)+((80/100)*(-A865+F865))</f>
        <v>-108750</v>
      </c>
      <c r="M865" s="7"/>
      <c r="N865" s="7"/>
      <c r="O865" s="7"/>
      <c r="P865" s="7"/>
      <c r="Q865" s="7"/>
      <c r="R865" s="7"/>
      <c r="S865" s="7"/>
      <c r="T865" s="7"/>
    </row>
    <row r="866" spans="1:20">
      <c r="A866" s="42" t="s">
        <v>14</v>
      </c>
      <c r="B866" s="42"/>
      <c r="C866" s="42"/>
      <c r="D866" s="42"/>
      <c r="E866" s="36"/>
      <c r="F866" s="36"/>
      <c r="G866" s="36">
        <f>VLOOKUP(F844,F860:G865,2,FALSE)</f>
        <v>0</v>
      </c>
      <c r="H866" s="36">
        <f>VLOOKUP(F844,F860:H865,3,FALSE)</f>
        <v>0</v>
      </c>
      <c r="I866" s="36">
        <f>VLOOKUP(F844,F860:I865,4,FALSE)</f>
        <v>0</v>
      </c>
      <c r="J866" s="36">
        <f>VLOOKUP(F844,F860:J865,5,FALSE)</f>
        <v>0</v>
      </c>
      <c r="K866" s="36">
        <f>VLOOKUP(F844,F860:K865,6,FALSE)</f>
        <v>0</v>
      </c>
      <c r="L866" s="36">
        <f>VLOOKUP(F844,F860:L865,7,FALSE)</f>
        <v>0</v>
      </c>
      <c r="M866" s="7"/>
      <c r="N866" s="7"/>
      <c r="O866" s="7"/>
      <c r="P866" s="7"/>
      <c r="Q866" s="7"/>
      <c r="R866" s="7"/>
      <c r="S866" s="7"/>
      <c r="T866" s="7"/>
    </row>
    <row r="867" spans="1:20">
      <c r="A867" s="7"/>
      <c r="B867" s="7"/>
      <c r="C867" s="7"/>
      <c r="D867" s="7"/>
      <c r="E867" s="7"/>
      <c r="F867" s="7"/>
      <c r="G867" s="7"/>
      <c r="H867" s="7"/>
      <c r="I867" s="7"/>
      <c r="J867" s="7"/>
      <c r="K867" s="7"/>
      <c r="L867" s="7"/>
      <c r="M867" s="7"/>
      <c r="N867" s="7"/>
      <c r="O867" s="7"/>
      <c r="P867" s="7"/>
      <c r="Q867" s="7"/>
      <c r="R867" s="7"/>
      <c r="S867" s="7"/>
      <c r="T867" s="7"/>
    </row>
    <row r="944" spans="1:20">
      <c r="A944" s="7"/>
      <c r="B944" s="7"/>
      <c r="C944" s="7"/>
      <c r="D944" s="7"/>
      <c r="E944" s="24"/>
      <c r="F944" s="7"/>
      <c r="G944" s="24"/>
      <c r="H944" s="7"/>
      <c r="I944" s="7"/>
      <c r="J944" s="7">
        <f>IF(AND(SCHOV!E16="bouwgrond",SCHOV!F55="echtgeno(o)t(e)"),H959,0)</f>
        <v>0</v>
      </c>
      <c r="K944" s="7"/>
      <c r="L944" s="7"/>
      <c r="M944" s="7"/>
      <c r="N944" s="7"/>
      <c r="O944" s="7"/>
      <c r="P944" s="7"/>
      <c r="Q944" s="7"/>
      <c r="R944" s="7"/>
      <c r="S944" s="7"/>
      <c r="T944" s="7"/>
    </row>
    <row r="945" spans="1:20">
      <c r="A945" s="7"/>
      <c r="B945" s="7"/>
      <c r="C945" s="7"/>
      <c r="D945" s="7"/>
      <c r="E945" s="24"/>
      <c r="F945" s="7"/>
      <c r="G945" s="24"/>
      <c r="H945" s="7"/>
      <c r="I945" s="7"/>
      <c r="J945" s="7">
        <f>IF(AND(SCHOV!E16="andere",SCHOV!F55="echtgeno(o)t(e)"),G959,0)</f>
        <v>0</v>
      </c>
      <c r="K945" s="7"/>
      <c r="L945" s="7"/>
      <c r="M945" s="7"/>
      <c r="N945" s="7"/>
      <c r="O945" s="7"/>
      <c r="P945" s="7"/>
      <c r="Q945" s="7"/>
      <c r="R945" s="7"/>
      <c r="S945" s="7"/>
      <c r="T945" s="7"/>
    </row>
    <row r="946" spans="1:20">
      <c r="A946" s="35"/>
      <c r="B946" s="35"/>
      <c r="C946" s="35"/>
      <c r="D946" s="35"/>
      <c r="E946" s="36"/>
      <c r="F946" s="37"/>
      <c r="G946" s="36"/>
      <c r="H946" s="36"/>
      <c r="I946" s="38"/>
      <c r="J946" s="39">
        <f>IF(AND(SCHOV!E16="bouwgrond",SCHOV!F55="rechte lijn"),H959,0)</f>
        <v>0</v>
      </c>
      <c r="K946" s="38"/>
      <c r="L946" s="40"/>
      <c r="M946" s="7"/>
      <c r="N946" s="7"/>
      <c r="O946" s="7"/>
      <c r="P946" s="7"/>
      <c r="Q946" s="7"/>
      <c r="R946" s="7"/>
      <c r="S946" s="7"/>
      <c r="T946" s="7"/>
    </row>
    <row r="947" spans="1:20">
      <c r="A947" s="36" t="s">
        <v>10</v>
      </c>
      <c r="B947" s="36"/>
      <c r="C947" s="36"/>
      <c r="D947" s="36"/>
      <c r="E947" s="36"/>
      <c r="F947" s="36">
        <f>SCHOV!G57</f>
        <v>0</v>
      </c>
      <c r="G947" s="41"/>
      <c r="H947" s="36"/>
      <c r="I947" s="36"/>
      <c r="J947" s="39">
        <f>IF(AND(SCHOV!E16="andere",SCHOV!F55="rechte lijn"),G959,0)</f>
        <v>0</v>
      </c>
      <c r="K947" s="36"/>
      <c r="L947" s="40"/>
      <c r="M947" s="7"/>
      <c r="N947" s="7"/>
      <c r="O947" s="7"/>
      <c r="P947" s="7"/>
      <c r="Q947" s="7"/>
      <c r="R947" s="7"/>
      <c r="S947" s="7"/>
      <c r="T947" s="7"/>
    </row>
    <row r="948" spans="1:20">
      <c r="A948" s="36"/>
      <c r="B948" s="36"/>
      <c r="C948" s="36"/>
      <c r="D948" s="36"/>
      <c r="E948" s="36"/>
      <c r="F948" s="36"/>
      <c r="G948" s="36"/>
      <c r="H948" s="36"/>
      <c r="I948" s="36"/>
      <c r="J948" s="39">
        <f>IF(AND(SCHOV!E16="bouwgrond",SCHOV!F55="broer/zuster"),H969,0)</f>
        <v>0</v>
      </c>
      <c r="K948" s="36"/>
      <c r="L948" s="36"/>
      <c r="M948" s="7"/>
      <c r="N948" s="7" t="s">
        <v>77</v>
      </c>
      <c r="O948" s="7"/>
      <c r="P948" s="7"/>
      <c r="Q948" s="7"/>
      <c r="R948" s="7"/>
      <c r="S948" s="7"/>
      <c r="T948" s="7"/>
    </row>
    <row r="949" spans="1:20">
      <c r="A949" s="37" t="s">
        <v>11</v>
      </c>
      <c r="B949" s="37"/>
      <c r="C949" s="37"/>
      <c r="D949" s="37"/>
      <c r="E949" s="36"/>
      <c r="F949" s="36"/>
      <c r="G949" s="38" t="s">
        <v>12</v>
      </c>
      <c r="H949" s="38" t="s">
        <v>13</v>
      </c>
      <c r="I949" s="36"/>
      <c r="J949" s="39">
        <f>IF(AND(SCHOV!E16="andere",SCHOV!F55="broer/zuster"),G969,0)</f>
        <v>0</v>
      </c>
      <c r="K949" s="36"/>
      <c r="L949" s="36"/>
      <c r="M949" s="7"/>
      <c r="N949" s="7"/>
      <c r="O949" s="7"/>
      <c r="P949" s="7"/>
      <c r="Q949" s="7"/>
      <c r="R949" s="7"/>
      <c r="S949" s="7"/>
      <c r="T949" s="7"/>
    </row>
    <row r="950" spans="1:20">
      <c r="A950" s="36">
        <v>0</v>
      </c>
      <c r="B950" s="36"/>
      <c r="C950" s="36"/>
      <c r="D950" s="36"/>
      <c r="E950" s="36">
        <v>12500</v>
      </c>
      <c r="F950" s="36">
        <f>IF(AND(F947&gt;A950, F947&lt;=E950),F947,0)</f>
        <v>0</v>
      </c>
      <c r="G950" s="36">
        <f>0+(3/100)*(-A950+F950)</f>
        <v>0</v>
      </c>
      <c r="H950" s="36">
        <f>0+(1/100)*(-A950+F950)</f>
        <v>0</v>
      </c>
      <c r="I950" s="36"/>
      <c r="J950" s="39">
        <f>IF(AND(SCHOV!E16="bouwgrond",SCHOV!F55="oom-tante/neef-nicht"),J969,0)</f>
        <v>0</v>
      </c>
      <c r="K950" s="36"/>
      <c r="L950" s="36"/>
      <c r="M950" s="7" t="s">
        <v>78</v>
      </c>
      <c r="N950" s="7">
        <f>IF(SCHOV!I55=3,J955*12%,0)</f>
        <v>0</v>
      </c>
      <c r="O950" s="7">
        <f>IF(N950&gt;372,372,N950)</f>
        <v>0</v>
      </c>
      <c r="P950" s="7"/>
      <c r="Q950" s="7" t="s">
        <v>79</v>
      </c>
      <c r="R950" s="7">
        <f>J955*6%</f>
        <v>0</v>
      </c>
      <c r="S950" s="7">
        <f>IF(R950&gt;186,186,R950)</f>
        <v>0</v>
      </c>
      <c r="T950" s="7">
        <f>IF(SCHOV!I55=3,S950,0)</f>
        <v>0</v>
      </c>
    </row>
    <row r="951" spans="1:20">
      <c r="A951" s="36">
        <f t="shared" ref="A951:A958" si="10">E950</f>
        <v>12500</v>
      </c>
      <c r="B951" s="36"/>
      <c r="C951" s="36"/>
      <c r="D951" s="36"/>
      <c r="E951" s="36">
        <v>25000</v>
      </c>
      <c r="F951" s="36">
        <f>IF(AND(F947&gt;A951, F947&lt;=E951),F947,0)</f>
        <v>0</v>
      </c>
      <c r="G951" s="36">
        <f>(12500/100*3)+(4/100)*(-A951+F951)</f>
        <v>-125</v>
      </c>
      <c r="H951" s="36">
        <f>(12500/100*1)+(2/100)*(-A951+F951)</f>
        <v>-125</v>
      </c>
      <c r="I951" s="36"/>
      <c r="J951" s="39">
        <f>IF(AND(SCHOV!E16="andere",SCHOV!F55="oom-tante/neef-nicht"),I969,0)</f>
        <v>0</v>
      </c>
      <c r="K951" s="36"/>
      <c r="L951" s="7"/>
      <c r="M951" s="7"/>
      <c r="N951" s="7">
        <f>IF(SCHOV!I55=4,J955*16%,0)</f>
        <v>0</v>
      </c>
      <c r="O951" s="7">
        <f>IF(N951&gt;496,496,N951)</f>
        <v>0</v>
      </c>
      <c r="P951" s="7"/>
      <c r="Q951" s="7" t="s">
        <v>80</v>
      </c>
      <c r="R951" s="7">
        <f>J955*8%</f>
        <v>0</v>
      </c>
      <c r="S951" s="7">
        <f>IF(R951&gt;248,248,R951)</f>
        <v>0</v>
      </c>
      <c r="T951" s="7">
        <f>IF(SCHOV!I55=4,S951,0)</f>
        <v>0</v>
      </c>
    </row>
    <row r="952" spans="1:20">
      <c r="A952" s="36">
        <f t="shared" si="10"/>
        <v>25000</v>
      </c>
      <c r="B952" s="36"/>
      <c r="C952" s="36"/>
      <c r="D952" s="36"/>
      <c r="E952" s="36">
        <v>50000</v>
      </c>
      <c r="F952" s="36">
        <f>IF(AND(F947&gt;A952, F947&lt;=E952),F947,0)</f>
        <v>0</v>
      </c>
      <c r="G952" s="36">
        <f>(12500/100*3)+(12500/100*4)+((5/100)*(-A952+F952))</f>
        <v>-375</v>
      </c>
      <c r="H952" s="36">
        <f>(12500/100*1)+(12500/100*2)+((3/100)*(-A952+F952))</f>
        <v>-375</v>
      </c>
      <c r="I952" s="36"/>
      <c r="J952" s="39">
        <f>IF(AND(SCHOV!E16="bouwgrond",SCHOV!F55="vreemden"),L969,0)</f>
        <v>0</v>
      </c>
      <c r="K952" s="36"/>
      <c r="L952" s="36"/>
      <c r="M952" s="7"/>
      <c r="N952" s="7">
        <f>IF(SCHOV!I55=5,J955*20%,0)</f>
        <v>0</v>
      </c>
      <c r="O952" s="7">
        <f>IF(N952&gt;620,620,N952)</f>
        <v>0</v>
      </c>
      <c r="P952" s="7"/>
      <c r="Q952" s="7"/>
      <c r="R952" s="7">
        <f>J955*10%</f>
        <v>0</v>
      </c>
      <c r="S952" s="7">
        <f>IF(R952&gt;310,310,R952)</f>
        <v>0</v>
      </c>
      <c r="T952" s="7">
        <f>IF(SCHOV!I55=5,S952,0)</f>
        <v>0</v>
      </c>
    </row>
    <row r="953" spans="1:20">
      <c r="A953" s="36">
        <f t="shared" si="10"/>
        <v>50000</v>
      </c>
      <c r="B953" s="36"/>
      <c r="C953" s="36"/>
      <c r="D953" s="36"/>
      <c r="E953" s="36">
        <v>100000</v>
      </c>
      <c r="F953" s="36">
        <f>IF(AND(F947&gt;A953, F947&lt;=E953),F947,0)</f>
        <v>0</v>
      </c>
      <c r="G953" s="36">
        <f>(12500/100*3)+(12500/100*4)+(25000/100*5)+((7/100)*(-A953+F953))</f>
        <v>-1375.0000000000005</v>
      </c>
      <c r="H953" s="36">
        <f>(12500/100*1)+(12500/100*2)+(25000/100*3)+((5/100)*(-A953+F953))</f>
        <v>-1375</v>
      </c>
      <c r="I953" s="36"/>
      <c r="J953" s="39">
        <f>IF(AND(SCHOV!E16="andere",SCHOV!F55="vreemden"),K969,0)</f>
        <v>0</v>
      </c>
      <c r="K953" s="36"/>
      <c r="L953" s="36"/>
      <c r="M953" s="7"/>
      <c r="N953" s="7">
        <f>IF(SCHOV!I55=6,J955*24%,0)</f>
        <v>0</v>
      </c>
      <c r="O953" s="7">
        <f>IF(N953&gt;744,744,N953)</f>
        <v>0</v>
      </c>
      <c r="P953" s="7"/>
      <c r="Q953" s="7"/>
      <c r="R953" s="7">
        <f>J955*12%</f>
        <v>0</v>
      </c>
      <c r="S953" s="7">
        <f>IF(R953&gt;372,372,R953)</f>
        <v>0</v>
      </c>
      <c r="T953" s="7">
        <f>IF(SCHOV!I55=6,S953,0)</f>
        <v>0</v>
      </c>
    </row>
    <row r="954" spans="1:20">
      <c r="A954" s="36">
        <f t="shared" si="10"/>
        <v>100000</v>
      </c>
      <c r="B954" s="36"/>
      <c r="C954" s="36"/>
      <c r="D954" s="36"/>
      <c r="E954" s="36">
        <v>150000</v>
      </c>
      <c r="F954" s="36">
        <f>IF(AND(F947&gt;A954, F947&lt;=E954),F947,0)</f>
        <v>0</v>
      </c>
      <c r="G954" s="36">
        <f>(12500/100*3)+(12500/100*4)+(25000/100*5)+(50000/100*7)+((10/100)*(-A954+F954))</f>
        <v>-4375</v>
      </c>
      <c r="H954" s="36">
        <f>(12500/100*1)+(12500/100*2)+(25000/100*3)+(50000/100*5)+((8/100)*(-A954+F954))</f>
        <v>-4375</v>
      </c>
      <c r="I954" s="36"/>
      <c r="J954" s="36"/>
      <c r="K954" s="36"/>
      <c r="L954" s="36"/>
      <c r="M954" s="7"/>
      <c r="N954" s="7">
        <f>IF(SCHOV!I55=7,J955*28%,0)</f>
        <v>0</v>
      </c>
      <c r="O954" s="7">
        <f>IF(N954&gt;868,868,N954)</f>
        <v>0</v>
      </c>
      <c r="P954" s="7"/>
      <c r="Q954" s="7"/>
      <c r="R954" s="7">
        <f>J955*14%</f>
        <v>0</v>
      </c>
      <c r="S954" s="7">
        <f>IF(R954&gt;434,434,R954)</f>
        <v>0</v>
      </c>
      <c r="T954" s="7">
        <f>IF(SCHOV!I55=7,S954,0)</f>
        <v>0</v>
      </c>
    </row>
    <row r="955" spans="1:20">
      <c r="A955" s="36">
        <f t="shared" si="10"/>
        <v>150000</v>
      </c>
      <c r="B955" s="36"/>
      <c r="C955" s="36"/>
      <c r="D955" s="36"/>
      <c r="E955" s="36">
        <v>200000</v>
      </c>
      <c r="F955" s="36">
        <f>IF(AND(F947&gt;A955, F947&lt;=E955),F947,0)</f>
        <v>0</v>
      </c>
      <c r="G955" s="36">
        <f>(12500/100*3)+(12500/100*4)+(25000/100*5)+(50000/100*7)+(50000/100*10)+((14/100)*(-A955+F955))</f>
        <v>-10375.000000000004</v>
      </c>
      <c r="H955" s="36">
        <f>(12500/100*1)+(12500/100*2)+(25000/100*3)+(50000/100*5)+(50000/100*8)+((14/100)*(-A955+F955))</f>
        <v>-13375.000000000004</v>
      </c>
      <c r="I955" s="36"/>
      <c r="J955" s="36">
        <f>SUM(J944:J953)</f>
        <v>0</v>
      </c>
      <c r="K955" s="36"/>
      <c r="L955" s="36"/>
      <c r="M955" s="7"/>
      <c r="N955" s="7">
        <f>IF(SCHOV!I55=8,J955*32%,0)</f>
        <v>0</v>
      </c>
      <c r="O955" s="7">
        <f>IF(N955&gt;992,992,N955)</f>
        <v>0</v>
      </c>
      <c r="P955" s="7"/>
      <c r="Q955" s="7"/>
      <c r="R955" s="7">
        <f>J955*16%</f>
        <v>0</v>
      </c>
      <c r="S955" s="7">
        <f>IF(R955&gt;496,496,R955)</f>
        <v>0</v>
      </c>
      <c r="T955" s="7">
        <f>IF(SCHOV!I55=8,S955,0)</f>
        <v>0</v>
      </c>
    </row>
    <row r="956" spans="1:20">
      <c r="A956" s="36">
        <f t="shared" si="10"/>
        <v>200000</v>
      </c>
      <c r="B956" s="36"/>
      <c r="C956" s="36"/>
      <c r="D956" s="36"/>
      <c r="E956" s="36">
        <v>250000</v>
      </c>
      <c r="F956" s="36">
        <f>IF(AND(F947&gt;A956, F947&lt;=E956),F947,0)</f>
        <v>0</v>
      </c>
      <c r="G956" s="36">
        <f>(12500/100*3)+(12500/100*4)+(25000/100*5)+(50000/100*7)+(50000/100*10)+(50000/100*14)+((18/100)*(-A956+F956))</f>
        <v>-18375</v>
      </c>
      <c r="H956" s="36">
        <f>(12500/100*1)+(12500/100*2)+(25000/100*3)+(50000/100*5)+(50000/100*8)+(50000/100*14)+((18/100)*(-A956+F956))</f>
        <v>-21375</v>
      </c>
      <c r="I956" s="36"/>
      <c r="J956" s="36"/>
      <c r="K956" s="36"/>
      <c r="L956" s="36"/>
      <c r="M956" s="7"/>
      <c r="N956" s="7">
        <f>IF(SCHOV!I55=9,J955*36%,0)</f>
        <v>0</v>
      </c>
      <c r="O956" s="7">
        <f>IF(N956&gt;1116,1116,N956)</f>
        <v>0</v>
      </c>
      <c r="P956" s="7"/>
      <c r="Q956" s="7"/>
      <c r="R956" s="7">
        <f>J955*18%</f>
        <v>0</v>
      </c>
      <c r="S956" s="7">
        <f>IF(R956&gt;558,558,R956)</f>
        <v>0</v>
      </c>
      <c r="T956" s="7">
        <f>IF(SCHOV!I55=9,S956,0)</f>
        <v>0</v>
      </c>
    </row>
    <row r="957" spans="1:20">
      <c r="A957" s="36">
        <f t="shared" si="10"/>
        <v>250000</v>
      </c>
      <c r="B957" s="36"/>
      <c r="C957" s="36"/>
      <c r="D957" s="36"/>
      <c r="E957" s="36">
        <v>500000</v>
      </c>
      <c r="F957" s="36">
        <f>IF(AND(F947&gt;A957, F947&lt;=E957),F947,0)</f>
        <v>0</v>
      </c>
      <c r="G957" s="36">
        <f>(12500/100*3)+(12500/100*4)+(25000/100*5)+(50000/100*7)+(50000/100*10)+(50000/100*14)+(50000/100*18)+((24/100)*(-A957+F957))</f>
        <v>-33375</v>
      </c>
      <c r="H957" s="36">
        <f>(12500/100*1)+(12500/100*2)+(25000/100*3)+(50000/100*5)+(50000/100*8)+(50000/100*14)+(50000/100*18)+((24/100)*(-A957+F957))</f>
        <v>-36375</v>
      </c>
      <c r="I957" s="36"/>
      <c r="J957" s="36"/>
      <c r="K957" s="36"/>
      <c r="L957" s="36"/>
      <c r="M957" s="7"/>
      <c r="N957" s="7">
        <f>IF(SCHOV!I55=10,J955*40%,0)</f>
        <v>0</v>
      </c>
      <c r="O957" s="7">
        <f>IF(N957&gt;1240,1240,N957)</f>
        <v>0</v>
      </c>
      <c r="P957" s="7"/>
      <c r="Q957" s="7"/>
      <c r="R957" s="7">
        <f>J955*20%</f>
        <v>0</v>
      </c>
      <c r="S957" s="7">
        <f>IF(R957&gt;620,620,R957)</f>
        <v>0</v>
      </c>
      <c r="T957" s="7">
        <f>IF(SCHOV!I55=10,S957,0)</f>
        <v>0</v>
      </c>
    </row>
    <row r="958" spans="1:20">
      <c r="A958" s="36">
        <f t="shared" si="10"/>
        <v>500000</v>
      </c>
      <c r="B958" s="36"/>
      <c r="C958" s="36"/>
      <c r="D958" s="36"/>
      <c r="E958" s="36">
        <v>999999999</v>
      </c>
      <c r="F958" s="36">
        <f>IF(AND(F947&gt;A958, F947&lt;=E958),F947,0)</f>
        <v>0</v>
      </c>
      <c r="G958" s="36">
        <f>(12500/100*3)+(12500/100*4)+(25000/100*5)+(50000/100*7)+(50000/100*10)+(50000/100*14)+(50000/100*18)+(250000/100*24)+((30/100)*(-A958+F958))</f>
        <v>-63375</v>
      </c>
      <c r="H958" s="36">
        <f>(12500/100*1)+(12500/100*2)+(25000/100*3)+(50000/100*5)+(50000/100*8)+(50000/100*14)+(50000/100*18)+(250000/100*24)+((30/100)*(-A958+F958))</f>
        <v>-66375</v>
      </c>
      <c r="I958" s="36"/>
      <c r="J958" s="36"/>
      <c r="K958" s="36"/>
      <c r="L958" s="36"/>
      <c r="M958" s="7"/>
      <c r="N958" s="7"/>
      <c r="O958" s="7"/>
      <c r="P958" s="7"/>
      <c r="Q958" s="7"/>
      <c r="R958" s="7"/>
      <c r="S958" s="7"/>
      <c r="T958" s="7"/>
    </row>
    <row r="959" spans="1:20">
      <c r="A959" s="42" t="s">
        <v>14</v>
      </c>
      <c r="B959" s="42"/>
      <c r="C959" s="42"/>
      <c r="D959" s="42"/>
      <c r="E959" s="36"/>
      <c r="F959" s="36"/>
      <c r="G959" s="36">
        <f>VLOOKUP(F947,F950:G958,2,FALSE)</f>
        <v>0</v>
      </c>
      <c r="H959" s="36">
        <f>VLOOKUP(F947,F950:H958,3,FALSE)</f>
        <v>0</v>
      </c>
      <c r="I959" s="36"/>
      <c r="J959" s="36"/>
      <c r="K959" s="36"/>
      <c r="L959" s="43"/>
      <c r="M959" s="7"/>
      <c r="N959" s="7"/>
      <c r="O959" s="7">
        <f>SUM(O950:O958)</f>
        <v>0</v>
      </c>
      <c r="P959" s="7"/>
      <c r="Q959" s="7"/>
      <c r="R959" s="7"/>
      <c r="S959" s="7"/>
      <c r="T959" s="7">
        <f>SUM(T950:T958)</f>
        <v>0</v>
      </c>
    </row>
    <row r="960" spans="1:20">
      <c r="A960" s="36"/>
      <c r="B960" s="36"/>
      <c r="C960" s="36"/>
      <c r="D960" s="36"/>
      <c r="E960" s="36"/>
      <c r="F960" s="36"/>
      <c r="G960" s="36"/>
      <c r="H960" s="36"/>
      <c r="I960" s="36"/>
      <c r="J960" s="36"/>
      <c r="K960" s="36"/>
      <c r="L960" s="43"/>
      <c r="M960" s="7"/>
      <c r="N960" s="7"/>
      <c r="O960" s="29"/>
      <c r="P960" s="7"/>
      <c r="Q960" s="7"/>
      <c r="R960" s="7"/>
      <c r="S960" s="7"/>
      <c r="T960" s="7"/>
    </row>
    <row r="961" spans="1:20">
      <c r="A961" s="36"/>
      <c r="B961" s="36"/>
      <c r="C961" s="36"/>
      <c r="D961" s="36"/>
      <c r="E961" s="36"/>
      <c r="F961" s="36"/>
      <c r="G961" s="36"/>
      <c r="H961" s="36"/>
      <c r="I961" s="36"/>
      <c r="J961" s="36"/>
      <c r="K961" s="36"/>
      <c r="L961" s="43"/>
      <c r="M961" s="7"/>
      <c r="N961" s="7"/>
      <c r="O961" s="29"/>
      <c r="P961" s="7"/>
      <c r="Q961" s="7"/>
      <c r="R961" s="7"/>
      <c r="S961" s="7"/>
      <c r="T961" s="7"/>
    </row>
    <row r="962" spans="1:20">
      <c r="A962" s="37" t="s">
        <v>15</v>
      </c>
      <c r="B962" s="37"/>
      <c r="C962" s="37"/>
      <c r="D962" s="37"/>
      <c r="E962" s="36"/>
      <c r="F962" s="36"/>
      <c r="G962" s="38" t="s">
        <v>16</v>
      </c>
      <c r="H962" s="38" t="s">
        <v>17</v>
      </c>
      <c r="I962" s="35" t="s">
        <v>18</v>
      </c>
      <c r="J962" s="35" t="s">
        <v>19</v>
      </c>
      <c r="K962" s="35" t="s">
        <v>20</v>
      </c>
      <c r="L962" s="35" t="s">
        <v>21</v>
      </c>
      <c r="M962" s="7"/>
      <c r="N962" s="7"/>
      <c r="O962" s="29"/>
      <c r="P962" s="7"/>
      <c r="Q962" s="7"/>
      <c r="R962" s="7"/>
      <c r="S962" s="7"/>
      <c r="T962" s="7"/>
    </row>
    <row r="963" spans="1:20">
      <c r="A963" s="36">
        <v>0</v>
      </c>
      <c r="B963" s="36"/>
      <c r="C963" s="36"/>
      <c r="D963" s="36"/>
      <c r="E963" s="36">
        <v>12500</v>
      </c>
      <c r="F963" s="36">
        <f>IF(AND(F947&gt;A963, F947&lt;=E963),F947,0)</f>
        <v>0</v>
      </c>
      <c r="G963" s="36">
        <f>0+(20/100)*(-A963+F963)</f>
        <v>0</v>
      </c>
      <c r="H963" s="36">
        <f>0+(10/100)*(-A963+F963)</f>
        <v>0</v>
      </c>
      <c r="I963" s="36">
        <f>0+(25/100)*(-A963+F963)</f>
        <v>0</v>
      </c>
      <c r="J963" s="36">
        <f>0+(10/100)*(-A963+F963)</f>
        <v>0</v>
      </c>
      <c r="K963" s="36">
        <f>0+(30/100)*(-A963+F963)</f>
        <v>0</v>
      </c>
      <c r="L963" s="36">
        <f>0+(10/100)*(-A963+F963)</f>
        <v>0</v>
      </c>
      <c r="M963" s="7" t="s">
        <v>81</v>
      </c>
      <c r="N963" s="16">
        <f>J955-O959</f>
        <v>0</v>
      </c>
      <c r="O963" s="29"/>
      <c r="P963" s="7" t="s">
        <v>82</v>
      </c>
      <c r="Q963" s="44">
        <f>J955-T959</f>
        <v>0</v>
      </c>
      <c r="R963" s="7"/>
      <c r="S963" s="7"/>
      <c r="T963" s="7"/>
    </row>
    <row r="964" spans="1:20">
      <c r="A964" s="36">
        <f>E963</f>
        <v>12500</v>
      </c>
      <c r="B964" s="36"/>
      <c r="C964" s="36"/>
      <c r="D964" s="36"/>
      <c r="E964" s="36">
        <v>25000</v>
      </c>
      <c r="F964" s="36">
        <f>IF(AND(F947&gt;A964, F947&lt;=E964),F947,0)</f>
        <v>0</v>
      </c>
      <c r="G964" s="36">
        <f>(12500/100*20)+((25/100)*(-A964+F964))</f>
        <v>-625</v>
      </c>
      <c r="H964" s="36">
        <f>(12500/100*10)+((10/100)*(-A964+F964))</f>
        <v>0</v>
      </c>
      <c r="I964" s="36">
        <f>(12500/100*25)+((30/100)*(-A964+F964))</f>
        <v>-625</v>
      </c>
      <c r="J964" s="36">
        <f>(12500/100*10)+((10/100)*(-A964+F964))</f>
        <v>0</v>
      </c>
      <c r="K964" s="36">
        <f>(12500/100*30)+((35/100)*(-A964+F964))</f>
        <v>-625</v>
      </c>
      <c r="L964" s="36">
        <f>(12500/100*10)+((10/100)*(-A964+F964))</f>
        <v>0</v>
      </c>
      <c r="M964" s="7"/>
      <c r="N964" s="7"/>
      <c r="O964" s="7"/>
      <c r="P964" s="7"/>
      <c r="Q964" s="7"/>
      <c r="R964" s="7"/>
      <c r="S964" s="7"/>
      <c r="T964" s="7"/>
    </row>
    <row r="965" spans="1:20">
      <c r="A965" s="36">
        <f>E964</f>
        <v>25000</v>
      </c>
      <c r="B965" s="36"/>
      <c r="C965" s="36"/>
      <c r="D965" s="36"/>
      <c r="E965" s="36">
        <v>75000</v>
      </c>
      <c r="F965" s="36">
        <f>IF(AND(F947&gt;A965, F947&lt;=E965),F947,0)</f>
        <v>0</v>
      </c>
      <c r="G965" s="36">
        <f>(12500/100*20)+(12500/100*25)+((35/100)*(-A965+F965))</f>
        <v>-3125</v>
      </c>
      <c r="H965" s="36">
        <f>(12500/100*10)+(12500/100*10)+((10/100)*(-A965+F965))</f>
        <v>0</v>
      </c>
      <c r="I965" s="36">
        <f>(12500/100*25)+(12500/100*30)+((40/100)*(-A965+F965))</f>
        <v>-3125</v>
      </c>
      <c r="J965" s="36">
        <f>(12500/100*10)+(12500/100*10)+((10/100)*(-A965+F965))</f>
        <v>0</v>
      </c>
      <c r="K965" s="36">
        <f>(12500/100*30)+(12500/100*35)+((50/100)*(-A965+F965))</f>
        <v>-4375</v>
      </c>
      <c r="L965" s="36">
        <f>(12500/100*10)+(12500/100*10)+((10/100)*(-A965+F965))</f>
        <v>0</v>
      </c>
      <c r="M965" s="7"/>
      <c r="N965" s="7"/>
      <c r="O965" s="7">
        <f>(IF(SCHOV!F55="echtgeno(o)t(e)",N963,Q963))</f>
        <v>0</v>
      </c>
      <c r="P965" s="7"/>
      <c r="Q965" s="7"/>
      <c r="R965" s="7"/>
      <c r="S965" s="7"/>
      <c r="T965" s="7"/>
    </row>
    <row r="966" spans="1:20">
      <c r="A966" s="36">
        <f>E965</f>
        <v>75000</v>
      </c>
      <c r="B966" s="36"/>
      <c r="C966" s="36"/>
      <c r="D966" s="36"/>
      <c r="E966" s="36">
        <v>150000</v>
      </c>
      <c r="F966" s="36">
        <f>IF(AND(F947&gt;A966, F947&lt;=E966),F947,0)</f>
        <v>0</v>
      </c>
      <c r="G966" s="36">
        <f>(12500/100*20)+(12500/100*25)+(50000/100*35)+((50/100)*(-A966+F966))</f>
        <v>-14375</v>
      </c>
      <c r="H966" s="36">
        <f>(12500/100*10)+(12500/100*10)+(50000/100*10)+((10/100)*(-A966+F966))</f>
        <v>0</v>
      </c>
      <c r="I966" s="36">
        <f>(12500/100*25)+(12500/100*30)+(50000/100*40)+((55/100)*(-A966+F966))</f>
        <v>-14375</v>
      </c>
      <c r="J966" s="36">
        <f>(12500/100*10)+(12500/100*10)+(50000/100*10)+((10/100)*(-A966+F966))</f>
        <v>0</v>
      </c>
      <c r="K966" s="36">
        <f>(12500/100*30)+(12500/100*35)+(50000/100*50)+((65/100)*(-A966+F966))</f>
        <v>-15625</v>
      </c>
      <c r="L966" s="36">
        <f>(12500/100*10)+(12500/100*10)+(50000/100*10)+((10/100)*(-A966+F966))</f>
        <v>0</v>
      </c>
      <c r="M966" s="7"/>
      <c r="N966" s="7"/>
      <c r="O966" s="7"/>
      <c r="P966" s="7"/>
      <c r="Q966" s="7"/>
      <c r="R966" s="7"/>
      <c r="S966" s="7"/>
      <c r="T966" s="7"/>
    </row>
    <row r="967" spans="1:20">
      <c r="A967" s="36">
        <v>150000</v>
      </c>
      <c r="B967" s="36"/>
      <c r="C967" s="36"/>
      <c r="D967" s="36"/>
      <c r="E967" s="36">
        <v>175000</v>
      </c>
      <c r="F967" s="36">
        <f>IF(AND(F947&gt;A967, F947&lt;=E967),F947,0)</f>
        <v>0</v>
      </c>
      <c r="G967" s="36">
        <f>(12500/100*20)+(12500/100*25)+(50000/100*35)+(75000/100*50)+((50/100)*(-A967+F967))</f>
        <v>-14375</v>
      </c>
      <c r="H967" s="36">
        <f>(12500/100*10)+(12500/100*10)+(50000/100*10)+(75000/100*10)+((50/100)*(-A967+F967))</f>
        <v>-60000</v>
      </c>
      <c r="I967" s="36">
        <f>(12500/100*25)+(12500/100*30)+(50000/100*40)+(75000/100*55)+((55/100)*(-A967+F967))</f>
        <v>-14375</v>
      </c>
      <c r="J967" s="36">
        <f>(12500/100*10)+(12500/100*10)+(50000/100*10)+(75000/100*10)+((55/100)*(-A967+F967))</f>
        <v>-67500</v>
      </c>
      <c r="K967" s="36">
        <f>(12500/100*30)+(12500/100*35)+(50000/100*50)+(75000/100*65)+((65/100)*(-A967+F967))</f>
        <v>-15625</v>
      </c>
      <c r="L967" s="36">
        <f>(12500/100*10)+(12500/100*10)+(50000/100*10)+(75000/100*10)+((65/100)*(-A967+F967))</f>
        <v>-82500</v>
      </c>
      <c r="M967" s="7"/>
      <c r="N967" s="7"/>
      <c r="O967" s="7"/>
      <c r="P967" s="7"/>
      <c r="Q967" s="7"/>
      <c r="R967" s="7"/>
      <c r="S967" s="7"/>
      <c r="T967" s="7"/>
    </row>
    <row r="968" spans="1:20">
      <c r="A968" s="36">
        <v>175000</v>
      </c>
      <c r="B968" s="36"/>
      <c r="C968" s="36"/>
      <c r="D968" s="36"/>
      <c r="E968" s="36">
        <v>999999999</v>
      </c>
      <c r="F968" s="36">
        <f>IF(AND(F947&gt;A968, F947&lt;=E968),F947,0)</f>
        <v>0</v>
      </c>
      <c r="G968" s="36">
        <f>(12500/100*20)+(12500/100*25)+(50000/100*35)+(75000/100*50)+(25000/100*50)+((65/100)*(-A968+F968))</f>
        <v>-40625</v>
      </c>
      <c r="H968" s="36">
        <f>(12500/100*10)+(12500/100*10)+(50000/100*10)+(75000/100*10)+(25000/100*50)+((65/100)*(-A968+F968))</f>
        <v>-86250</v>
      </c>
      <c r="I968" s="36">
        <f>(12500/100*25)+(12500/100*30)+(50000/100*40)+(75000/100*55)+(25000/100*55)+((70/100)*(-A968+F968))</f>
        <v>-40624.999999999985</v>
      </c>
      <c r="J968" s="36">
        <f>(12500/100*10)+(12500/100*10)+(50000/100*10)+(75000/100*10)+(25000/100*55)+((70/100)*(-A968+F968))</f>
        <v>-93749.999999999985</v>
      </c>
      <c r="K968" s="36">
        <f>(12500/100*30)+(12500/100*35)+(50000/100*50)+(75000/100*65)+(25000/100*65)+((80/100)*(-A968+F968))</f>
        <v>-41875</v>
      </c>
      <c r="L968" s="36">
        <f>(12500/100*10)+(12500/100*10)+(50000/100*10)+(75000/100*10)+(25000/100*65)+((80/100)*(-A968+F968))</f>
        <v>-108750</v>
      </c>
      <c r="M968" s="7"/>
      <c r="N968" s="7"/>
      <c r="O968" s="7"/>
      <c r="P968" s="7"/>
      <c r="Q968" s="7"/>
      <c r="R968" s="7"/>
      <c r="S968" s="7"/>
      <c r="T968" s="7"/>
    </row>
    <row r="969" spans="1:20">
      <c r="A969" s="42" t="s">
        <v>14</v>
      </c>
      <c r="B969" s="42"/>
      <c r="C969" s="42"/>
      <c r="D969" s="42"/>
      <c r="E969" s="36"/>
      <c r="F969" s="36"/>
      <c r="G969" s="36">
        <f>VLOOKUP(F947,F963:G968,2,FALSE)</f>
        <v>0</v>
      </c>
      <c r="H969" s="36">
        <f>VLOOKUP(F947,F963:H968,3,FALSE)</f>
        <v>0</v>
      </c>
      <c r="I969" s="36">
        <f>VLOOKUP(F947,F963:I968,4,FALSE)</f>
        <v>0</v>
      </c>
      <c r="J969" s="36">
        <f>VLOOKUP(F947,F963:J968,5,FALSE)</f>
        <v>0</v>
      </c>
      <c r="K969" s="36">
        <f>VLOOKUP(F947,F963:K968,6,FALSE)</f>
        <v>0</v>
      </c>
      <c r="L969" s="36">
        <f>VLOOKUP(F947,F963:L968,7,FALSE)</f>
        <v>0</v>
      </c>
      <c r="M969" s="7"/>
      <c r="N969" s="7"/>
      <c r="O969" s="7"/>
      <c r="P969" s="7"/>
      <c r="Q969" s="7"/>
      <c r="R969" s="7"/>
      <c r="S969" s="7"/>
      <c r="T969" s="7"/>
    </row>
    <row r="970" spans="1:20">
      <c r="A970" s="7"/>
      <c r="B970" s="7"/>
      <c r="C970" s="7"/>
      <c r="D970" s="7"/>
      <c r="E970" s="7"/>
      <c r="F970" s="7"/>
      <c r="G970" s="7"/>
      <c r="H970" s="7"/>
      <c r="I970" s="7"/>
      <c r="J970" s="7"/>
      <c r="K970" s="7"/>
      <c r="L970" s="7"/>
      <c r="M970" s="7"/>
      <c r="N970" s="7"/>
      <c r="O970" s="7"/>
      <c r="P970" s="7"/>
      <c r="Q970" s="7"/>
      <c r="R970" s="7"/>
      <c r="S970" s="7"/>
      <c r="T970" s="7"/>
    </row>
    <row r="1047" spans="1:20">
      <c r="A1047" s="7"/>
      <c r="B1047" s="7"/>
      <c r="C1047" s="7"/>
      <c r="D1047" s="7"/>
      <c r="E1047" s="24"/>
      <c r="F1047" s="7"/>
      <c r="G1047" s="24"/>
      <c r="H1047" s="7"/>
      <c r="I1047" s="7"/>
      <c r="J1047" s="7">
        <f>IF(AND(SCHOV!E16="bouwgrond",SCHOV!F60="echtgeno(o)t(e)"),H1062,0)</f>
        <v>0</v>
      </c>
      <c r="K1047" s="7"/>
      <c r="L1047" s="7"/>
      <c r="M1047" s="7"/>
      <c r="N1047" s="7"/>
      <c r="O1047" s="7"/>
      <c r="P1047" s="7"/>
      <c r="Q1047" s="7"/>
      <c r="R1047" s="7"/>
      <c r="S1047" s="7"/>
      <c r="T1047" s="7"/>
    </row>
    <row r="1048" spans="1:20">
      <c r="A1048" s="7"/>
      <c r="B1048" s="7"/>
      <c r="C1048" s="7"/>
      <c r="D1048" s="7"/>
      <c r="E1048" s="24"/>
      <c r="F1048" s="7"/>
      <c r="G1048" s="24"/>
      <c r="H1048" s="7"/>
      <c r="I1048" s="7"/>
      <c r="J1048" s="7">
        <f>IF(AND(SCHOV!E16="andere",SCHOV!F60="echtgeno(o)t(e)"),G1062,0)</f>
        <v>0</v>
      </c>
      <c r="K1048" s="7"/>
      <c r="L1048" s="7"/>
      <c r="M1048" s="7"/>
      <c r="N1048" s="7"/>
      <c r="O1048" s="7"/>
      <c r="P1048" s="7"/>
      <c r="Q1048" s="7"/>
      <c r="R1048" s="7"/>
      <c r="S1048" s="7"/>
      <c r="T1048" s="7"/>
    </row>
    <row r="1049" spans="1:20">
      <c r="A1049" s="35"/>
      <c r="B1049" s="35"/>
      <c r="C1049" s="35"/>
      <c r="D1049" s="35"/>
      <c r="E1049" s="36"/>
      <c r="F1049" s="37"/>
      <c r="G1049" s="36"/>
      <c r="H1049" s="36"/>
      <c r="I1049" s="38"/>
      <c r="J1049" s="39">
        <f>IF(AND(SCHOV!E16="bouwgrond",SCHOV!F60="rechte lijn"),H1062,0)</f>
        <v>0</v>
      </c>
      <c r="K1049" s="38"/>
      <c r="L1049" s="40"/>
      <c r="M1049" s="7"/>
      <c r="N1049" s="7"/>
      <c r="O1049" s="7"/>
      <c r="P1049" s="7"/>
      <c r="Q1049" s="7"/>
      <c r="R1049" s="7"/>
      <c r="S1049" s="7"/>
      <c r="T1049" s="7"/>
    </row>
    <row r="1050" spans="1:20">
      <c r="A1050" s="36" t="s">
        <v>10</v>
      </c>
      <c r="B1050" s="36"/>
      <c r="C1050" s="36"/>
      <c r="D1050" s="36"/>
      <c r="E1050" s="36"/>
      <c r="F1050" s="36">
        <f>SCHOV!G62</f>
        <v>0</v>
      </c>
      <c r="G1050" s="41"/>
      <c r="H1050" s="36"/>
      <c r="I1050" s="36"/>
      <c r="J1050" s="39">
        <f>IF(AND(SCHOV!E16="andere",SCHOV!F60="rechte lijn"),G1062,0)</f>
        <v>0</v>
      </c>
      <c r="K1050" s="36"/>
      <c r="L1050" s="40"/>
      <c r="M1050" s="7"/>
      <c r="N1050" s="7"/>
      <c r="O1050" s="7"/>
      <c r="P1050" s="7"/>
      <c r="Q1050" s="7"/>
      <c r="R1050" s="7"/>
      <c r="S1050" s="7"/>
      <c r="T1050" s="7"/>
    </row>
    <row r="1051" spans="1:20">
      <c r="A1051" s="36"/>
      <c r="B1051" s="36"/>
      <c r="C1051" s="36"/>
      <c r="D1051" s="36"/>
      <c r="E1051" s="36"/>
      <c r="F1051" s="36"/>
      <c r="G1051" s="36"/>
      <c r="H1051" s="36"/>
      <c r="I1051" s="36"/>
      <c r="J1051" s="39">
        <f>IF(AND(SCHOV!E16="bouwgrond",SCHOV!F60="broer/zuster"),H1072,0)</f>
        <v>0</v>
      </c>
      <c r="K1051" s="36"/>
      <c r="L1051" s="36"/>
      <c r="M1051" s="7"/>
      <c r="N1051" s="7" t="s">
        <v>77</v>
      </c>
      <c r="O1051" s="7"/>
      <c r="P1051" s="7"/>
      <c r="Q1051" s="7"/>
      <c r="R1051" s="7"/>
      <c r="S1051" s="7"/>
      <c r="T1051" s="7"/>
    </row>
    <row r="1052" spans="1:20">
      <c r="A1052" s="37" t="s">
        <v>11</v>
      </c>
      <c r="B1052" s="37"/>
      <c r="C1052" s="37"/>
      <c r="D1052" s="37"/>
      <c r="E1052" s="36"/>
      <c r="F1052" s="36"/>
      <c r="G1052" s="38" t="s">
        <v>12</v>
      </c>
      <c r="H1052" s="38" t="s">
        <v>13</v>
      </c>
      <c r="I1052" s="36"/>
      <c r="J1052" s="39">
        <f>IF(AND(SCHOV!E16="andere",SCHOV!F60="broer/zuster"),G1072,0)</f>
        <v>0</v>
      </c>
      <c r="K1052" s="36"/>
      <c r="L1052" s="36"/>
      <c r="M1052" s="7"/>
      <c r="N1052" s="7"/>
      <c r="O1052" s="7"/>
      <c r="P1052" s="7"/>
      <c r="Q1052" s="7"/>
      <c r="R1052" s="7"/>
      <c r="S1052" s="7"/>
      <c r="T1052" s="7"/>
    </row>
    <row r="1053" spans="1:20">
      <c r="A1053" s="36">
        <v>0</v>
      </c>
      <c r="B1053" s="36"/>
      <c r="C1053" s="36"/>
      <c r="D1053" s="36"/>
      <c r="E1053" s="36">
        <v>12500</v>
      </c>
      <c r="F1053" s="36">
        <f>IF(AND(F1050&gt;A1053, F1050&lt;=E1053),F1050,0)</f>
        <v>0</v>
      </c>
      <c r="G1053" s="36">
        <f>0+(3/100)*(-A1053+F1053)</f>
        <v>0</v>
      </c>
      <c r="H1053" s="36">
        <f>0+(1/100)*(-A1053+F1053)</f>
        <v>0</v>
      </c>
      <c r="I1053" s="36"/>
      <c r="J1053" s="39">
        <f>IF(AND(SCHOV!E16="bouwgrond",SCHOV!F60="oom-tante/neef-nicht"),J1072,0)</f>
        <v>0</v>
      </c>
      <c r="K1053" s="36"/>
      <c r="L1053" s="36"/>
      <c r="M1053" s="7" t="s">
        <v>78</v>
      </c>
      <c r="N1053" s="7">
        <f>IF(SCHOV!I60=3,J1058*12%,0)</f>
        <v>0</v>
      </c>
      <c r="O1053" s="7">
        <f>IF(N1053&gt;372,372,N1053)</f>
        <v>0</v>
      </c>
      <c r="P1053" s="7"/>
      <c r="Q1053" s="7" t="s">
        <v>79</v>
      </c>
      <c r="R1053" s="7">
        <f>J1058*6%</f>
        <v>0</v>
      </c>
      <c r="S1053" s="7">
        <f>IF(R1053&gt;186,186,R1053)</f>
        <v>0</v>
      </c>
      <c r="T1053" s="7">
        <f>IF(SCHOV!I60=3,S1053,0)</f>
        <v>0</v>
      </c>
    </row>
    <row r="1054" spans="1:20">
      <c r="A1054" s="36">
        <f t="shared" ref="A1054:A1061" si="11">E1053</f>
        <v>12500</v>
      </c>
      <c r="B1054" s="36"/>
      <c r="C1054" s="36"/>
      <c r="D1054" s="36"/>
      <c r="E1054" s="36">
        <v>25000</v>
      </c>
      <c r="F1054" s="36">
        <f>IF(AND(F1050&gt;A1054, F1050&lt;=E1054),F1050,0)</f>
        <v>0</v>
      </c>
      <c r="G1054" s="36">
        <f>(12500/100*3)+(4/100)*(-A1054+F1054)</f>
        <v>-125</v>
      </c>
      <c r="H1054" s="36">
        <f>(12500/100*1)+(2/100)*(-A1054+F1054)</f>
        <v>-125</v>
      </c>
      <c r="I1054" s="36"/>
      <c r="J1054" s="39">
        <f>IF(AND(SCHOV!E16="andere",SCHOV!F60="oom-tante/neef-nicht"),I1072,0)</f>
        <v>0</v>
      </c>
      <c r="K1054" s="36"/>
      <c r="L1054" s="7"/>
      <c r="M1054" s="7"/>
      <c r="N1054" s="7">
        <f>IF(SCHOV!I60=4,J1058*16%,0)</f>
        <v>0</v>
      </c>
      <c r="O1054" s="7">
        <f>IF(N1054&gt;496,496,N1054)</f>
        <v>0</v>
      </c>
      <c r="P1054" s="7"/>
      <c r="Q1054" s="7" t="s">
        <v>80</v>
      </c>
      <c r="R1054" s="7">
        <f>J1058*8%</f>
        <v>0</v>
      </c>
      <c r="S1054" s="7">
        <f>IF(R1054&gt;248,248,R1054)</f>
        <v>0</v>
      </c>
      <c r="T1054" s="7">
        <f>IF(SCHOV!I60=4,S1054,0)</f>
        <v>0</v>
      </c>
    </row>
    <row r="1055" spans="1:20">
      <c r="A1055" s="36">
        <f t="shared" si="11"/>
        <v>25000</v>
      </c>
      <c r="B1055" s="36"/>
      <c r="C1055" s="36"/>
      <c r="D1055" s="36"/>
      <c r="E1055" s="36">
        <v>50000</v>
      </c>
      <c r="F1055" s="36">
        <f>IF(AND(F1050&gt;A1055, F1050&lt;=E1055),F1050,0)</f>
        <v>0</v>
      </c>
      <c r="G1055" s="36">
        <f>(12500/100*3)+(12500/100*4)+((5/100)*(-A1055+F1055))</f>
        <v>-375</v>
      </c>
      <c r="H1055" s="36">
        <f>(12500/100*1)+(12500/100*2)+((3/100)*(-A1055+F1055))</f>
        <v>-375</v>
      </c>
      <c r="I1055" s="36"/>
      <c r="J1055" s="39">
        <f>IF(AND(SCHOV!E16="bouwgrond",SCHOV!F60="vreemden"),L1072,0)</f>
        <v>0</v>
      </c>
      <c r="K1055" s="36"/>
      <c r="L1055" s="36"/>
      <c r="M1055" s="7"/>
      <c r="N1055" s="7">
        <f>IF(SCHOV!I60=5,J1058*20%,0)</f>
        <v>0</v>
      </c>
      <c r="O1055" s="7">
        <f>IF(N1055&gt;620,620,N1055)</f>
        <v>0</v>
      </c>
      <c r="P1055" s="7"/>
      <c r="Q1055" s="7"/>
      <c r="R1055" s="7">
        <f>J1058*10%</f>
        <v>0</v>
      </c>
      <c r="S1055" s="7">
        <f>IF(R1055&gt;310,310,R1055)</f>
        <v>0</v>
      </c>
      <c r="T1055" s="7">
        <f>IF(SCHOV!I60=5,S1055,0)</f>
        <v>0</v>
      </c>
    </row>
    <row r="1056" spans="1:20">
      <c r="A1056" s="36">
        <f t="shared" si="11"/>
        <v>50000</v>
      </c>
      <c r="B1056" s="36"/>
      <c r="C1056" s="36"/>
      <c r="D1056" s="36"/>
      <c r="E1056" s="36">
        <v>100000</v>
      </c>
      <c r="F1056" s="36">
        <f>IF(AND(F1050&gt;A1056, F1050&lt;=E1056),F1050,0)</f>
        <v>0</v>
      </c>
      <c r="G1056" s="36">
        <f>(12500/100*3)+(12500/100*4)+(25000/100*5)+((7/100)*(-A1056+F1056))</f>
        <v>-1375.0000000000005</v>
      </c>
      <c r="H1056" s="36">
        <f>(12500/100*1)+(12500/100*2)+(25000/100*3)+((5/100)*(-A1056+F1056))</f>
        <v>-1375</v>
      </c>
      <c r="I1056" s="36"/>
      <c r="J1056" s="39">
        <f>IF(AND(SCHOV!E16="andere",SCHOV!F60="vreemden"),K1072,0)</f>
        <v>0</v>
      </c>
      <c r="K1056" s="36"/>
      <c r="L1056" s="36"/>
      <c r="M1056" s="7"/>
      <c r="N1056" s="7">
        <f>IF(SCHOV!I60=6,J1058*24%,0)</f>
        <v>0</v>
      </c>
      <c r="O1056" s="7">
        <f>IF(N1056&gt;744,744,N1056)</f>
        <v>0</v>
      </c>
      <c r="P1056" s="7"/>
      <c r="Q1056" s="7"/>
      <c r="R1056" s="7">
        <f>J1058*12%</f>
        <v>0</v>
      </c>
      <c r="S1056" s="7">
        <f>IF(R1056&gt;372,372,R1056)</f>
        <v>0</v>
      </c>
      <c r="T1056" s="7">
        <f>IF(SCHOV!I60=6,S1056,0)</f>
        <v>0</v>
      </c>
    </row>
    <row r="1057" spans="1:20">
      <c r="A1057" s="36">
        <f t="shared" si="11"/>
        <v>100000</v>
      </c>
      <c r="B1057" s="36"/>
      <c r="C1057" s="36"/>
      <c r="D1057" s="36"/>
      <c r="E1057" s="36">
        <v>150000</v>
      </c>
      <c r="F1057" s="36">
        <f>IF(AND(F1050&gt;A1057, F1050&lt;=E1057),F1050,0)</f>
        <v>0</v>
      </c>
      <c r="G1057" s="36">
        <f>(12500/100*3)+(12500/100*4)+(25000/100*5)+(50000/100*7)+((10/100)*(-A1057+F1057))</f>
        <v>-4375</v>
      </c>
      <c r="H1057" s="36">
        <f>(12500/100*1)+(12500/100*2)+(25000/100*3)+(50000/100*5)+((8/100)*(-A1057+F1057))</f>
        <v>-4375</v>
      </c>
      <c r="I1057" s="36"/>
      <c r="J1057" s="36"/>
      <c r="K1057" s="36"/>
      <c r="L1057" s="36"/>
      <c r="M1057" s="7"/>
      <c r="N1057" s="7">
        <f>IF(SCHOV!I60=7,J1058*28%,0)</f>
        <v>0</v>
      </c>
      <c r="O1057" s="7">
        <f>IF(N1057&gt;868,868,N1057)</f>
        <v>0</v>
      </c>
      <c r="P1057" s="7"/>
      <c r="Q1057" s="7"/>
      <c r="R1057" s="7">
        <f>J1058*14%</f>
        <v>0</v>
      </c>
      <c r="S1057" s="7">
        <f>IF(R1057&gt;434,434,R1057)</f>
        <v>0</v>
      </c>
      <c r="T1057" s="7">
        <f>IF(SCHOV!I60=7,S1057,0)</f>
        <v>0</v>
      </c>
    </row>
    <row r="1058" spans="1:20">
      <c r="A1058" s="36">
        <f t="shared" si="11"/>
        <v>150000</v>
      </c>
      <c r="B1058" s="36"/>
      <c r="C1058" s="36"/>
      <c r="D1058" s="36"/>
      <c r="E1058" s="36">
        <v>200000</v>
      </c>
      <c r="F1058" s="36">
        <f>IF(AND(F1050&gt;A1058, F1050&lt;=E1058),F1050,0)</f>
        <v>0</v>
      </c>
      <c r="G1058" s="36">
        <f>(12500/100*3)+(12500/100*4)+(25000/100*5)+(50000/100*7)+(50000/100*10)+((14/100)*(-A1058+F1058))</f>
        <v>-10375.000000000004</v>
      </c>
      <c r="H1058" s="36">
        <f>(12500/100*1)+(12500/100*2)+(25000/100*3)+(50000/100*5)+(50000/100*8)+((14/100)*(-A1058+F1058))</f>
        <v>-13375.000000000004</v>
      </c>
      <c r="I1058" s="36"/>
      <c r="J1058" s="36">
        <f>SUM(J1047:J1056)</f>
        <v>0</v>
      </c>
      <c r="K1058" s="36"/>
      <c r="L1058" s="36"/>
      <c r="M1058" s="7"/>
      <c r="N1058" s="7">
        <f>IF(SCHOV!I60=8,J1058*32%,0)</f>
        <v>0</v>
      </c>
      <c r="O1058" s="7">
        <f>IF(N1058&gt;992,992,N1058)</f>
        <v>0</v>
      </c>
      <c r="P1058" s="7"/>
      <c r="Q1058" s="7"/>
      <c r="R1058" s="7">
        <f>J1058*16%</f>
        <v>0</v>
      </c>
      <c r="S1058" s="7">
        <f>IF(R1058&gt;496,496,R1058)</f>
        <v>0</v>
      </c>
      <c r="T1058" s="7">
        <f>IF(SCHOV!I60=8,S1058,0)</f>
        <v>0</v>
      </c>
    </row>
    <row r="1059" spans="1:20">
      <c r="A1059" s="36">
        <f t="shared" si="11"/>
        <v>200000</v>
      </c>
      <c r="B1059" s="36"/>
      <c r="C1059" s="36"/>
      <c r="D1059" s="36"/>
      <c r="E1059" s="36">
        <v>250000</v>
      </c>
      <c r="F1059" s="36">
        <f>IF(AND(F1050&gt;A1059, F1050&lt;=E1059),F1050,0)</f>
        <v>0</v>
      </c>
      <c r="G1059" s="36">
        <f>(12500/100*3)+(12500/100*4)+(25000/100*5)+(50000/100*7)+(50000/100*10)+(50000/100*14)+((18/100)*(-A1059+F1059))</f>
        <v>-18375</v>
      </c>
      <c r="H1059" s="36">
        <f>(12500/100*1)+(12500/100*2)+(25000/100*3)+(50000/100*5)+(50000/100*8)+(50000/100*14)+((18/100)*(-A1059+F1059))</f>
        <v>-21375</v>
      </c>
      <c r="I1059" s="36"/>
      <c r="J1059" s="36"/>
      <c r="K1059" s="36"/>
      <c r="L1059" s="36"/>
      <c r="M1059" s="7"/>
      <c r="N1059" s="7">
        <f>IF(SCHOV!I60=9,J1058*36%,0)</f>
        <v>0</v>
      </c>
      <c r="O1059" s="7">
        <f>IF(N1059&gt;1116,1116,N1059)</f>
        <v>0</v>
      </c>
      <c r="P1059" s="7"/>
      <c r="Q1059" s="7"/>
      <c r="R1059" s="7">
        <f>J1058*18%</f>
        <v>0</v>
      </c>
      <c r="S1059" s="7">
        <f>IF(R1059&gt;558,558,R1059)</f>
        <v>0</v>
      </c>
      <c r="T1059" s="7">
        <f>IF(SCHOV!I60=9,S1059,0)</f>
        <v>0</v>
      </c>
    </row>
    <row r="1060" spans="1:20">
      <c r="A1060" s="36">
        <f t="shared" si="11"/>
        <v>250000</v>
      </c>
      <c r="B1060" s="36"/>
      <c r="C1060" s="36"/>
      <c r="D1060" s="36"/>
      <c r="E1060" s="36">
        <v>500000</v>
      </c>
      <c r="F1060" s="36">
        <f>IF(AND(F1050&gt;A1060, F1050&lt;=E1060),F1050,0)</f>
        <v>0</v>
      </c>
      <c r="G1060" s="36">
        <f>(12500/100*3)+(12500/100*4)+(25000/100*5)+(50000/100*7)+(50000/100*10)+(50000/100*14)+(50000/100*18)+((24/100)*(-A1060+F1060))</f>
        <v>-33375</v>
      </c>
      <c r="H1060" s="36">
        <f>(12500/100*1)+(12500/100*2)+(25000/100*3)+(50000/100*5)+(50000/100*8)+(50000/100*14)+(50000/100*18)+((24/100)*(-A1060+F1060))</f>
        <v>-36375</v>
      </c>
      <c r="I1060" s="36"/>
      <c r="J1060" s="36"/>
      <c r="K1060" s="36"/>
      <c r="L1060" s="36"/>
      <c r="M1060" s="7"/>
      <c r="N1060" s="7">
        <f>IF(SCHOV!I60=10,J1058*40%,0)</f>
        <v>0</v>
      </c>
      <c r="O1060" s="7">
        <f>IF(N1060&gt;1240,1240,N1060)</f>
        <v>0</v>
      </c>
      <c r="P1060" s="7"/>
      <c r="Q1060" s="7"/>
      <c r="R1060" s="7">
        <f>J1058*20%</f>
        <v>0</v>
      </c>
      <c r="S1060" s="7">
        <f>IF(R1060&gt;620,620,R1060)</f>
        <v>0</v>
      </c>
      <c r="T1060" s="7">
        <f>IF(SCHOV!I60=10,S1060,0)</f>
        <v>0</v>
      </c>
    </row>
    <row r="1061" spans="1:20">
      <c r="A1061" s="36">
        <f t="shared" si="11"/>
        <v>500000</v>
      </c>
      <c r="B1061" s="36"/>
      <c r="C1061" s="36"/>
      <c r="D1061" s="36"/>
      <c r="E1061" s="36">
        <v>999999999</v>
      </c>
      <c r="F1061" s="36">
        <f>IF(AND(F1050&gt;A1061, F1050&lt;=E1061),F1050,0)</f>
        <v>0</v>
      </c>
      <c r="G1061" s="36">
        <f>(12500/100*3)+(12500/100*4)+(25000/100*5)+(50000/100*7)+(50000/100*10)+(50000/100*14)+(50000/100*18)+(250000/100*24)+((30/100)*(-A1061+F1061))</f>
        <v>-63375</v>
      </c>
      <c r="H1061" s="36">
        <f>(12500/100*1)+(12500/100*2)+(25000/100*3)+(50000/100*5)+(50000/100*8)+(50000/100*14)+(50000/100*18)+(250000/100*24)+((30/100)*(-A1061+F1061))</f>
        <v>-66375</v>
      </c>
      <c r="I1061" s="36"/>
      <c r="J1061" s="36"/>
      <c r="K1061" s="36"/>
      <c r="L1061" s="36"/>
      <c r="M1061" s="7"/>
      <c r="N1061" s="7"/>
      <c r="O1061" s="7"/>
      <c r="P1061" s="7"/>
      <c r="Q1061" s="7"/>
      <c r="R1061" s="7"/>
      <c r="S1061" s="7"/>
      <c r="T1061" s="7"/>
    </row>
    <row r="1062" spans="1:20">
      <c r="A1062" s="42" t="s">
        <v>14</v>
      </c>
      <c r="B1062" s="42"/>
      <c r="C1062" s="42"/>
      <c r="D1062" s="42"/>
      <c r="E1062" s="36"/>
      <c r="F1062" s="36"/>
      <c r="G1062" s="36">
        <f>VLOOKUP(F1050,F1053:G1061,2,FALSE)</f>
        <v>0</v>
      </c>
      <c r="H1062" s="36">
        <f>VLOOKUP(F1050,F1053:H1061,3,FALSE)</f>
        <v>0</v>
      </c>
      <c r="I1062" s="36"/>
      <c r="J1062" s="36"/>
      <c r="K1062" s="36"/>
      <c r="L1062" s="43"/>
      <c r="M1062" s="7"/>
      <c r="N1062" s="7"/>
      <c r="O1062" s="7">
        <f>SUM(O1053:O1061)</f>
        <v>0</v>
      </c>
      <c r="P1062" s="7"/>
      <c r="Q1062" s="7"/>
      <c r="R1062" s="7"/>
      <c r="S1062" s="7"/>
      <c r="T1062" s="7">
        <f>SUM(T1053:T1061)</f>
        <v>0</v>
      </c>
    </row>
    <row r="1063" spans="1:20">
      <c r="A1063" s="36"/>
      <c r="B1063" s="36"/>
      <c r="C1063" s="36"/>
      <c r="D1063" s="36"/>
      <c r="E1063" s="36"/>
      <c r="F1063" s="36"/>
      <c r="G1063" s="36"/>
      <c r="H1063" s="36"/>
      <c r="I1063" s="36"/>
      <c r="J1063" s="36"/>
      <c r="K1063" s="36"/>
      <c r="L1063" s="43"/>
      <c r="M1063" s="7"/>
      <c r="N1063" s="7"/>
      <c r="O1063" s="29"/>
      <c r="P1063" s="7"/>
      <c r="Q1063" s="7"/>
      <c r="R1063" s="7"/>
      <c r="S1063" s="7"/>
      <c r="T1063" s="7"/>
    </row>
    <row r="1064" spans="1:20">
      <c r="A1064" s="36"/>
      <c r="B1064" s="36"/>
      <c r="C1064" s="36"/>
      <c r="D1064" s="36"/>
      <c r="E1064" s="36"/>
      <c r="F1064" s="36"/>
      <c r="G1064" s="36"/>
      <c r="H1064" s="36"/>
      <c r="I1064" s="36"/>
      <c r="J1064" s="36"/>
      <c r="K1064" s="36"/>
      <c r="L1064" s="43"/>
      <c r="M1064" s="7"/>
      <c r="N1064" s="7"/>
      <c r="O1064" s="29"/>
      <c r="P1064" s="7"/>
      <c r="Q1064" s="7"/>
      <c r="R1064" s="7"/>
      <c r="S1064" s="7"/>
      <c r="T1064" s="7"/>
    </row>
    <row r="1065" spans="1:20">
      <c r="A1065" s="37" t="s">
        <v>15</v>
      </c>
      <c r="B1065" s="37"/>
      <c r="C1065" s="37"/>
      <c r="D1065" s="37"/>
      <c r="E1065" s="36"/>
      <c r="F1065" s="36"/>
      <c r="G1065" s="38" t="s">
        <v>16</v>
      </c>
      <c r="H1065" s="38" t="s">
        <v>17</v>
      </c>
      <c r="I1065" s="35" t="s">
        <v>18</v>
      </c>
      <c r="J1065" s="35" t="s">
        <v>19</v>
      </c>
      <c r="K1065" s="35" t="s">
        <v>20</v>
      </c>
      <c r="L1065" s="35" t="s">
        <v>21</v>
      </c>
      <c r="M1065" s="7"/>
      <c r="N1065" s="7"/>
      <c r="O1065" s="29"/>
      <c r="P1065" s="7"/>
      <c r="Q1065" s="7"/>
      <c r="R1065" s="7"/>
      <c r="S1065" s="7"/>
      <c r="T1065" s="7"/>
    </row>
    <row r="1066" spans="1:20">
      <c r="A1066" s="36">
        <v>0</v>
      </c>
      <c r="B1066" s="36"/>
      <c r="C1066" s="36"/>
      <c r="D1066" s="36"/>
      <c r="E1066" s="36">
        <v>12500</v>
      </c>
      <c r="F1066" s="36">
        <f>IF(AND(F1050&gt;A1066, F1050&lt;=E1066),F1050,0)</f>
        <v>0</v>
      </c>
      <c r="G1066" s="36">
        <f>0+(20/100)*(-A1066+F1066)</f>
        <v>0</v>
      </c>
      <c r="H1066" s="36">
        <f>0+(10/100)*(-A1066+F1066)</f>
        <v>0</v>
      </c>
      <c r="I1066" s="36">
        <f>0+(25/100)*(-A1066+F1066)</f>
        <v>0</v>
      </c>
      <c r="J1066" s="36">
        <f>0+(10/100)*(-A1066+F1066)</f>
        <v>0</v>
      </c>
      <c r="K1066" s="36">
        <f>0+(30/100)*(-A1066+F1066)</f>
        <v>0</v>
      </c>
      <c r="L1066" s="36">
        <f>0+(10/100)*(-A1066+F1066)</f>
        <v>0</v>
      </c>
      <c r="M1066" s="7" t="s">
        <v>81</v>
      </c>
      <c r="N1066" s="16">
        <f>J1058-O1062</f>
        <v>0</v>
      </c>
      <c r="O1066" s="29"/>
      <c r="P1066" s="7" t="s">
        <v>82</v>
      </c>
      <c r="Q1066" s="44">
        <f>J1058-T1062</f>
        <v>0</v>
      </c>
      <c r="R1066" s="7"/>
      <c r="S1066" s="7"/>
      <c r="T1066" s="7"/>
    </row>
    <row r="1067" spans="1:20">
      <c r="A1067" s="36">
        <f>E1066</f>
        <v>12500</v>
      </c>
      <c r="B1067" s="36"/>
      <c r="C1067" s="36"/>
      <c r="D1067" s="36"/>
      <c r="E1067" s="36">
        <v>25000</v>
      </c>
      <c r="F1067" s="36">
        <f>IF(AND(F1050&gt;A1067, F1050&lt;=E1067),F1050,0)</f>
        <v>0</v>
      </c>
      <c r="G1067" s="36">
        <f>(12500/100*20)+((25/100)*(-A1067+F1067))</f>
        <v>-625</v>
      </c>
      <c r="H1067" s="36">
        <f>(12500/100*10)+((10/100)*(-A1067+F1067))</f>
        <v>0</v>
      </c>
      <c r="I1067" s="36">
        <f>(12500/100*25)+((30/100)*(-A1067+F1067))</f>
        <v>-625</v>
      </c>
      <c r="J1067" s="36">
        <f>(12500/100*10)+((10/100)*(-A1067+F1067))</f>
        <v>0</v>
      </c>
      <c r="K1067" s="36">
        <f>(12500/100*30)+((35/100)*(-A1067+F1067))</f>
        <v>-625</v>
      </c>
      <c r="L1067" s="36">
        <f>(12500/100*10)+((10/100)*(-A1067+F1067))</f>
        <v>0</v>
      </c>
      <c r="M1067" s="7"/>
      <c r="N1067" s="7"/>
      <c r="O1067" s="7"/>
      <c r="P1067" s="7"/>
      <c r="Q1067" s="7"/>
      <c r="R1067" s="7"/>
      <c r="S1067" s="7"/>
      <c r="T1067" s="7"/>
    </row>
    <row r="1068" spans="1:20">
      <c r="A1068" s="36">
        <f>E1067</f>
        <v>25000</v>
      </c>
      <c r="B1068" s="36"/>
      <c r="C1068" s="36"/>
      <c r="D1068" s="36"/>
      <c r="E1068" s="36">
        <v>75000</v>
      </c>
      <c r="F1068" s="36">
        <f>IF(AND(F1050&gt;A1068, F1050&lt;=E1068),F1050,0)</f>
        <v>0</v>
      </c>
      <c r="G1068" s="36">
        <f>(12500/100*20)+(12500/100*25)+((35/100)*(-A1068+F1068))</f>
        <v>-3125</v>
      </c>
      <c r="H1068" s="36">
        <f>(12500/100*10)+(12500/100*10)+((10/100)*(-A1068+F1068))</f>
        <v>0</v>
      </c>
      <c r="I1068" s="36">
        <f>(12500/100*25)+(12500/100*30)+((40/100)*(-A1068+F1068))</f>
        <v>-3125</v>
      </c>
      <c r="J1068" s="36">
        <f>(12500/100*10)+(12500/100*10)+((10/100)*(-A1068+F1068))</f>
        <v>0</v>
      </c>
      <c r="K1068" s="36">
        <f>(12500/100*30)+(12500/100*35)+((50/100)*(-A1068+F1068))</f>
        <v>-4375</v>
      </c>
      <c r="L1068" s="36">
        <f>(12500/100*10)+(12500/100*10)+((10/100)*(-A1068+F1068))</f>
        <v>0</v>
      </c>
      <c r="M1068" s="7"/>
      <c r="N1068" s="7"/>
      <c r="O1068" s="7">
        <f>(IF(SCHOV!F60="echtgeno(o)t(e)",N1066,Q1066))</f>
        <v>0</v>
      </c>
      <c r="P1068" s="7"/>
      <c r="Q1068" s="7"/>
      <c r="R1068" s="7"/>
      <c r="S1068" s="7"/>
      <c r="T1068" s="7"/>
    </row>
    <row r="1069" spans="1:20">
      <c r="A1069" s="36">
        <f>E1068</f>
        <v>75000</v>
      </c>
      <c r="B1069" s="36"/>
      <c r="C1069" s="36"/>
      <c r="D1069" s="36"/>
      <c r="E1069" s="36">
        <v>150000</v>
      </c>
      <c r="F1069" s="36">
        <f>IF(AND(F1050&gt;A1069, F1050&lt;=E1069),F1050,0)</f>
        <v>0</v>
      </c>
      <c r="G1069" s="36">
        <f>(12500/100*20)+(12500/100*25)+(50000/100*35)+((50/100)*(-A1069+F1069))</f>
        <v>-14375</v>
      </c>
      <c r="H1069" s="36">
        <f>(12500/100*10)+(12500/100*10)+(50000/100*10)+((10/100)*(-A1069+F1069))</f>
        <v>0</v>
      </c>
      <c r="I1069" s="36">
        <f>(12500/100*25)+(12500/100*30)+(50000/100*40)+((55/100)*(-A1069+F1069))</f>
        <v>-14375</v>
      </c>
      <c r="J1069" s="36">
        <f>(12500/100*10)+(12500/100*10)+(50000/100*10)+((10/100)*(-A1069+F1069))</f>
        <v>0</v>
      </c>
      <c r="K1069" s="36">
        <f>(12500/100*30)+(12500/100*35)+(50000/100*50)+((65/100)*(-A1069+F1069))</f>
        <v>-15625</v>
      </c>
      <c r="L1069" s="36">
        <f>(12500/100*10)+(12500/100*10)+(50000/100*10)+((10/100)*(-A1069+F1069))</f>
        <v>0</v>
      </c>
      <c r="M1069" s="7"/>
      <c r="N1069" s="7"/>
      <c r="O1069" s="7"/>
      <c r="P1069" s="7"/>
      <c r="Q1069" s="7"/>
      <c r="R1069" s="7"/>
      <c r="S1069" s="7"/>
      <c r="T1069" s="7"/>
    </row>
    <row r="1070" spans="1:20">
      <c r="A1070" s="36">
        <v>150000</v>
      </c>
      <c r="B1070" s="36"/>
      <c r="C1070" s="36"/>
      <c r="D1070" s="36"/>
      <c r="E1070" s="36">
        <v>175000</v>
      </c>
      <c r="F1070" s="36">
        <f>IF(AND(F1050&gt;A1070, F1050&lt;=E1070),F1050,0)</f>
        <v>0</v>
      </c>
      <c r="G1070" s="36">
        <f>(12500/100*20)+(12500/100*25)+(50000/100*35)+(75000/100*50)+((50/100)*(-A1070+F1070))</f>
        <v>-14375</v>
      </c>
      <c r="H1070" s="36">
        <f>(12500/100*10)+(12500/100*10)+(50000/100*10)+(75000/100*10)+((50/100)*(-A1070+F1070))</f>
        <v>-60000</v>
      </c>
      <c r="I1070" s="36">
        <f>(12500/100*25)+(12500/100*30)+(50000/100*40)+(75000/100*55)+((55/100)*(-A1070+F1070))</f>
        <v>-14375</v>
      </c>
      <c r="J1070" s="36">
        <f>(12500/100*10)+(12500/100*10)+(50000/100*10)+(75000/100*10)+((55/100)*(-A1070+F1070))</f>
        <v>-67500</v>
      </c>
      <c r="K1070" s="36">
        <f>(12500/100*30)+(12500/100*35)+(50000/100*50)+(75000/100*65)+((65/100)*(-A1070+F1070))</f>
        <v>-15625</v>
      </c>
      <c r="L1070" s="36">
        <f>(12500/100*10)+(12500/100*10)+(50000/100*10)+(75000/100*10)+((65/100)*(-A1070+F1070))</f>
        <v>-82500</v>
      </c>
      <c r="M1070" s="7"/>
      <c r="N1070" s="7"/>
      <c r="O1070" s="7"/>
      <c r="P1070" s="7"/>
      <c r="Q1070" s="7"/>
      <c r="R1070" s="7"/>
      <c r="S1070" s="7"/>
      <c r="T1070" s="7"/>
    </row>
    <row r="1071" spans="1:20">
      <c r="A1071" s="36">
        <v>175000</v>
      </c>
      <c r="B1071" s="36"/>
      <c r="C1071" s="36"/>
      <c r="D1071" s="36"/>
      <c r="E1071" s="36">
        <v>999999999</v>
      </c>
      <c r="F1071" s="36">
        <f>IF(AND(F1050&gt;A1071, F1050&lt;=E1071),F1050,0)</f>
        <v>0</v>
      </c>
      <c r="G1071" s="36">
        <f>(12500/100*20)+(12500/100*25)+(50000/100*35)+(75000/100*50)+(25000/100*50)+((65/100)*(-A1071+F1071))</f>
        <v>-40625</v>
      </c>
      <c r="H1071" s="36">
        <f>(12500/100*10)+(12500/100*10)+(50000/100*10)+(75000/100*10)+(25000/100*50)+((65/100)*(-A1071+F1071))</f>
        <v>-86250</v>
      </c>
      <c r="I1071" s="36">
        <f>(12500/100*25)+(12500/100*30)+(50000/100*40)+(75000/100*55)+(25000/100*55)+((70/100)*(-A1071+F1071))</f>
        <v>-40624.999999999985</v>
      </c>
      <c r="J1071" s="36">
        <f>(12500/100*10)+(12500/100*10)+(50000/100*10)+(75000/100*10)+(25000/100*55)+((70/100)*(-A1071+F1071))</f>
        <v>-93749.999999999985</v>
      </c>
      <c r="K1071" s="36">
        <f>(12500/100*30)+(12500/100*35)+(50000/100*50)+(75000/100*65)+(25000/100*65)+((80/100)*(-A1071+F1071))</f>
        <v>-41875</v>
      </c>
      <c r="L1071" s="36">
        <f>(12500/100*10)+(12500/100*10)+(50000/100*10)+(75000/100*10)+(25000/100*65)+((80/100)*(-A1071+F1071))</f>
        <v>-108750</v>
      </c>
      <c r="M1071" s="7"/>
      <c r="N1071" s="7"/>
      <c r="O1071" s="7"/>
      <c r="P1071" s="7"/>
      <c r="Q1071" s="7"/>
      <c r="R1071" s="7"/>
      <c r="S1071" s="7"/>
      <c r="T1071" s="7"/>
    </row>
    <row r="1072" spans="1:20">
      <c r="A1072" s="42" t="s">
        <v>14</v>
      </c>
      <c r="B1072" s="42"/>
      <c r="C1072" s="42"/>
      <c r="D1072" s="42"/>
      <c r="E1072" s="36"/>
      <c r="F1072" s="36"/>
      <c r="G1072" s="36">
        <f>VLOOKUP(F1050,F1066:G1071,2,FALSE)</f>
        <v>0</v>
      </c>
      <c r="H1072" s="36">
        <f>VLOOKUP(F1050,F1066:H1071,3,FALSE)</f>
        <v>0</v>
      </c>
      <c r="I1072" s="36">
        <f>VLOOKUP(F1050,F1066:I1071,4,FALSE)</f>
        <v>0</v>
      </c>
      <c r="J1072" s="36">
        <f>VLOOKUP(F1050,F1066:J1071,5,FALSE)</f>
        <v>0</v>
      </c>
      <c r="K1072" s="36">
        <f>VLOOKUP(F1050,F1066:K1071,6,FALSE)</f>
        <v>0</v>
      </c>
      <c r="L1072" s="36">
        <f>VLOOKUP(F1050,F1066:L1071,7,FALSE)</f>
        <v>0</v>
      </c>
      <c r="M1072" s="7"/>
      <c r="N1072" s="7"/>
      <c r="O1072" s="7"/>
      <c r="P1072" s="7"/>
      <c r="Q1072" s="7"/>
      <c r="R1072" s="7"/>
      <c r="S1072" s="7"/>
      <c r="T1072" s="7"/>
    </row>
    <row r="1073" spans="1:20">
      <c r="A1073" s="7"/>
      <c r="B1073" s="7"/>
      <c r="C1073" s="7"/>
      <c r="D1073" s="7"/>
      <c r="E1073" s="7"/>
      <c r="F1073" s="7"/>
      <c r="G1073" s="7"/>
      <c r="H1073" s="7"/>
      <c r="I1073" s="7"/>
      <c r="J1073" s="7"/>
      <c r="K1073" s="7"/>
      <c r="L1073" s="7"/>
      <c r="M1073" s="7"/>
      <c r="N1073" s="7"/>
      <c r="O1073" s="7"/>
      <c r="P1073" s="7"/>
      <c r="Q1073" s="7"/>
      <c r="R1073" s="7"/>
      <c r="S1073" s="7"/>
      <c r="T1073"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2</vt:i4>
      </vt:variant>
      <vt:variant>
        <vt:lpstr>Benoemde bereiken</vt:lpstr>
      </vt:variant>
      <vt:variant>
        <vt:i4>1</vt:i4>
      </vt:variant>
    </vt:vector>
  </HeadingPairs>
  <TitlesOfParts>
    <vt:vector size="3" baseType="lpstr">
      <vt:lpstr>SCHOV</vt:lpstr>
      <vt:lpstr>Blad1</vt:lpstr>
      <vt:lpstr>SCHOV!Afdrukbereik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2012-08-13T15:54:54Z</dcterms:created>
  <dcterms:modified xsi:type="dcterms:W3CDTF">2014-11-11T08:59:54Z</dcterms:modified>
</cp:coreProperties>
</file>