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TH" sheetId="1" r:id="rId1"/>
  </sheets>
  <definedNames>
    <definedName name="_1._Zegels_Minuut_Brevet" localSheetId="0">VBIFTVABREYNETH!$A$19:$F$19</definedName>
    <definedName name="_1._Zegels_Minuut_Brevet">#REF!</definedName>
    <definedName name="_10._Tweede_getuigschrift" localSheetId="0">VBIFTVABREYNETH!#REF!</definedName>
    <definedName name="_10._Tweede_getuigschrift">#REF!</definedName>
    <definedName name="_11._Kadaster_uittreksel" localSheetId="0">VBIFTVABREYNETH!#REF!</definedName>
    <definedName name="_11._Kadaster_uittreksel">#REF!</definedName>
    <definedName name="_12._Getuigen" localSheetId="0">VBIFTVABREYNETH!#REF!</definedName>
    <definedName name="_12._Getuigen">#REF!</definedName>
    <definedName name="_13._Allerlei_uitgaven" localSheetId="0">VBIFTVABREYNETH!#REF!</definedName>
    <definedName name="_13._Allerlei_uitgaven">#REF!</definedName>
    <definedName name="_14." localSheetId="0">VBIFTVABREYNETH!#REF!</definedName>
    <definedName name="_14.">#REF!</definedName>
    <definedName name="_15." localSheetId="0">VBIFTVABREYNETH!#REF!</definedName>
    <definedName name="_15.">#REF!</definedName>
    <definedName name="_2._Registratie_Minuut_Brevet" localSheetId="0">VBIFTVABREYNETH!$B$26:$G$26</definedName>
    <definedName name="_2._Registratie_Minuut_Brevet">#REF!</definedName>
    <definedName name="_3._Registratie_aanhangsel" localSheetId="0">VBIFTVABREYNETH!$E$27:$G$27</definedName>
    <definedName name="_3._Registratie_aanhangsel">#REF!</definedName>
    <definedName name="_4.Zegels_afschrift_grosse" localSheetId="0">VBIFTVABREYNETH!#REF!</definedName>
    <definedName name="_4.Zegels_afschrift_grosse">#REF!</definedName>
    <definedName name="_5._Hypotheek__inschr._overschr._doorh." localSheetId="0">VBIFTVABREYNETH!#REF!</definedName>
    <definedName name="_5._Hypotheek__inschr._overschr._doorh.">#REF!</definedName>
    <definedName name="_6._Loon_pandbewaarder" localSheetId="0">VBIFTVABREYNETH!#REF!</definedName>
    <definedName name="_6._Loon_pandbewaarder">#REF!</definedName>
    <definedName name="_7._Zegels__bord._aanh." localSheetId="0">VBIFTVABREYNETH!#REF!</definedName>
    <definedName name="_7._Zegels__bord._aanh.">#REF!</definedName>
    <definedName name="_8._Opzoekingen" localSheetId="0">VBIFTVABREYNETH!#REF!</definedName>
    <definedName name="_8._Opzoekingen">#REF!</definedName>
    <definedName name="_9._Hypothecair_getuigschrift" localSheetId="0">VBIFTVABREYNETH!#REF!</definedName>
    <definedName name="_9._Hypothecair_getuigschrift">#REF!</definedName>
    <definedName name="Aard" localSheetId="0">VBIFTVABREYNETH!$B$4:$F$4</definedName>
    <definedName name="Aard">#REF!</definedName>
    <definedName name="_xlnm.Print_Area" localSheetId="0">VBIFTVABREYNETH!$A$1:$E$80</definedName>
    <definedName name="Datum" localSheetId="0">VBIFTVABREYNETH!$B$4:$G$43</definedName>
    <definedName name="Datum">#REF!</definedName>
    <definedName name="gemeentelijke_info">#REF!</definedName>
    <definedName name="Kantoor_van_Notaris_J._SIMONART_te_Leuven" localSheetId="0">VBIFTVABREYNETH!#REF!</definedName>
    <definedName name="Kantoor_van_Notaris_J._SIMONART_te_Leuven">#REF!</definedName>
    <definedName name="KOSTENFICHE" localSheetId="0">VBIFTVABREYNETH!$A$1:$G$43</definedName>
    <definedName name="KOSTENFICHE">#REF!</definedName>
    <definedName name="Last_Row">IF(Values_Entered,Header_Row+Number_of_Payments,Header_Row)</definedName>
    <definedName name="Naam" localSheetId="0">VBIFTVABREYNETH!#REF!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VBIFTVABREYNETH!$F$4:$F$45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VBIFTVABREYNETH!#REF!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VBIFTVABREYNETH!$A$3:$G$43</definedName>
  </definedNames>
  <calcPr calcId="152511"/>
</workbook>
</file>

<file path=xl/calcChain.xml><?xml version="1.0" encoding="utf-8"?>
<calcChain xmlns="http://schemas.openxmlformats.org/spreadsheetml/2006/main">
  <c r="D40" i="1" l="1"/>
  <c r="E43" i="1" s="1"/>
  <c r="B10" i="1"/>
  <c r="C219" i="1" s="1"/>
  <c r="D20" i="1"/>
  <c r="D21" i="1"/>
  <c r="D25" i="1"/>
  <c r="D27" i="1"/>
  <c r="C51" i="1"/>
  <c r="C181" i="1" s="1"/>
  <c r="C55" i="1"/>
  <c r="C143" i="1" s="1"/>
  <c r="B62" i="1"/>
  <c r="B63" i="1"/>
  <c r="C67" i="1"/>
  <c r="C68" i="1"/>
  <c r="C69" i="1" s="1"/>
  <c r="C71" i="1"/>
  <c r="H88" i="1"/>
  <c r="I88" i="1"/>
  <c r="J88" i="1"/>
  <c r="H90" i="1"/>
  <c r="C95" i="1"/>
  <c r="E95" i="1"/>
  <c r="E96" i="1"/>
  <c r="C106" i="1"/>
  <c r="D106" i="1"/>
  <c r="C150" i="1"/>
  <c r="C155" i="1"/>
  <c r="F158" i="1" s="1"/>
  <c r="C162" i="1"/>
  <c r="C175" i="1"/>
  <c r="C188" i="1"/>
  <c r="B196" i="1"/>
  <c r="C196" i="1"/>
  <c r="C198" i="1" s="1"/>
  <c r="C200" i="1" s="1"/>
  <c r="D198" i="1" s="1"/>
  <c r="E198" i="1" s="1"/>
  <c r="D23" i="1"/>
  <c r="F196" i="1"/>
  <c r="F197" i="1" s="1"/>
  <c r="G197" i="1" s="1"/>
  <c r="H197" i="1" s="1"/>
  <c r="D24" i="1" s="1"/>
  <c r="B197" i="1"/>
  <c r="C197" i="1"/>
  <c r="F218" i="1"/>
  <c r="F217" i="1"/>
  <c r="F214" i="1"/>
  <c r="G102" i="1" l="1"/>
  <c r="G104" i="1" s="1"/>
  <c r="G106" i="1" s="1"/>
  <c r="C60" i="1" s="1"/>
  <c r="E42" i="1"/>
  <c r="F219" i="1"/>
  <c r="D22" i="1"/>
  <c r="E30" i="1" s="1"/>
  <c r="C168" i="1"/>
  <c r="F215" i="1"/>
  <c r="F213" i="1"/>
  <c r="E163" i="1"/>
  <c r="F216" i="1"/>
  <c r="E45" i="1"/>
  <c r="F175" i="1"/>
  <c r="E151" i="1"/>
  <c r="F144" i="1"/>
  <c r="F146" i="1"/>
  <c r="C151" i="1"/>
  <c r="F149" i="1"/>
  <c r="F145" i="1"/>
  <c r="F150" i="1"/>
  <c r="F148" i="1"/>
  <c r="F147" i="1"/>
  <c r="F169" i="1"/>
  <c r="D118" i="1"/>
  <c r="D119" i="1" s="1"/>
  <c r="D120" i="1" s="1"/>
  <c r="D121" i="1" s="1"/>
  <c r="F171" i="1"/>
  <c r="E176" i="1"/>
  <c r="F170" i="1"/>
  <c r="F187" i="1"/>
  <c r="E189" i="1"/>
  <c r="F182" i="1"/>
  <c r="F186" i="1"/>
  <c r="C189" i="1"/>
  <c r="F183" i="1"/>
  <c r="F184" i="1"/>
  <c r="F185" i="1"/>
  <c r="F188" i="1"/>
  <c r="F159" i="1"/>
  <c r="C163" i="1"/>
  <c r="F157" i="1"/>
  <c r="B64" i="1"/>
  <c r="F162" i="1"/>
  <c r="F156" i="1"/>
  <c r="F160" i="1"/>
  <c r="F161" i="1"/>
  <c r="F221" i="1" l="1"/>
  <c r="E19" i="1" s="1"/>
  <c r="F173" i="1"/>
  <c r="C176" i="1"/>
  <c r="F172" i="1"/>
  <c r="E178" i="1" s="1"/>
  <c r="F174" i="1"/>
  <c r="E153" i="1"/>
  <c r="C65" i="1"/>
  <c r="E165" i="1"/>
  <c r="E191" i="1"/>
  <c r="E31" i="1" l="1"/>
  <c r="E33" i="1" s="1"/>
  <c r="A110" i="1"/>
  <c r="C73" i="1" s="1"/>
  <c r="F74" i="1" s="1"/>
  <c r="F59" i="1"/>
  <c r="F73" i="1" l="1"/>
  <c r="F75" i="1" s="1"/>
  <c r="F60" i="1"/>
  <c r="F77" i="1" s="1"/>
  <c r="F79" i="1"/>
</calcChain>
</file>

<file path=xl/comments1.xml><?xml version="1.0" encoding="utf-8"?>
<comments xmlns="http://schemas.openxmlformats.org/spreadsheetml/2006/main">
  <authors>
    <author>licentie</author>
  </authors>
  <commentList>
    <comment ref="C61" authorId="0" shapeId="0">
      <text>
        <r>
          <rPr>
            <b/>
            <sz val="10"/>
            <color indexed="81"/>
            <rFont val="Tahoma"/>
            <family val="2"/>
          </rPr>
          <t>Le montant réel des droits d'enregistrement des annexes</t>
        </r>
      </text>
    </comment>
  </commentList>
</comments>
</file>

<file path=xl/sharedStrings.xml><?xml version="1.0" encoding="utf-8"?>
<sst xmlns="http://schemas.openxmlformats.org/spreadsheetml/2006/main" count="118" uniqueCount="83">
  <si>
    <t>Dossier</t>
  </si>
  <si>
    <t>Prijs</t>
  </si>
  <si>
    <t>Ereloon</t>
  </si>
  <si>
    <t>Abattement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</si>
  <si>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</si>
  <si>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</si>
  <si>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</si>
  <si>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</si>
  <si>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</si>
  <si>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</si>
  <si>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</si>
  <si>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</si>
  <si>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</si>
  <si>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Client</t>
  </si>
  <si>
    <t>Valeur terrain</t>
  </si>
  <si>
    <t>Constructions</t>
  </si>
  <si>
    <t>Même propriétaire?</t>
  </si>
  <si>
    <t>Prix des constructions finies à l'acte</t>
  </si>
  <si>
    <t>Charges:</t>
  </si>
  <si>
    <t>Base pour honoraires</t>
  </si>
  <si>
    <t>Acompte payé</t>
  </si>
  <si>
    <t>Réduction art.53?</t>
  </si>
  <si>
    <t>Reportabilité? (montant)</t>
  </si>
  <si>
    <t>Abattement ordinaire?</t>
  </si>
  <si>
    <t>Abattement majoré?</t>
  </si>
  <si>
    <t>Frais à charge de l'acquéreur</t>
  </si>
  <si>
    <t>Honoraire</t>
  </si>
  <si>
    <t>Enregistrement</t>
  </si>
  <si>
    <t>Réduction art. 53</t>
  </si>
  <si>
    <t>Reportabilité</t>
  </si>
  <si>
    <t>Abattement majoré</t>
  </si>
  <si>
    <t>TVA</t>
  </si>
  <si>
    <t>Enregistrement annexe(s)</t>
  </si>
  <si>
    <t>Transcription (rôles)</t>
  </si>
  <si>
    <t>Frais divers</t>
  </si>
  <si>
    <t>Quote-part acte de base ou acte de lotissement</t>
  </si>
  <si>
    <t>Total frais acquéreur:</t>
  </si>
  <si>
    <t>Total acquéreur:</t>
  </si>
  <si>
    <t>Frais à charge du vendeur</t>
  </si>
  <si>
    <t>Renseignements urbanistiques</t>
  </si>
  <si>
    <t>Mesurage</t>
  </si>
  <si>
    <t>Commission agence immobilière</t>
  </si>
  <si>
    <t>Attestation(s) du sol</t>
  </si>
  <si>
    <t>Autres (vacations …)</t>
  </si>
  <si>
    <t>Total frais vendeur</t>
  </si>
  <si>
    <t>Total vendeur:</t>
  </si>
  <si>
    <t>oui</t>
  </si>
  <si>
    <t>non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</si>
  <si>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</si>
  <si>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</si>
  <si>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</si>
  <si>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</si>
  <si>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</si>
  <si>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</si>
  <si>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</si>
  <si>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Basis</t>
  </si>
  <si>
    <t>Principal</t>
  </si>
  <si>
    <t>Accessoires</t>
  </si>
  <si>
    <t>Base</t>
  </si>
  <si>
    <t>------------------------------------------------------------------------------------------------</t>
  </si>
  <si>
    <t>(TVA)</t>
  </si>
  <si>
    <t>Total frais</t>
  </si>
  <si>
    <t>Total</t>
  </si>
  <si>
    <t>Ensemble</t>
  </si>
  <si>
    <t>Honoraires</t>
  </si>
  <si>
    <t>Loon hypotheekbewaarder doorhaling</t>
  </si>
  <si>
    <t>TRANSFERT D'HYPOTHÈQUE</t>
  </si>
  <si>
    <t>ancienne inscription</t>
  </si>
  <si>
    <t>Nouvelle inscription</t>
  </si>
  <si>
    <t>Quantième acte? 1 ou 2</t>
  </si>
  <si>
    <t>droits d'enregistrement acte</t>
  </si>
  <si>
    <t>droits d'enregistrement annexes</t>
  </si>
  <si>
    <t xml:space="preserve">           honor. hypoth. inscription</t>
  </si>
  <si>
    <t xml:space="preserve">           honor. hypoth. mainlevée</t>
  </si>
  <si>
    <t xml:space="preserve">           droits d'inscription</t>
  </si>
  <si>
    <t>provision frais hypothécaires</t>
  </si>
  <si>
    <t>droits d'écriture</t>
  </si>
  <si>
    <t>frais divers</t>
  </si>
  <si>
    <t>renseignements urbanistiques</t>
  </si>
  <si>
    <t>plus TVA</t>
  </si>
  <si>
    <t>Total:</t>
  </si>
  <si>
    <t>VENTE BIEN IMMOBILIER AVEC TVA - FLANDRE + TRANSFERT D'HYPOTHEQUE</t>
  </si>
  <si>
    <t>Livret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</si>
</sst>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_-* #,##0.00\ [$EUR]_-;\-* #,##0.00\ [$EUR]_-;_-* &quot;-&quot;??\ [$EUR]_-;_-@_-"/>
    <numFmt numFmtId="168" formatCode="#,##0.00\ [$EUR]"/>
    <numFmt numFmtId="169" formatCode="#,##0&quot; BF&quot;;\-#,##0&quot; BF&quot;"/>
    <numFmt numFmtId="170" formatCode="0.000%"/>
    <numFmt numFmtId="171" formatCode="#.##000"/>
    <numFmt numFmtId="172" formatCode="_-* #,##0\ _F_B_-;\-* #,##0\ _F_B_-;_-* &quot;-&quot;\ _F_B_-;_-@_-"/>
    <numFmt numFmtId="173" formatCode="\$#,#00"/>
    <numFmt numFmtId="174" formatCode="_-* #,##0\ &quot;FB&quot;_-;\-* #,##0\ &quot;FB&quot;_-;_-* &quot;-&quot;\ &quot;FB&quot;_-;_-@_-"/>
    <numFmt numFmtId="175" formatCode="m\o\n\t\h\ d\,\ \y\y\y\y"/>
    <numFmt numFmtId="176" formatCode="#,#00"/>
    <numFmt numFmtId="177" formatCode="#,"/>
    <numFmt numFmtId="178" formatCode="%#,#00"/>
    <numFmt numFmtId="179" formatCode="#,##0.00\ &quot;€&quot;"/>
    <numFmt numFmtId="180" formatCode="#,##0&quot; Fr&quot;;\-#,##0&quot; Fr&quot;"/>
    <numFmt numFmtId="181" formatCode="0.0000%"/>
  </numFmts>
  <fonts count="20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9"/>
      <color indexed="9"/>
      <name val="Arial"/>
      <family val="2"/>
    </font>
    <font>
      <u/>
      <sz val="10"/>
      <name val="Arial"/>
      <family val="2"/>
    </font>
    <font>
      <b/>
      <sz val="10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1"/>
      </patternFill>
    </fill>
    <fill>
      <patternFill patternType="solid">
        <fgColor indexed="21"/>
        <bgColor indexed="2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n">
        <color indexed="20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double">
        <color indexed="20"/>
      </left>
      <right style="double">
        <color indexed="20"/>
      </right>
      <top style="double">
        <color indexed="2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/>
      <top style="thick">
        <color indexed="10"/>
      </top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1" fontId="8" fillId="0" borderId="0">
      <protection locked="0"/>
    </xf>
    <xf numFmtId="172" fontId="1" fillId="0" borderId="0" applyFont="0" applyFill="0" applyBorder="0" applyAlignment="0" applyProtection="0"/>
    <xf numFmtId="173" fontId="8" fillId="0" borderId="0">
      <protection locked="0"/>
    </xf>
    <xf numFmtId="174" fontId="1" fillId="0" borderId="0" applyFont="0" applyFill="0" applyBorder="0" applyAlignment="0" applyProtection="0"/>
    <xf numFmtId="175" fontId="8" fillId="0" borderId="0">
      <protection locked="0"/>
    </xf>
    <xf numFmtId="176" fontId="8" fillId="0" borderId="0">
      <protection locked="0"/>
    </xf>
    <xf numFmtId="177" fontId="9" fillId="0" borderId="0">
      <protection locked="0"/>
    </xf>
    <xf numFmtId="177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8" fontId="8" fillId="0" borderId="0">
      <protection locked="0"/>
    </xf>
    <xf numFmtId="0" fontId="10" fillId="0" borderId="0"/>
    <xf numFmtId="0" fontId="18" fillId="0" borderId="0"/>
    <xf numFmtId="0" fontId="1" fillId="0" borderId="0"/>
    <xf numFmtId="0" fontId="18" fillId="0" borderId="0"/>
    <xf numFmtId="177" fontId="8" fillId="0" borderId="1">
      <protection locked="0"/>
    </xf>
    <xf numFmtId="0" fontId="19" fillId="0" borderId="34" applyNumberFormat="0" applyFill="0" applyAlignment="0" applyProtection="0"/>
  </cellStyleXfs>
  <cellXfs count="168">
    <xf numFmtId="0" fontId="0" fillId="0" borderId="0" xfId="0"/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7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6" fontId="1" fillId="2" borderId="0" xfId="13" applyNumberFormat="1" applyFont="1" applyFill="1" applyBorder="1" applyAlignment="1" applyProtection="1">
      <protection hidden="1"/>
    </xf>
    <xf numFmtId="0" fontId="2" fillId="2" borderId="2" xfId="13" applyFont="1" applyFill="1" applyBorder="1" applyAlignment="1" applyProtection="1">
      <alignment horizontal="left"/>
      <protection hidden="1"/>
    </xf>
    <xf numFmtId="167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7" fontId="1" fillId="2" borderId="0" xfId="13" applyNumberFormat="1" applyFill="1" applyBorder="1" applyProtection="1">
      <protection hidden="1"/>
    </xf>
    <xf numFmtId="0" fontId="1" fillId="2" borderId="2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7" fontId="1" fillId="2" borderId="0" xfId="13" applyNumberFormat="1" applyFill="1" applyProtection="1"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4" xfId="13" applyFill="1" applyBorder="1" applyAlignment="1" applyProtection="1">
      <alignment horizontal="left"/>
      <protection hidden="1"/>
    </xf>
    <xf numFmtId="0" fontId="1" fillId="2" borderId="5" xfId="13" applyFont="1" applyFill="1" applyBorder="1" applyProtection="1">
      <protection hidden="1"/>
    </xf>
    <xf numFmtId="0" fontId="1" fillId="2" borderId="6" xfId="13" applyFill="1" applyBorder="1" applyAlignment="1" applyProtection="1">
      <alignment horizontal="left"/>
      <protection hidden="1"/>
    </xf>
    <xf numFmtId="166" fontId="1" fillId="2" borderId="2" xfId="13" applyNumberFormat="1" applyFill="1" applyBorder="1" applyAlignment="1" applyProtection="1"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7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7" xfId="13" applyNumberFormat="1" applyFont="1" applyFill="1" applyBorder="1" applyProtection="1">
      <protection hidden="1"/>
    </xf>
    <xf numFmtId="169" fontId="5" fillId="2" borderId="8" xfId="13" applyNumberFormat="1" applyFont="1" applyFill="1" applyBorder="1" applyAlignment="1" applyProtection="1">
      <alignment horizontal="center"/>
      <protection hidden="1"/>
    </xf>
    <xf numFmtId="0" fontId="5" fillId="2" borderId="8" xfId="13" applyFont="1" applyFill="1" applyBorder="1" applyAlignment="1" applyProtection="1">
      <alignment horizontal="center"/>
      <protection hidden="1"/>
    </xf>
    <xf numFmtId="0" fontId="5" fillId="2" borderId="9" xfId="13" applyFont="1" applyFill="1" applyBorder="1" applyAlignment="1" applyProtection="1">
      <alignment horizontal="center"/>
      <protection hidden="1"/>
    </xf>
    <xf numFmtId="168" fontId="6" fillId="2" borderId="8" xfId="13" applyNumberFormat="1" applyFont="1" applyFill="1" applyBorder="1" applyProtection="1">
      <protection hidden="1"/>
    </xf>
    <xf numFmtId="169" fontId="6" fillId="2" borderId="8" xfId="13" applyNumberFormat="1" applyFont="1" applyFill="1" applyBorder="1" applyProtection="1">
      <protection hidden="1"/>
    </xf>
    <xf numFmtId="170" fontId="6" fillId="2" borderId="8" xfId="13" applyNumberFormat="1" applyFont="1" applyFill="1" applyBorder="1" applyProtection="1">
      <protection hidden="1"/>
    </xf>
    <xf numFmtId="170" fontId="6" fillId="2" borderId="9" xfId="13" applyNumberFormat="1" applyFont="1" applyFill="1" applyBorder="1" applyProtection="1">
      <protection hidden="1"/>
    </xf>
    <xf numFmtId="0" fontId="6" fillId="2" borderId="10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11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9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11" xfId="13" applyFont="1" applyFill="1" applyBorder="1" applyProtection="1">
      <protection hidden="1"/>
    </xf>
    <xf numFmtId="168" fontId="5" fillId="2" borderId="8" xfId="13" applyNumberFormat="1" applyFont="1" applyFill="1" applyBorder="1" applyProtection="1">
      <protection hidden="1"/>
    </xf>
    <xf numFmtId="0" fontId="13" fillId="3" borderId="12" xfId="13" applyFont="1" applyFill="1" applyBorder="1" applyAlignment="1" applyProtection="1">
      <alignment horizontal="left"/>
      <protection hidden="1"/>
    </xf>
    <xf numFmtId="0" fontId="14" fillId="3" borderId="12" xfId="13" applyFont="1" applyFill="1" applyBorder="1" applyAlignment="1" applyProtection="1">
      <alignment horizontal="left"/>
      <protection hidden="1"/>
    </xf>
    <xf numFmtId="0" fontId="1" fillId="4" borderId="0" xfId="13" applyFill="1" applyBorder="1" applyAlignment="1" applyProtection="1">
      <alignment horizontal="center"/>
      <protection locked="0" hidden="1"/>
    </xf>
    <xf numFmtId="0" fontId="2" fillId="5" borderId="13" xfId="13" applyFont="1" applyFill="1" applyBorder="1" applyAlignment="1" applyProtection="1">
      <alignment horizontal="left"/>
      <protection hidden="1"/>
    </xf>
    <xf numFmtId="166" fontId="1" fillId="6" borderId="14" xfId="13" applyNumberFormat="1" applyFont="1" applyFill="1" applyBorder="1" applyAlignment="1" applyProtection="1">
      <alignment horizontal="left"/>
      <protection hidden="1"/>
    </xf>
    <xf numFmtId="0" fontId="1" fillId="7" borderId="14" xfId="13" applyFont="1" applyFill="1" applyBorder="1" applyProtection="1">
      <protection hidden="1"/>
    </xf>
    <xf numFmtId="0" fontId="1" fillId="5" borderId="15" xfId="13" applyFont="1" applyFill="1" applyBorder="1" applyAlignment="1" applyProtection="1">
      <alignment horizontal="left"/>
      <protection hidden="1"/>
    </xf>
    <xf numFmtId="0" fontId="2" fillId="8" borderId="13" xfId="13" applyFont="1" applyFill="1" applyBorder="1" applyAlignment="1" applyProtection="1">
      <alignment horizontal="left"/>
      <protection hidden="1"/>
    </xf>
    <xf numFmtId="0" fontId="1" fillId="9" borderId="14" xfId="13" applyFont="1" applyFill="1" applyBorder="1" applyAlignment="1" applyProtection="1">
      <alignment horizontal="left"/>
      <protection hidden="1"/>
    </xf>
    <xf numFmtId="0" fontId="1" fillId="9" borderId="14" xfId="13" applyFont="1" applyFill="1" applyBorder="1" applyProtection="1">
      <protection hidden="1"/>
    </xf>
    <xf numFmtId="0" fontId="1" fillId="8" borderId="13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166" fontId="1" fillId="2" borderId="16" xfId="13" applyNumberFormat="1" applyFont="1" applyFill="1" applyBorder="1" applyAlignment="1" applyProtection="1">
      <protection hidden="1"/>
    </xf>
    <xf numFmtId="0" fontId="1" fillId="6" borderId="14" xfId="0" applyFont="1" applyFill="1" applyBorder="1" applyAlignment="1" applyProtection="1">
      <alignment horizontal="left"/>
      <protection hidden="1"/>
    </xf>
    <xf numFmtId="165" fontId="2" fillId="4" borderId="0" xfId="13" applyNumberFormat="1" applyFont="1" applyFill="1" applyBorder="1" applyAlignment="1" applyProtection="1">
      <alignment horizontal="left"/>
      <protection locked="0" hidden="1"/>
    </xf>
    <xf numFmtId="165" fontId="1" fillId="4" borderId="0" xfId="13" applyNumberFormat="1" applyFont="1" applyFill="1" applyBorder="1" applyAlignment="1" applyProtection="1">
      <alignment horizontal="left"/>
      <protection locked="0" hidden="1"/>
    </xf>
    <xf numFmtId="165" fontId="1" fillId="10" borderId="0" xfId="13" applyNumberFormat="1" applyFont="1" applyFill="1" applyBorder="1" applyAlignment="1" applyProtection="1">
      <alignment horizontal="right"/>
      <protection locked="0" hidden="1"/>
    </xf>
    <xf numFmtId="165" fontId="1" fillId="11" borderId="0" xfId="13" applyNumberFormat="1" applyFont="1" applyFill="1" applyBorder="1" applyAlignment="1" applyProtection="1">
      <alignment horizontal="center"/>
      <protection locked="0" hidden="1"/>
    </xf>
    <xf numFmtId="165" fontId="1" fillId="7" borderId="0" xfId="13" applyNumberFormat="1" applyFill="1" applyBorder="1" applyAlignment="1" applyProtection="1">
      <protection locked="0" hidden="1"/>
    </xf>
    <xf numFmtId="165" fontId="1" fillId="12" borderId="0" xfId="13" applyNumberFormat="1" applyFill="1" applyBorder="1" applyAlignment="1" applyProtection="1">
      <protection locked="0" hidden="1"/>
    </xf>
    <xf numFmtId="165" fontId="1" fillId="6" borderId="0" xfId="13" applyNumberFormat="1" applyFont="1" applyFill="1" applyBorder="1" applyAlignment="1" applyProtection="1">
      <alignment horizontal="right"/>
      <protection hidden="1"/>
    </xf>
    <xf numFmtId="165" fontId="1" fillId="7" borderId="0" xfId="13" applyNumberFormat="1" applyFill="1" applyBorder="1" applyAlignment="1" applyProtection="1">
      <alignment horizontal="center"/>
      <protection locked="0" hidden="1"/>
    </xf>
    <xf numFmtId="165" fontId="1" fillId="13" borderId="0" xfId="13" applyNumberFormat="1" applyFont="1" applyFill="1" applyBorder="1" applyAlignment="1" applyProtection="1">
      <alignment horizontal="left"/>
      <protection locked="0" hidden="1"/>
    </xf>
    <xf numFmtId="165" fontId="1" fillId="4" borderId="0" xfId="13" applyNumberFormat="1" applyFont="1" applyFill="1" applyBorder="1" applyAlignment="1" applyProtection="1">
      <alignment horizontal="center"/>
      <protection locked="0" hidden="1"/>
    </xf>
    <xf numFmtId="165" fontId="1" fillId="2" borderId="0" xfId="13" applyNumberFormat="1" applyFill="1" applyBorder="1" applyAlignment="1" applyProtection="1">
      <alignment horizontal="left"/>
      <protection hidden="1"/>
    </xf>
    <xf numFmtId="165" fontId="1" fillId="2" borderId="0" xfId="13" applyNumberFormat="1" applyFill="1"/>
    <xf numFmtId="165" fontId="1" fillId="4" borderId="0" xfId="13" applyNumberFormat="1" applyFill="1" applyBorder="1" applyAlignment="1" applyProtection="1">
      <alignment horizontal="left"/>
      <protection locked="0" hidden="1"/>
    </xf>
    <xf numFmtId="165" fontId="1" fillId="4" borderId="0" xfId="13" applyNumberFormat="1" applyFill="1" applyBorder="1" applyAlignment="1" applyProtection="1">
      <alignment horizontal="left"/>
      <protection locked="0"/>
    </xf>
    <xf numFmtId="165" fontId="11" fillId="4" borderId="0" xfId="0" applyNumberFormat="1" applyFont="1" applyFill="1" applyBorder="1" applyAlignment="1" applyProtection="1">
      <alignment horizontal="left"/>
      <protection locked="0"/>
    </xf>
    <xf numFmtId="165" fontId="1" fillId="6" borderId="14" xfId="13" applyNumberFormat="1" applyFill="1" applyBorder="1" applyProtection="1">
      <protection hidden="1"/>
    </xf>
    <xf numFmtId="165" fontId="1" fillId="2" borderId="0" xfId="13" applyNumberFormat="1" applyFill="1" applyBorder="1" applyAlignment="1" applyProtection="1">
      <protection hidden="1"/>
    </xf>
    <xf numFmtId="165" fontId="1" fillId="6" borderId="14" xfId="13" applyNumberFormat="1" applyFill="1" applyBorder="1" applyAlignment="1" applyProtection="1">
      <alignment horizontal="left"/>
      <protection hidden="1"/>
    </xf>
    <xf numFmtId="165" fontId="1" fillId="7" borderId="14" xfId="13" applyNumberFormat="1" applyFill="1" applyBorder="1" applyProtection="1">
      <protection hidden="1"/>
    </xf>
    <xf numFmtId="165" fontId="1" fillId="2" borderId="0" xfId="13" applyNumberFormat="1" applyFill="1" applyBorder="1" applyProtection="1">
      <protection hidden="1"/>
    </xf>
    <xf numFmtId="165" fontId="1" fillId="5" borderId="13" xfId="13" applyNumberFormat="1" applyFill="1" applyBorder="1" applyProtection="1">
      <protection hidden="1"/>
    </xf>
    <xf numFmtId="165" fontId="1" fillId="2" borderId="0" xfId="13" applyNumberFormat="1" applyFill="1" applyProtection="1">
      <protection hidden="1"/>
    </xf>
    <xf numFmtId="165" fontId="1" fillId="9" borderId="17" xfId="13" applyNumberFormat="1" applyFill="1" applyBorder="1" applyAlignment="1" applyProtection="1">
      <alignment horizontal="left"/>
      <protection hidden="1"/>
    </xf>
    <xf numFmtId="165" fontId="1" fillId="9" borderId="14" xfId="13" applyNumberFormat="1" applyFill="1" applyBorder="1" applyAlignment="1" applyProtection="1">
      <protection hidden="1"/>
    </xf>
    <xf numFmtId="165" fontId="1" fillId="8" borderId="13" xfId="13" applyNumberFormat="1" applyFill="1" applyBorder="1" applyAlignment="1" applyProtection="1">
      <protection hidden="1"/>
    </xf>
    <xf numFmtId="3" fontId="1" fillId="14" borderId="0" xfId="0" applyNumberFormat="1" applyFont="1" applyFill="1" applyProtection="1">
      <protection hidden="1"/>
    </xf>
    <xf numFmtId="168" fontId="5" fillId="15" borderId="0" xfId="13" applyNumberFormat="1" applyFont="1" applyFill="1" applyBorder="1" applyProtection="1">
      <protection hidden="1"/>
    </xf>
    <xf numFmtId="3" fontId="3" fillId="14" borderId="0" xfId="9" applyNumberFormat="1" applyFill="1" applyAlignment="1" applyProtection="1">
      <protection hidden="1"/>
    </xf>
    <xf numFmtId="0" fontId="0" fillId="14" borderId="0" xfId="0" applyFill="1" applyProtection="1">
      <protection hidden="1"/>
    </xf>
    <xf numFmtId="167" fontId="1" fillId="14" borderId="0" xfId="0" applyNumberFormat="1" applyFont="1" applyFill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167" fontId="2" fillId="2" borderId="0" xfId="0" applyNumberFormat="1" applyFont="1" applyFill="1" applyBorder="1" applyAlignment="1" applyProtection="1">
      <protection hidden="1"/>
    </xf>
    <xf numFmtId="165" fontId="0" fillId="2" borderId="0" xfId="0" applyNumberFormat="1" applyFill="1" applyBorder="1" applyAlignment="1" applyProtection="1">
      <protection hidden="1"/>
    </xf>
    <xf numFmtId="0" fontId="1" fillId="3" borderId="12" xfId="13" applyNumberFormat="1" applyFill="1" applyBorder="1" applyAlignment="1" applyProtection="1">
      <protection hidden="1"/>
    </xf>
    <xf numFmtId="166" fontId="0" fillId="2" borderId="0" xfId="0" applyNumberFormat="1" applyFill="1" applyBorder="1" applyAlignment="1" applyProtection="1">
      <protection hidden="1"/>
    </xf>
    <xf numFmtId="167" fontId="0" fillId="2" borderId="0" xfId="0" applyNumberFormat="1" applyFill="1" applyBorder="1" applyAlignment="1" applyProtection="1">
      <alignment horizontal="right"/>
      <protection hidden="1"/>
    </xf>
    <xf numFmtId="165" fontId="2" fillId="2" borderId="0" xfId="0" applyNumberFormat="1" applyFont="1" applyFill="1" applyProtection="1">
      <protection hidden="1"/>
    </xf>
    <xf numFmtId="0" fontId="15" fillId="16" borderId="18" xfId="13" applyFont="1" applyFill="1" applyBorder="1" applyAlignment="1" applyProtection="1">
      <alignment horizontal="left"/>
      <protection hidden="1"/>
    </xf>
    <xf numFmtId="0" fontId="15" fillId="16" borderId="19" xfId="13" applyFont="1" applyFill="1" applyBorder="1" applyAlignment="1" applyProtection="1">
      <alignment horizontal="right"/>
      <protection hidden="1"/>
    </xf>
    <xf numFmtId="0" fontId="15" fillId="16" borderId="20" xfId="13" applyFont="1" applyFill="1" applyBorder="1" applyAlignment="1" applyProtection="1">
      <alignment horizontal="right"/>
      <protection hidden="1"/>
    </xf>
    <xf numFmtId="0" fontId="1" fillId="14" borderId="0" xfId="13" applyFill="1" applyProtection="1">
      <protection hidden="1"/>
    </xf>
    <xf numFmtId="0" fontId="1" fillId="14" borderId="21" xfId="13" applyFill="1" applyBorder="1" applyAlignment="1" applyProtection="1">
      <protection hidden="1"/>
    </xf>
    <xf numFmtId="0" fontId="1" fillId="14" borderId="0" xfId="13" applyFill="1" applyBorder="1" applyAlignment="1" applyProtection="1">
      <protection hidden="1"/>
    </xf>
    <xf numFmtId="0" fontId="1" fillId="14" borderId="22" xfId="13" applyFill="1" applyBorder="1" applyAlignment="1" applyProtection="1">
      <protection hidden="1"/>
    </xf>
    <xf numFmtId="0" fontId="1" fillId="14" borderId="23" xfId="13" applyFill="1" applyBorder="1" applyAlignment="1" applyProtection="1">
      <protection hidden="1"/>
    </xf>
    <xf numFmtId="0" fontId="1" fillId="14" borderId="24" xfId="13" applyFill="1" applyBorder="1" applyAlignment="1" applyProtection="1">
      <protection hidden="1"/>
    </xf>
    <xf numFmtId="0" fontId="1" fillId="14" borderId="25" xfId="13" applyFill="1" applyBorder="1" applyAlignment="1" applyProtection="1">
      <protection hidden="1"/>
    </xf>
    <xf numFmtId="167" fontId="1" fillId="14" borderId="0" xfId="13" applyNumberFormat="1" applyFill="1" applyProtection="1">
      <protection hidden="1"/>
    </xf>
    <xf numFmtId="166" fontId="1" fillId="14" borderId="0" xfId="13" applyNumberFormat="1" applyFill="1" applyProtection="1">
      <protection hidden="1"/>
    </xf>
    <xf numFmtId="0" fontId="5" fillId="15" borderId="8" xfId="13" applyFont="1" applyFill="1" applyBorder="1" applyAlignment="1" applyProtection="1">
      <alignment horizontal="left"/>
      <protection hidden="1"/>
    </xf>
    <xf numFmtId="180" fontId="6" fillId="15" borderId="8" xfId="13" applyNumberFormat="1" applyFont="1" applyFill="1" applyBorder="1" applyProtection="1">
      <protection hidden="1"/>
    </xf>
    <xf numFmtId="169" fontId="6" fillId="15" borderId="0" xfId="13" applyNumberFormat="1" applyFont="1" applyFill="1" applyProtection="1">
      <protection hidden="1"/>
    </xf>
    <xf numFmtId="0" fontId="6" fillId="15" borderId="0" xfId="13" applyFont="1" applyFill="1" applyProtection="1">
      <protection hidden="1"/>
    </xf>
    <xf numFmtId="168" fontId="6" fillId="15" borderId="8" xfId="13" applyNumberFormat="1" applyFont="1" applyFill="1" applyBorder="1" applyProtection="1">
      <protection hidden="1"/>
    </xf>
    <xf numFmtId="169" fontId="6" fillId="15" borderId="8" xfId="13" applyNumberFormat="1" applyFont="1" applyFill="1" applyBorder="1" applyProtection="1">
      <protection hidden="1"/>
    </xf>
    <xf numFmtId="170" fontId="6" fillId="15" borderId="8" xfId="13" applyNumberFormat="1" applyFont="1" applyFill="1" applyBorder="1" applyProtection="1">
      <protection hidden="1"/>
    </xf>
    <xf numFmtId="170" fontId="6" fillId="15" borderId="9" xfId="13" applyNumberFormat="1" applyFont="1" applyFill="1" applyBorder="1" applyProtection="1">
      <protection hidden="1"/>
    </xf>
    <xf numFmtId="181" fontId="6" fillId="15" borderId="8" xfId="13" applyNumberFormat="1" applyFont="1" applyFill="1" applyBorder="1" applyProtection="1">
      <protection hidden="1"/>
    </xf>
    <xf numFmtId="169" fontId="5" fillId="15" borderId="8" xfId="13" applyNumberFormat="1" applyFont="1" applyFill="1" applyBorder="1" applyAlignment="1" applyProtection="1">
      <alignment horizontal="center"/>
      <protection hidden="1"/>
    </xf>
    <xf numFmtId="169" fontId="5" fillId="15" borderId="0" xfId="13" applyNumberFormat="1" applyFont="1" applyFill="1" applyBorder="1" applyAlignment="1" applyProtection="1">
      <alignment horizontal="center"/>
      <protection hidden="1"/>
    </xf>
    <xf numFmtId="168" fontId="5" fillId="15" borderId="8" xfId="13" applyNumberFormat="1" applyFont="1" applyFill="1" applyBorder="1" applyProtection="1">
      <protection hidden="1"/>
    </xf>
    <xf numFmtId="0" fontId="2" fillId="17" borderId="0" xfId="13" applyFont="1" applyFill="1" applyBorder="1" applyAlignment="1" applyProtection="1">
      <alignment horizontal="left"/>
      <protection hidden="1"/>
    </xf>
    <xf numFmtId="0" fontId="16" fillId="18" borderId="26" xfId="13" applyFont="1" applyFill="1" applyBorder="1" applyAlignment="1" applyProtection="1">
      <alignment horizontal="left"/>
      <protection hidden="1"/>
    </xf>
    <xf numFmtId="0" fontId="16" fillId="4" borderId="27" xfId="13" applyFont="1" applyFill="1" applyBorder="1" applyAlignment="1" applyProtection="1">
      <alignment horizontal="left"/>
      <protection hidden="1"/>
    </xf>
    <xf numFmtId="0" fontId="1" fillId="12" borderId="0" xfId="13" applyFill="1" applyBorder="1" applyAlignment="1" applyProtection="1">
      <alignment horizontal="center"/>
      <protection locked="0" hidden="1"/>
    </xf>
    <xf numFmtId="179" fontId="1" fillId="18" borderId="28" xfId="13" applyNumberFormat="1" applyFill="1" applyBorder="1" applyAlignment="1" applyProtection="1">
      <protection locked="0" hidden="1"/>
    </xf>
    <xf numFmtId="179" fontId="1" fillId="18" borderId="0" xfId="13" applyNumberFormat="1" applyFill="1" applyBorder="1" applyAlignment="1" applyProtection="1">
      <protection locked="0" hidden="1"/>
    </xf>
    <xf numFmtId="179" fontId="1" fillId="19" borderId="0" xfId="13" applyNumberFormat="1" applyFill="1" applyBorder="1" applyAlignment="1" applyProtection="1">
      <protection hidden="1"/>
    </xf>
    <xf numFmtId="179" fontId="1" fillId="4" borderId="0" xfId="13" applyNumberFormat="1" applyFill="1" applyBorder="1" applyAlignment="1" applyProtection="1">
      <protection locked="0" hidden="1"/>
    </xf>
    <xf numFmtId="179" fontId="1" fillId="9" borderId="0" xfId="13" applyNumberFormat="1" applyFill="1" applyBorder="1" applyAlignment="1" applyProtection="1">
      <protection hidden="1"/>
    </xf>
    <xf numFmtId="179" fontId="1" fillId="12" borderId="0" xfId="13" applyNumberFormat="1" applyFill="1" applyBorder="1" applyAlignment="1" applyProtection="1">
      <alignment horizontal="right"/>
      <protection hidden="1"/>
    </xf>
    <xf numFmtId="179" fontId="1" fillId="12" borderId="29" xfId="13" applyNumberFormat="1" applyFill="1" applyBorder="1" applyAlignment="1" applyProtection="1">
      <protection hidden="1"/>
    </xf>
    <xf numFmtId="179" fontId="1" fillId="20" borderId="29" xfId="13" applyNumberFormat="1" applyFill="1" applyBorder="1" applyAlignment="1" applyProtection="1">
      <protection hidden="1"/>
    </xf>
    <xf numFmtId="179" fontId="1" fillId="21" borderId="29" xfId="13" applyNumberFormat="1" applyFill="1" applyBorder="1" applyAlignment="1" applyProtection="1">
      <protection hidden="1"/>
    </xf>
    <xf numFmtId="179" fontId="1" fillId="10" borderId="29" xfId="13" applyNumberFormat="1" applyFill="1" applyBorder="1" applyAlignment="1" applyProtection="1">
      <protection hidden="1"/>
    </xf>
    <xf numFmtId="179" fontId="1" fillId="22" borderId="29" xfId="13" applyNumberFormat="1" applyFill="1" applyBorder="1" applyProtection="1">
      <protection hidden="1"/>
    </xf>
    <xf numFmtId="179" fontId="2" fillId="6" borderId="30" xfId="13" applyNumberFormat="1" applyFont="1" applyFill="1" applyBorder="1" applyProtection="1">
      <protection hidden="1"/>
    </xf>
    <xf numFmtId="179" fontId="1" fillId="14" borderId="0" xfId="13" applyNumberFormat="1" applyFill="1" applyProtection="1">
      <protection hidden="1"/>
    </xf>
    <xf numFmtId="179" fontId="1" fillId="12" borderId="0" xfId="13" applyNumberFormat="1" applyFill="1" applyBorder="1" applyAlignment="1" applyProtection="1">
      <alignment horizontal="right"/>
      <protection locked="0" hidden="1"/>
    </xf>
    <xf numFmtId="179" fontId="1" fillId="20" borderId="0" xfId="13" applyNumberFormat="1" applyFill="1" applyBorder="1" applyAlignment="1" applyProtection="1">
      <alignment horizontal="right"/>
      <protection hidden="1"/>
    </xf>
    <xf numFmtId="179" fontId="1" fillId="12" borderId="0" xfId="13" applyNumberFormat="1" applyFont="1" applyFill="1" applyBorder="1" applyAlignment="1" applyProtection="1">
      <alignment horizontal="right"/>
      <protection locked="0" hidden="1"/>
    </xf>
    <xf numFmtId="179" fontId="1" fillId="21" borderId="0" xfId="13" applyNumberFormat="1" applyFont="1" applyFill="1" applyBorder="1" applyAlignment="1" applyProtection="1">
      <alignment horizontal="right"/>
      <protection hidden="1"/>
    </xf>
    <xf numFmtId="164" fontId="1" fillId="7" borderId="0" xfId="13" applyNumberFormat="1" applyFill="1" applyBorder="1" applyAlignment="1" applyProtection="1">
      <alignment horizontal="right"/>
      <protection hidden="1"/>
    </xf>
    <xf numFmtId="166" fontId="1" fillId="2" borderId="12" xfId="13" applyNumberFormat="1" applyFill="1" applyBorder="1" applyAlignment="1" applyProtection="1">
      <protection hidden="1"/>
    </xf>
    <xf numFmtId="166" fontId="1" fillId="2" borderId="28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right"/>
      <protection hidden="1"/>
    </xf>
    <xf numFmtId="0" fontId="1" fillId="2" borderId="27" xfId="13" applyFill="1" applyBorder="1" applyAlignment="1" applyProtection="1">
      <alignment horizontal="left"/>
      <protection hidden="1"/>
    </xf>
    <xf numFmtId="179" fontId="1" fillId="2" borderId="0" xfId="13" applyNumberFormat="1" applyFill="1" applyBorder="1" applyAlignment="1" applyProtection="1">
      <protection hidden="1"/>
    </xf>
    <xf numFmtId="166" fontId="1" fillId="2" borderId="31" xfId="13" applyNumberFormat="1" applyFill="1" applyBorder="1" applyAlignment="1" applyProtection="1">
      <protection hidden="1"/>
    </xf>
    <xf numFmtId="0" fontId="1" fillId="2" borderId="29" xfId="13" applyFill="1" applyBorder="1"/>
    <xf numFmtId="166" fontId="1" fillId="2" borderId="29" xfId="13" applyNumberFormat="1" applyFill="1" applyBorder="1" applyAlignment="1" applyProtection="1">
      <protection hidden="1"/>
    </xf>
    <xf numFmtId="179" fontId="1" fillId="2" borderId="0" xfId="13" applyNumberFormat="1" applyFill="1" applyBorder="1"/>
    <xf numFmtId="179" fontId="2" fillId="2" borderId="0" xfId="13" applyNumberFormat="1" applyFont="1" applyFill="1" applyBorder="1" applyAlignment="1" applyProtection="1">
      <alignment horizontal="left"/>
      <protection hidden="1"/>
    </xf>
    <xf numFmtId="179" fontId="1" fillId="2" borderId="0" xfId="13" applyNumberFormat="1" applyFill="1" applyBorder="1" applyAlignment="1" applyProtection="1">
      <alignment horizontal="left"/>
      <protection hidden="1"/>
    </xf>
    <xf numFmtId="0" fontId="16" fillId="2" borderId="27" xfId="13" applyFont="1" applyFill="1" applyBorder="1" applyAlignment="1" applyProtection="1">
      <alignment horizontal="left"/>
      <protection hidden="1"/>
    </xf>
    <xf numFmtId="0" fontId="1" fillId="2" borderId="27" xfId="13" applyFont="1" applyFill="1" applyBorder="1" applyAlignment="1" applyProtection="1">
      <alignment horizontal="left"/>
      <protection hidden="1"/>
    </xf>
    <xf numFmtId="0" fontId="2" fillId="2" borderId="27" xfId="13" quotePrefix="1" applyFont="1" applyFill="1" applyBorder="1" applyAlignment="1" applyProtection="1">
      <alignment horizontal="left"/>
      <protection hidden="1"/>
    </xf>
    <xf numFmtId="0" fontId="1" fillId="2" borderId="27" xfId="13" applyFill="1" applyBorder="1" applyProtection="1">
      <protection hidden="1"/>
    </xf>
    <xf numFmtId="0" fontId="1" fillId="2" borderId="32" xfId="13" applyFill="1" applyBorder="1" applyProtection="1">
      <protection hidden="1"/>
    </xf>
    <xf numFmtId="0" fontId="1" fillId="2" borderId="33" xfId="13" applyFill="1" applyBorder="1" applyProtection="1">
      <protection hidden="1"/>
    </xf>
    <xf numFmtId="179" fontId="1" fillId="2" borderId="0" xfId="13" applyNumberFormat="1" applyFill="1" applyBorder="1" applyAlignment="1" applyProtection="1">
      <alignment horizontal="right"/>
      <protection hidden="1"/>
    </xf>
    <xf numFmtId="166" fontId="2" fillId="2" borderId="33" xfId="13" applyNumberFormat="1" applyFont="1" applyFill="1" applyBorder="1" applyAlignment="1" applyProtection="1">
      <protection hidden="1"/>
    </xf>
    <xf numFmtId="179" fontId="1" fillId="2" borderId="29" xfId="13" applyNumberFormat="1" applyFill="1" applyBorder="1" applyAlignment="1" applyProtection="1">
      <protection hidden="1"/>
    </xf>
    <xf numFmtId="179" fontId="1" fillId="2" borderId="29" xfId="13" applyNumberFormat="1" applyFill="1" applyBorder="1" applyProtection="1"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VBIFTVABREYNETHAK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VBIFTVABREYNETHAV.xlsx" TargetMode="External"/><Relationship Id="rId1" Type="http://schemas.openxmlformats.org/officeDocument/2006/relationships/hyperlink" Target="VBIFTVABREYNETH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FTVABREYNETHDAC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9"/>
  <sheetViews>
    <sheetView tabSelected="1" zoomScaleNormal="100" workbookViewId="0">
      <selection activeCell="B3" sqref="B3"/>
    </sheetView>
  </sheetViews>
  <sheetFormatPr defaultRowHeight="12.75"/>
  <cols>
    <col min="1" max="1" width="43.7109375" style="1" customWidth="1"/>
    <col min="2" max="2" width="16.85546875" style="1" customWidth="1"/>
    <col min="3" max="3" width="19.28515625" style="1" customWidth="1"/>
    <col min="4" max="4" width="16.5703125" style="1" customWidth="1"/>
    <col min="5" max="5" width="18.85546875" style="1" customWidth="1"/>
    <col min="6" max="6" width="13.42578125" style="1" customWidth="1"/>
    <col min="7" max="7" width="15" style="1" customWidth="1"/>
    <col min="8" max="16" width="9.140625" style="1"/>
    <col min="17" max="17" width="12.140625" style="1" bestFit="1" customWidth="1"/>
    <col min="18" max="16384" width="9.140625" style="1"/>
  </cols>
  <sheetData>
    <row r="1" spans="1:7" ht="27.75" customHeight="1" thickTop="1">
      <c r="A1" s="50" t="s">
        <v>81</v>
      </c>
      <c r="B1" s="51"/>
      <c r="C1" s="51"/>
      <c r="D1" s="51"/>
      <c r="E1" s="97"/>
      <c r="F1" s="147"/>
      <c r="G1" s="147"/>
    </row>
    <row r="2" spans="1:7">
      <c r="A2" s="2"/>
      <c r="B2" s="2"/>
      <c r="C2" s="2"/>
      <c r="D2" s="2"/>
      <c r="E2" s="3"/>
      <c r="F2" s="3"/>
      <c r="G2" s="3"/>
    </row>
    <row r="3" spans="1:7">
      <c r="A3" s="2" t="s">
        <v>0</v>
      </c>
      <c r="B3" s="64"/>
      <c r="C3" s="2"/>
      <c r="D3" s="2"/>
      <c r="E3" s="3"/>
      <c r="F3" s="3"/>
      <c r="G3" s="4"/>
    </row>
    <row r="4" spans="1:7">
      <c r="A4" s="2" t="s">
        <v>13</v>
      </c>
      <c r="B4" s="65"/>
      <c r="C4" s="5"/>
      <c r="E4" s="6"/>
      <c r="F4" s="3"/>
    </row>
    <row r="5" spans="1:7">
      <c r="A5" s="2" t="s">
        <v>14</v>
      </c>
      <c r="B5" s="66">
        <v>0</v>
      </c>
      <c r="C5" s="5"/>
      <c r="E5" s="6"/>
      <c r="F5" s="3"/>
    </row>
    <row r="6" spans="1:7">
      <c r="A6" s="2" t="s">
        <v>15</v>
      </c>
      <c r="B6" s="66">
        <v>0</v>
      </c>
      <c r="C6" s="5"/>
      <c r="E6" s="6"/>
      <c r="F6" s="3"/>
    </row>
    <row r="7" spans="1:7">
      <c r="A7" s="2" t="s">
        <v>16</v>
      </c>
      <c r="B7" s="67" t="s">
        <v>47</v>
      </c>
      <c r="C7" s="5"/>
      <c r="E7" s="6"/>
      <c r="F7" s="3"/>
    </row>
    <row r="8" spans="1:7">
      <c r="A8" s="9" t="s">
        <v>17</v>
      </c>
      <c r="B8" s="68">
        <v>0</v>
      </c>
      <c r="C8" s="5"/>
      <c r="D8" s="3"/>
      <c r="E8" s="7"/>
      <c r="F8" s="3"/>
    </row>
    <row r="9" spans="1:7">
      <c r="A9" s="9" t="s">
        <v>18</v>
      </c>
      <c r="B9" s="69">
        <v>0</v>
      </c>
      <c r="C9" s="5"/>
      <c r="D9" s="3"/>
      <c r="E9" s="7"/>
      <c r="F9" s="3"/>
    </row>
    <row r="10" spans="1:7">
      <c r="A10" s="62" t="s">
        <v>19</v>
      </c>
      <c r="B10" s="70">
        <f>IF(B8&lt;B6,B6/2+B5+B9,B6+B5+B9)</f>
        <v>0</v>
      </c>
      <c r="C10" s="8"/>
      <c r="D10" s="3"/>
      <c r="E10" s="7"/>
      <c r="F10" s="3"/>
    </row>
    <row r="11" spans="1:7">
      <c r="A11" s="8" t="s">
        <v>20</v>
      </c>
      <c r="B11" s="68">
        <v>0</v>
      </c>
      <c r="C11" s="5"/>
      <c r="D11" s="3"/>
      <c r="E11" s="7"/>
      <c r="F11" s="3"/>
    </row>
    <row r="12" spans="1:7">
      <c r="A12" s="8" t="s">
        <v>21</v>
      </c>
      <c r="B12" s="71" t="s">
        <v>47</v>
      </c>
      <c r="C12" s="5"/>
      <c r="D12" s="3"/>
      <c r="E12" s="7"/>
      <c r="F12" s="3"/>
    </row>
    <row r="13" spans="1:7">
      <c r="A13" s="8" t="s">
        <v>22</v>
      </c>
      <c r="B13" s="72">
        <v>0</v>
      </c>
      <c r="C13" s="5"/>
      <c r="E13" s="6"/>
      <c r="F13" s="3"/>
    </row>
    <row r="14" spans="1:7">
      <c r="A14" s="8" t="s">
        <v>23</v>
      </c>
      <c r="B14" s="73" t="s">
        <v>47</v>
      </c>
      <c r="C14" s="5"/>
      <c r="D14" s="5"/>
      <c r="E14" s="9"/>
      <c r="F14" s="3"/>
      <c r="G14" s="7"/>
    </row>
    <row r="15" spans="1:7">
      <c r="A15" s="8" t="s">
        <v>24</v>
      </c>
      <c r="B15" s="73" t="s">
        <v>47</v>
      </c>
      <c r="C15" s="8"/>
      <c r="E15" s="6"/>
      <c r="F15" s="3"/>
      <c r="G15" s="3"/>
    </row>
    <row r="16" spans="1:7" ht="13.5" thickBot="1">
      <c r="A16" s="8"/>
      <c r="B16" s="2"/>
      <c r="C16" s="2"/>
      <c r="D16" s="2"/>
      <c r="E16" s="3"/>
      <c r="F16" s="3"/>
      <c r="G16" s="3"/>
    </row>
    <row r="17" spans="1:7" ht="14.25" thickTop="1" thickBot="1">
      <c r="A17" s="53" t="s">
        <v>25</v>
      </c>
      <c r="B17" s="10"/>
      <c r="C17" s="2"/>
      <c r="D17" s="2"/>
      <c r="E17" s="3"/>
      <c r="F17" s="3"/>
      <c r="G17" s="3"/>
    </row>
    <row r="18" spans="1:7" ht="14.25" thickTop="1" thickBot="1">
      <c r="A18" s="2"/>
      <c r="B18" s="2"/>
      <c r="C18" s="2"/>
      <c r="D18" s="2"/>
      <c r="E18" s="3"/>
      <c r="F18" s="3"/>
      <c r="G18" s="3"/>
    </row>
    <row r="19" spans="1:7" ht="14.25" thickTop="1" thickBot="1">
      <c r="A19" s="54" t="s">
        <v>26</v>
      </c>
      <c r="B19" s="2"/>
      <c r="C19" s="2"/>
      <c r="E19" s="79">
        <f>F221</f>
        <v>0</v>
      </c>
      <c r="F19" s="6"/>
    </row>
    <row r="20" spans="1:7" ht="13.5" thickTop="1">
      <c r="A20" s="8" t="s">
        <v>27</v>
      </c>
      <c r="B20" s="5"/>
      <c r="C20" s="5"/>
      <c r="D20" s="74">
        <f>IF(B7="oui",50,B5*10/100)</f>
        <v>0</v>
      </c>
      <c r="E20" s="80"/>
      <c r="F20" s="9"/>
      <c r="G20" s="7"/>
    </row>
    <row r="21" spans="1:7">
      <c r="A21" s="8"/>
      <c r="B21" s="8" t="s">
        <v>28</v>
      </c>
      <c r="C21" s="5"/>
      <c r="D21" s="74">
        <f>IF(AND(B7="non",B12="oui"),-B5*5/100,0)</f>
        <v>0</v>
      </c>
      <c r="E21" s="80"/>
      <c r="F21" s="9"/>
      <c r="G21" s="7"/>
    </row>
    <row r="22" spans="1:7">
      <c r="A22" s="8"/>
      <c r="B22" s="8" t="s">
        <v>29</v>
      </c>
      <c r="C22" s="5"/>
      <c r="D22" s="74">
        <f>IF(B13&gt;(D20+D21),-(D20+D21),-B13)</f>
        <v>0</v>
      </c>
      <c r="E22" s="80"/>
      <c r="F22" s="9"/>
      <c r="G22" s="7"/>
    </row>
    <row r="23" spans="1:7">
      <c r="A23" s="8"/>
      <c r="B23" s="8" t="s">
        <v>3</v>
      </c>
      <c r="C23" s="5"/>
      <c r="D23" s="75">
        <f>IF(B14="non",0,E198)</f>
        <v>0</v>
      </c>
      <c r="E23" s="80"/>
      <c r="F23" s="9"/>
      <c r="G23" s="7"/>
    </row>
    <row r="24" spans="1:7">
      <c r="A24" s="8"/>
      <c r="B24" s="8" t="s">
        <v>30</v>
      </c>
      <c r="C24" s="5"/>
      <c r="D24" s="74">
        <f>H197</f>
        <v>0</v>
      </c>
      <c r="E24" s="80"/>
      <c r="F24" s="9"/>
      <c r="G24" s="7"/>
    </row>
    <row r="25" spans="1:7">
      <c r="A25" s="8" t="s">
        <v>31</v>
      </c>
      <c r="B25" s="8"/>
      <c r="C25" s="5"/>
      <c r="D25" s="74">
        <f>IF(B7="oui",(B5+B8)*21%,B8*21%)</f>
        <v>0</v>
      </c>
      <c r="E25" s="80"/>
      <c r="F25" s="9"/>
      <c r="G25" s="7"/>
    </row>
    <row r="26" spans="1:7">
      <c r="A26" s="8" t="s">
        <v>32</v>
      </c>
      <c r="B26" s="5"/>
      <c r="C26" s="5"/>
      <c r="D26" s="76">
        <v>0</v>
      </c>
      <c r="E26" s="80"/>
      <c r="F26" s="3"/>
      <c r="G26" s="3"/>
    </row>
    <row r="27" spans="1:7">
      <c r="A27" s="8" t="s">
        <v>33</v>
      </c>
      <c r="B27" s="52">
        <v>0</v>
      </c>
      <c r="C27" s="5"/>
      <c r="D27" s="74">
        <f>B27*30</f>
        <v>0</v>
      </c>
      <c r="E27" s="80"/>
      <c r="F27" s="3"/>
      <c r="G27" s="3"/>
    </row>
    <row r="28" spans="1:7">
      <c r="A28" s="8" t="s">
        <v>34</v>
      </c>
      <c r="B28" s="5"/>
      <c r="C28" s="5"/>
      <c r="D28" s="77">
        <v>770</v>
      </c>
      <c r="E28" s="80"/>
      <c r="F28" s="3"/>
      <c r="G28" s="3"/>
    </row>
    <row r="29" spans="1:7" ht="15.75" thickBot="1">
      <c r="A29" s="12" t="s">
        <v>35</v>
      </c>
      <c r="B29" s="13"/>
      <c r="C29" s="13"/>
      <c r="D29" s="78">
        <v>0</v>
      </c>
      <c r="E29" s="80"/>
      <c r="F29" s="3"/>
      <c r="G29" s="3"/>
    </row>
    <row r="30" spans="1:7" ht="14.25" thickTop="1" thickBot="1">
      <c r="A30" s="63" t="s">
        <v>36</v>
      </c>
      <c r="B30" s="5"/>
      <c r="C30" s="5"/>
      <c r="E30" s="81">
        <f>SUM(D20:D29)</f>
        <v>770</v>
      </c>
      <c r="F30" s="3"/>
      <c r="G30" s="3"/>
    </row>
    <row r="31" spans="1:7" ht="14.25" thickTop="1" thickBot="1">
      <c r="B31" s="5"/>
      <c r="C31" s="5"/>
      <c r="D31" s="55" t="s">
        <v>31</v>
      </c>
      <c r="E31" s="82">
        <f>(E19+D28)*21%</f>
        <v>161.69999999999999</v>
      </c>
      <c r="F31" s="3"/>
      <c r="G31" s="3"/>
    </row>
    <row r="32" spans="1:7" ht="14.25" thickTop="1" thickBot="1">
      <c r="A32" s="14"/>
      <c r="B32" s="5"/>
      <c r="C32" s="5"/>
      <c r="D32" s="15"/>
      <c r="E32" s="83"/>
      <c r="F32" s="3"/>
      <c r="G32" s="3"/>
    </row>
    <row r="33" spans="1:7" ht="14.25" thickTop="1" thickBot="1">
      <c r="A33" s="56" t="s">
        <v>37</v>
      </c>
      <c r="B33" s="17"/>
      <c r="C33" s="5"/>
      <c r="D33" s="18"/>
      <c r="E33" s="84">
        <f>SUM(E19:E31)</f>
        <v>931.7</v>
      </c>
      <c r="F33" s="3"/>
      <c r="G33" s="3"/>
    </row>
    <row r="34" spans="1:7" ht="14.25" thickTop="1" thickBot="1">
      <c r="A34" s="8"/>
      <c r="B34" s="5"/>
      <c r="C34" s="5"/>
      <c r="D34" s="18"/>
      <c r="E34" s="85"/>
      <c r="F34" s="3"/>
      <c r="G34" s="3"/>
    </row>
    <row r="35" spans="1:7" ht="14.25" thickTop="1" thickBot="1">
      <c r="A35" s="57" t="s">
        <v>38</v>
      </c>
      <c r="B35" s="17"/>
      <c r="C35" s="5"/>
      <c r="D35" s="11"/>
      <c r="E35" s="80"/>
      <c r="F35" s="3"/>
      <c r="G35" s="3"/>
    </row>
    <row r="36" spans="1:7" ht="13.5" thickTop="1">
      <c r="A36" s="8"/>
      <c r="B36" s="5"/>
      <c r="C36" s="5"/>
      <c r="D36" s="11"/>
      <c r="E36" s="80"/>
      <c r="F36" s="3"/>
      <c r="G36" s="3"/>
    </row>
    <row r="37" spans="1:7">
      <c r="A37" s="8" t="s">
        <v>39</v>
      </c>
      <c r="B37" s="5"/>
      <c r="C37" s="5"/>
      <c r="D37" s="76">
        <v>0</v>
      </c>
      <c r="E37" s="80"/>
      <c r="F37" s="3"/>
      <c r="G37" s="3"/>
    </row>
    <row r="38" spans="1:7">
      <c r="A38" s="8" t="s">
        <v>41</v>
      </c>
      <c r="B38" s="5"/>
      <c r="C38" s="5"/>
      <c r="D38" s="76">
        <v>0</v>
      </c>
      <c r="E38" s="80"/>
      <c r="F38" s="3"/>
      <c r="G38" s="3"/>
    </row>
    <row r="39" spans="1:7">
      <c r="A39" s="8" t="s">
        <v>40</v>
      </c>
      <c r="B39" s="5"/>
      <c r="C39" s="5"/>
      <c r="D39" s="76">
        <v>0</v>
      </c>
      <c r="E39" s="80"/>
      <c r="F39" s="3"/>
      <c r="G39" s="3"/>
    </row>
    <row r="40" spans="1:7">
      <c r="A40" s="8" t="s">
        <v>42</v>
      </c>
      <c r="B40" s="52">
        <v>0</v>
      </c>
      <c r="C40" s="5"/>
      <c r="D40" s="74">
        <f>B40*50</f>
        <v>0</v>
      </c>
      <c r="E40" s="80"/>
      <c r="F40" s="3"/>
      <c r="G40" s="3"/>
    </row>
    <row r="41" spans="1:7" ht="13.5" thickBot="1">
      <c r="A41" s="8" t="s">
        <v>43</v>
      </c>
      <c r="B41" s="5"/>
      <c r="C41" s="5"/>
      <c r="D41" s="76">
        <v>0</v>
      </c>
      <c r="E41" s="80"/>
      <c r="F41" s="3"/>
      <c r="G41" s="3"/>
    </row>
    <row r="42" spans="1:7" ht="14.25" thickTop="1" thickBot="1">
      <c r="A42" s="58" t="s">
        <v>44</v>
      </c>
      <c r="B42" s="5"/>
      <c r="C42" s="5"/>
      <c r="E42" s="86">
        <f>SUM(D37:D41)</f>
        <v>0</v>
      </c>
      <c r="F42" s="3"/>
      <c r="G42" s="7"/>
    </row>
    <row r="43" spans="1:7" ht="14.25" thickTop="1" thickBot="1">
      <c r="A43" s="20"/>
      <c r="B43" s="5"/>
      <c r="C43" s="5"/>
      <c r="D43" s="59" t="s">
        <v>31</v>
      </c>
      <c r="E43" s="87">
        <f>(D37+D40+D41)*21%</f>
        <v>0</v>
      </c>
      <c r="F43" s="3"/>
      <c r="G43" s="7"/>
    </row>
    <row r="44" spans="1:7" ht="14.25" thickTop="1" thickBot="1">
      <c r="A44" s="21"/>
      <c r="B44" s="5"/>
      <c r="C44" s="5"/>
      <c r="D44" s="22"/>
      <c r="E44" s="80"/>
      <c r="F44" s="3"/>
      <c r="G44" s="7"/>
    </row>
    <row r="45" spans="1:7" ht="14.25" thickTop="1" thickBot="1">
      <c r="A45" s="60" t="s">
        <v>45</v>
      </c>
      <c r="B45" s="17"/>
      <c r="C45" s="5"/>
      <c r="D45" s="23"/>
      <c r="E45" s="88">
        <f>SUM(E42:E43)</f>
        <v>0</v>
      </c>
      <c r="F45" s="24"/>
      <c r="G45" s="7"/>
    </row>
    <row r="46" spans="1:7" ht="13.5" thickTop="1">
      <c r="A46" s="8"/>
      <c r="B46" s="5"/>
      <c r="C46" s="5"/>
      <c r="D46" s="5"/>
      <c r="E46" s="80"/>
      <c r="F46" s="3"/>
      <c r="G46" s="7"/>
    </row>
    <row r="47" spans="1:7">
      <c r="A47" s="125" t="s">
        <v>66</v>
      </c>
      <c r="B47" s="2"/>
      <c r="C47" s="2"/>
      <c r="D47" s="2"/>
      <c r="E47" s="4"/>
      <c r="F47" s="3"/>
      <c r="G47" s="3"/>
    </row>
    <row r="48" spans="1:7" ht="13.5" thickBot="1">
      <c r="A48" s="2"/>
      <c r="B48" s="2"/>
      <c r="C48" s="2"/>
      <c r="D48" s="2"/>
      <c r="E48" s="4"/>
      <c r="F48" s="3"/>
      <c r="G48" s="3"/>
    </row>
    <row r="49" spans="1:6" ht="13.5" thickTop="1">
      <c r="A49" s="126" t="s">
        <v>67</v>
      </c>
      <c r="B49" s="148" t="s">
        <v>56</v>
      </c>
      <c r="C49" s="129">
        <v>0</v>
      </c>
      <c r="D49" s="148"/>
      <c r="E49" s="148"/>
      <c r="F49" s="152"/>
    </row>
    <row r="50" spans="1:6">
      <c r="A50" s="150"/>
      <c r="B50" s="3" t="s">
        <v>57</v>
      </c>
      <c r="C50" s="130">
        <v>0</v>
      </c>
      <c r="D50" s="14"/>
      <c r="E50" s="14"/>
      <c r="F50" s="153"/>
    </row>
    <row r="51" spans="1:6">
      <c r="A51" s="150"/>
      <c r="B51" s="3" t="s">
        <v>58</v>
      </c>
      <c r="C51" s="131">
        <f>SUM(C49:C50)</f>
        <v>0</v>
      </c>
      <c r="D51" s="14"/>
      <c r="E51" s="14"/>
      <c r="F51" s="153"/>
    </row>
    <row r="52" spans="1:6">
      <c r="A52" s="150"/>
      <c r="B52" s="3"/>
      <c r="C52" s="151"/>
      <c r="D52" s="14"/>
      <c r="E52" s="14"/>
      <c r="F52" s="153"/>
    </row>
    <row r="53" spans="1:6">
      <c r="A53" s="127" t="s">
        <v>68</v>
      </c>
      <c r="B53" s="3" t="s">
        <v>56</v>
      </c>
      <c r="C53" s="132">
        <v>0</v>
      </c>
      <c r="D53" s="14"/>
      <c r="E53" s="14"/>
      <c r="F53" s="153"/>
    </row>
    <row r="54" spans="1:6">
      <c r="A54" s="158"/>
      <c r="B54" s="3" t="s">
        <v>57</v>
      </c>
      <c r="C54" s="132">
        <v>0</v>
      </c>
      <c r="D54" s="14"/>
      <c r="E54" s="14"/>
      <c r="F54" s="153"/>
    </row>
    <row r="55" spans="1:6">
      <c r="A55" s="158"/>
      <c r="B55" s="3" t="s">
        <v>58</v>
      </c>
      <c r="C55" s="133">
        <f>SUM(C53:C54)</f>
        <v>0</v>
      </c>
      <c r="D55" s="14"/>
      <c r="E55" s="14"/>
      <c r="F55" s="153"/>
    </row>
    <row r="56" spans="1:6">
      <c r="A56" s="159"/>
      <c r="B56" s="149"/>
      <c r="C56" s="155"/>
      <c r="D56" s="14"/>
      <c r="E56" s="14"/>
      <c r="F56" s="153"/>
    </row>
    <row r="57" spans="1:6">
      <c r="A57" s="159" t="s">
        <v>69</v>
      </c>
      <c r="B57" s="128">
        <v>2</v>
      </c>
      <c r="C57" s="155"/>
      <c r="D57" s="14"/>
      <c r="E57" s="3"/>
      <c r="F57" s="154"/>
    </row>
    <row r="58" spans="1:6">
      <c r="A58" s="160" t="s">
        <v>59</v>
      </c>
      <c r="B58" s="2"/>
      <c r="C58" s="156"/>
      <c r="D58" s="3"/>
      <c r="E58" s="3"/>
      <c r="F58" s="154"/>
    </row>
    <row r="59" spans="1:6">
      <c r="A59" s="150"/>
      <c r="B59" s="5"/>
      <c r="C59" s="157"/>
      <c r="D59" s="3"/>
      <c r="E59" s="3" t="s">
        <v>64</v>
      </c>
      <c r="F59" s="135">
        <f>IF(C55&gt;C51,E165+(E178-E191),E153)</f>
        <v>0</v>
      </c>
    </row>
    <row r="60" spans="1:6">
      <c r="A60" s="159" t="s">
        <v>70</v>
      </c>
      <c r="B60" s="5"/>
      <c r="C60" s="134">
        <f>G106</f>
        <v>75</v>
      </c>
      <c r="D60" s="3"/>
      <c r="E60" s="9" t="s">
        <v>60</v>
      </c>
      <c r="F60" s="136">
        <f>F59*21/100</f>
        <v>0</v>
      </c>
    </row>
    <row r="61" spans="1:6">
      <c r="A61" s="159" t="s">
        <v>71</v>
      </c>
      <c r="B61" s="5"/>
      <c r="C61" s="142">
        <v>0</v>
      </c>
      <c r="D61" s="3"/>
      <c r="E61" s="3"/>
      <c r="F61" s="166"/>
    </row>
    <row r="62" spans="1:6">
      <c r="A62" s="159" t="s">
        <v>72</v>
      </c>
      <c r="B62" s="146">
        <f>(A100+ROUNDDOWN((C49+C50-1)/C101,0)*A101)</f>
        <v>67.31</v>
      </c>
      <c r="C62" s="164"/>
      <c r="D62" s="3"/>
      <c r="E62" s="3"/>
      <c r="F62" s="166"/>
    </row>
    <row r="63" spans="1:6">
      <c r="A63" s="159" t="s">
        <v>73</v>
      </c>
      <c r="B63" s="146">
        <f>(A113+ROUNDDOWN((C53+C54-1)/C114,0)*A114)</f>
        <v>117.11</v>
      </c>
      <c r="C63" s="164"/>
      <c r="D63" s="3"/>
      <c r="E63" s="3"/>
      <c r="F63" s="166"/>
    </row>
    <row r="64" spans="1:6">
      <c r="A64" s="159" t="s">
        <v>74</v>
      </c>
      <c r="B64" s="146">
        <f>IF(C55&gt;C51,(C55-C51)*0.3%,0)</f>
        <v>0</v>
      </c>
      <c r="C64" s="164"/>
      <c r="D64" s="3"/>
      <c r="E64" s="3"/>
      <c r="F64" s="166"/>
    </row>
    <row r="65" spans="1:7">
      <c r="A65" s="159" t="s">
        <v>75</v>
      </c>
      <c r="B65" s="5"/>
      <c r="C65" s="134">
        <f>D121+B64</f>
        <v>220</v>
      </c>
      <c r="D65" s="3"/>
      <c r="E65" s="3"/>
      <c r="F65" s="166"/>
    </row>
    <row r="66" spans="1:7">
      <c r="A66" s="159" t="s">
        <v>76</v>
      </c>
      <c r="B66" s="5"/>
      <c r="C66" s="134">
        <v>0</v>
      </c>
      <c r="D66" s="3"/>
      <c r="E66" s="3"/>
      <c r="F66" s="166"/>
    </row>
    <row r="67" spans="1:7">
      <c r="A67" s="150"/>
      <c r="B67" s="9" t="s">
        <v>60</v>
      </c>
      <c r="C67" s="143">
        <f>C66*21/100</f>
        <v>0</v>
      </c>
      <c r="D67" s="3"/>
      <c r="E67" s="3"/>
      <c r="F67" s="166"/>
    </row>
    <row r="68" spans="1:7">
      <c r="A68" s="159" t="s">
        <v>77</v>
      </c>
      <c r="B68" s="5"/>
      <c r="C68" s="144">
        <f>IF(B57=1,770,710)</f>
        <v>710</v>
      </c>
      <c r="D68" s="3"/>
      <c r="E68" s="3"/>
      <c r="F68" s="166"/>
    </row>
    <row r="69" spans="1:7">
      <c r="A69" s="150"/>
      <c r="B69" s="9" t="s">
        <v>60</v>
      </c>
      <c r="C69" s="143">
        <f>C68*21/100</f>
        <v>149.1</v>
      </c>
      <c r="D69" s="3"/>
      <c r="E69" s="3"/>
      <c r="F69" s="166"/>
    </row>
    <row r="70" spans="1:7">
      <c r="A70" s="159" t="s">
        <v>78</v>
      </c>
      <c r="B70" s="8"/>
      <c r="C70" s="142">
        <v>0</v>
      </c>
      <c r="D70" s="3"/>
      <c r="E70" s="3"/>
      <c r="F70" s="166"/>
    </row>
    <row r="71" spans="1:7">
      <c r="A71" s="150"/>
      <c r="B71" s="9" t="s">
        <v>60</v>
      </c>
      <c r="C71" s="143">
        <f>C70*21/100</f>
        <v>0</v>
      </c>
      <c r="D71" s="3"/>
      <c r="E71" s="3"/>
      <c r="F71" s="166"/>
    </row>
    <row r="72" spans="1:7">
      <c r="A72" s="150"/>
      <c r="B72" s="5"/>
      <c r="C72" s="164"/>
      <c r="D72" s="3"/>
      <c r="E72" s="3"/>
      <c r="F72" s="166"/>
    </row>
    <row r="73" spans="1:7">
      <c r="A73" s="150"/>
      <c r="B73" s="5" t="s">
        <v>61</v>
      </c>
      <c r="C73" s="145">
        <f>A110</f>
        <v>1004.9999999999999</v>
      </c>
      <c r="D73" s="3"/>
      <c r="E73" s="3" t="s">
        <v>62</v>
      </c>
      <c r="F73" s="137">
        <f>F59</f>
        <v>0</v>
      </c>
    </row>
    <row r="74" spans="1:7">
      <c r="A74" s="150"/>
      <c r="B74" s="5"/>
      <c r="C74" s="5"/>
      <c r="D74" s="3"/>
      <c r="E74" s="3" t="s">
        <v>61</v>
      </c>
      <c r="F74" s="137">
        <f>C73</f>
        <v>1004.9999999999999</v>
      </c>
    </row>
    <row r="75" spans="1:7">
      <c r="A75" s="150"/>
      <c r="B75" s="5"/>
      <c r="C75" s="5"/>
      <c r="D75" s="3"/>
      <c r="E75" s="3" t="s">
        <v>63</v>
      </c>
      <c r="F75" s="138">
        <f>SUM(F73+C73)</f>
        <v>1004.9999999999999</v>
      </c>
    </row>
    <row r="76" spans="1:7">
      <c r="A76" s="161"/>
      <c r="B76" s="6"/>
      <c r="C76" s="6"/>
      <c r="D76" s="6"/>
      <c r="E76" s="6"/>
      <c r="F76" s="167"/>
    </row>
    <row r="77" spans="1:7">
      <c r="A77" s="161"/>
      <c r="B77" s="6"/>
      <c r="C77" s="6"/>
      <c r="D77" s="6"/>
      <c r="E77" s="9" t="s">
        <v>79</v>
      </c>
      <c r="F77" s="139">
        <f>C67+C69+C71+F60</f>
        <v>149.1</v>
      </c>
    </row>
    <row r="78" spans="1:7" ht="13.5" thickBot="1">
      <c r="A78" s="161"/>
      <c r="B78" s="6"/>
      <c r="C78" s="6"/>
      <c r="D78" s="6"/>
      <c r="E78" s="6"/>
      <c r="F78" s="167"/>
    </row>
    <row r="79" spans="1:7" ht="14.25" thickTop="1" thickBot="1">
      <c r="A79" s="162"/>
      <c r="B79" s="163"/>
      <c r="C79" s="163"/>
      <c r="D79" s="163"/>
      <c r="E79" s="165" t="s">
        <v>80</v>
      </c>
      <c r="F79" s="140">
        <f>SUM(F75:F77)</f>
        <v>1154.0999999999999</v>
      </c>
    </row>
    <row r="80" spans="1:7" ht="15.75" thickTop="1">
      <c r="A80" s="94"/>
      <c r="B80" s="13"/>
      <c r="C80" s="13"/>
      <c r="D80" s="95"/>
      <c r="E80" s="98"/>
      <c r="F80" s="99"/>
      <c r="G80" s="100"/>
    </row>
    <row r="81" spans="1:23" ht="15">
      <c r="A81" s="94"/>
      <c r="B81" s="13"/>
      <c r="C81" s="13"/>
      <c r="D81" s="95"/>
      <c r="E81" s="14"/>
      <c r="F81" s="96"/>
      <c r="G81" s="6"/>
    </row>
    <row r="82" spans="1:23">
      <c r="A82" s="6"/>
      <c r="B82" s="26" t="s">
        <v>6</v>
      </c>
      <c r="D82" s="61" t="s">
        <v>7</v>
      </c>
      <c r="E82" s="6"/>
    </row>
    <row r="83" spans="1:23">
      <c r="A83" s="6"/>
      <c r="B83" s="6"/>
      <c r="C83" s="6"/>
      <c r="E83" s="6"/>
      <c r="F83" s="19"/>
      <c r="G83" s="6"/>
    </row>
    <row r="84" spans="1:23">
      <c r="A84" s="6"/>
      <c r="B84" s="25" t="s">
        <v>4</v>
      </c>
      <c r="D84" s="25" t="s">
        <v>5</v>
      </c>
      <c r="E84" s="6"/>
      <c r="F84" s="18"/>
      <c r="G84" s="16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</row>
    <row r="85" spans="1:23">
      <c r="A85" s="6"/>
      <c r="B85" s="28"/>
      <c r="C85" s="28"/>
      <c r="D85" s="28"/>
      <c r="E85" s="6"/>
      <c r="F85" s="29"/>
      <c r="G85" s="28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</row>
    <row r="86" spans="1:23" ht="14.25">
      <c r="B86" s="27"/>
      <c r="C86" s="25" t="s">
        <v>82</v>
      </c>
      <c r="D86" s="30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</row>
    <row r="87" spans="1:23" ht="14.25" hidden="1">
      <c r="B87" s="27"/>
      <c r="C87" s="25"/>
      <c r="D87" s="30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</row>
    <row r="88" spans="1:23" ht="15" hidden="1">
      <c r="A88" s="89"/>
      <c r="B88" s="91"/>
      <c r="C88" s="91"/>
      <c r="D88" s="92"/>
      <c r="E88" s="93"/>
      <c r="F88" s="89"/>
      <c r="G88" s="89"/>
      <c r="H88" s="89" t="e">
        <f>IF(#REF!=1,185,0)</f>
        <v>#REF!</v>
      </c>
      <c r="I88" s="89" t="e">
        <f>IF(#REF!=2,385,0)</f>
        <v>#REF!</v>
      </c>
      <c r="J88" s="89" t="e">
        <f>IF(#REF!&gt;2,(385+(#REF!-2)*200),0)</f>
        <v>#REF!</v>
      </c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</row>
    <row r="89" spans="1:23" ht="15" hidden="1">
      <c r="A89" s="89"/>
      <c r="B89" s="91"/>
      <c r="C89" s="91"/>
      <c r="D89" s="92"/>
      <c r="E89" s="93"/>
      <c r="F89" s="89"/>
      <c r="G89" s="89"/>
      <c r="H89" s="89"/>
      <c r="I89" s="89"/>
      <c r="J89" s="89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</row>
    <row r="90" spans="1:23" ht="15" hidden="1">
      <c r="A90" s="89"/>
      <c r="B90" s="91"/>
      <c r="C90" s="91"/>
      <c r="D90" s="92"/>
      <c r="E90" s="93"/>
      <c r="F90" s="89"/>
      <c r="G90" s="89"/>
      <c r="H90" s="89" t="e">
        <f>SUM(H88:J88)</f>
        <v>#REF!</v>
      </c>
      <c r="I90" s="89"/>
      <c r="J90" s="89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</row>
    <row r="91" spans="1:23" ht="15" hidden="1">
      <c r="A91" s="89"/>
      <c r="B91" s="91"/>
      <c r="C91" s="91"/>
      <c r="D91" s="92"/>
      <c r="E91" s="93"/>
      <c r="F91" s="89"/>
      <c r="G91" s="89"/>
      <c r="H91" s="89"/>
      <c r="I91" s="89"/>
      <c r="J91" s="89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</row>
    <row r="92" spans="1:23" ht="15" hidden="1">
      <c r="A92" s="89"/>
      <c r="B92" s="91"/>
      <c r="C92" s="91"/>
      <c r="D92" s="92"/>
      <c r="E92" s="93"/>
      <c r="F92" s="89"/>
      <c r="G92" s="89"/>
      <c r="H92" s="89"/>
      <c r="I92" s="89"/>
      <c r="J92" s="89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</row>
    <row r="93" spans="1:23" ht="14.25" hidden="1">
      <c r="B93" s="27"/>
      <c r="D93" s="30"/>
      <c r="E93" s="25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</row>
    <row r="94" spans="1:23" ht="14.25" hidden="1">
      <c r="B94" s="27"/>
      <c r="C94" s="30"/>
      <c r="D94" s="30"/>
      <c r="E94" s="30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</row>
    <row r="95" spans="1:23" ht="14.25" hidden="1">
      <c r="B95" s="27"/>
      <c r="C95" s="1">
        <f>IF(B7="oui",50,B5*10/100)</f>
        <v>0</v>
      </c>
      <c r="D95" s="30"/>
      <c r="E95" s="30">
        <f>IF(B13&gt;0,B13,0)</f>
        <v>0</v>
      </c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</row>
    <row r="96" spans="1:23" hidden="1">
      <c r="B96" s="27"/>
      <c r="C96" s="27"/>
      <c r="D96" s="27"/>
      <c r="E96" s="27">
        <f>IF(B13&gt;E20,-E20,-B13)</f>
        <v>0</v>
      </c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</row>
    <row r="97" spans="1:23" hidden="1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</row>
    <row r="98" spans="1:23" ht="13.5" hidden="1" thickBot="1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</row>
    <row r="99" spans="1:23" hidden="1">
      <c r="A99" s="101" t="s">
        <v>48</v>
      </c>
      <c r="B99" s="102"/>
      <c r="C99" s="102"/>
      <c r="D99" s="103"/>
      <c r="E99" s="104"/>
      <c r="F99" s="104" t="s">
        <v>49</v>
      </c>
      <c r="G99" s="104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</row>
    <row r="100" spans="1:23" hidden="1">
      <c r="A100" s="105">
        <v>67.31</v>
      </c>
      <c r="B100" s="106" t="s">
        <v>50</v>
      </c>
      <c r="C100" s="106">
        <v>25000</v>
      </c>
      <c r="D100" s="107"/>
      <c r="E100" s="104"/>
      <c r="F100" s="104"/>
      <c r="G100" s="104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</row>
    <row r="101" spans="1:23" ht="13.5" hidden="1" thickBot="1">
      <c r="A101" s="108">
        <v>23.56</v>
      </c>
      <c r="B101" s="109" t="s">
        <v>51</v>
      </c>
      <c r="C101" s="109">
        <v>25000</v>
      </c>
      <c r="D101" s="110" t="s">
        <v>52</v>
      </c>
      <c r="E101" s="104"/>
      <c r="F101" s="104"/>
      <c r="G101" s="104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</row>
    <row r="102" spans="1:23" hidden="1">
      <c r="A102" s="104"/>
      <c r="B102" s="104"/>
      <c r="C102" s="104"/>
      <c r="D102" s="104"/>
      <c r="E102" s="104"/>
      <c r="F102" s="104"/>
      <c r="G102" s="111">
        <f>C55-C51</f>
        <v>0</v>
      </c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</row>
    <row r="103" spans="1:23" hidden="1">
      <c r="A103" s="104"/>
      <c r="B103" s="104"/>
      <c r="C103" s="104"/>
      <c r="D103" s="104"/>
      <c r="E103" s="104"/>
      <c r="F103" s="104"/>
      <c r="G103" s="104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</row>
    <row r="104" spans="1:23" hidden="1">
      <c r="A104" s="104"/>
      <c r="B104" s="104"/>
      <c r="C104" s="104"/>
      <c r="D104" s="104"/>
      <c r="E104" s="104"/>
      <c r="F104" s="104"/>
      <c r="G104" s="141">
        <f>IF(G102&gt;0,G102*0.01,75)</f>
        <v>75</v>
      </c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</row>
    <row r="105" spans="1:23" hidden="1">
      <c r="A105" s="104" t="s">
        <v>53</v>
      </c>
      <c r="B105" s="104"/>
      <c r="C105" s="104" t="s">
        <v>10</v>
      </c>
      <c r="D105" s="104" t="s">
        <v>54</v>
      </c>
      <c r="E105" s="104"/>
      <c r="F105" s="104"/>
      <c r="G105" s="141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</row>
    <row r="106" spans="1:23" hidden="1">
      <c r="A106" s="104"/>
      <c r="B106" s="104"/>
      <c r="C106" s="111">
        <f>C61</f>
        <v>0</v>
      </c>
      <c r="D106" s="104">
        <f>IF(C61=0,575,550)</f>
        <v>575</v>
      </c>
      <c r="E106" s="104"/>
      <c r="F106" s="104"/>
      <c r="G106" s="141">
        <f>IF(G104&lt;75,75,G104)</f>
        <v>75</v>
      </c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</row>
    <row r="107" spans="1:23" hidden="1">
      <c r="A107" s="104"/>
      <c r="B107" s="104"/>
      <c r="C107" s="104"/>
      <c r="D107" s="104"/>
      <c r="E107" s="104"/>
      <c r="F107" s="104"/>
      <c r="G107" s="104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</row>
    <row r="108" spans="1:23" hidden="1">
      <c r="A108" s="104"/>
      <c r="B108" s="104"/>
      <c r="C108" s="104"/>
      <c r="D108" s="104"/>
      <c r="E108" s="104"/>
      <c r="F108" s="104"/>
      <c r="G108" s="104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</row>
    <row r="109" spans="1:23" hidden="1">
      <c r="A109" s="104"/>
      <c r="B109" s="104"/>
      <c r="C109" s="104"/>
      <c r="D109" s="104"/>
      <c r="E109" s="104"/>
      <c r="F109" s="104"/>
      <c r="G109" s="104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</row>
    <row r="110" spans="1:23" hidden="1">
      <c r="A110" s="112">
        <f>SUM(C59:C71)-C67-C69-C71</f>
        <v>1004.9999999999999</v>
      </c>
      <c r="B110" s="104"/>
      <c r="C110" s="104"/>
      <c r="D110" s="104"/>
      <c r="E110" s="104"/>
      <c r="F110" s="104"/>
      <c r="G110" s="104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</row>
    <row r="111" spans="1:23" ht="13.5" hidden="1" thickBot="1">
      <c r="A111" s="104"/>
      <c r="B111" s="104"/>
      <c r="C111" s="104"/>
      <c r="D111" s="104"/>
      <c r="E111" s="104"/>
      <c r="F111" s="104"/>
      <c r="G111" s="104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</row>
    <row r="112" spans="1:23" hidden="1">
      <c r="A112" s="101" t="s">
        <v>65</v>
      </c>
      <c r="B112" s="102"/>
      <c r="C112" s="102"/>
      <c r="D112" s="103"/>
      <c r="E112" s="104"/>
      <c r="F112" s="104"/>
      <c r="G112" s="104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</row>
    <row r="113" spans="1:23" hidden="1">
      <c r="A113" s="105">
        <v>117.11</v>
      </c>
      <c r="B113" s="106" t="s">
        <v>50</v>
      </c>
      <c r="C113" s="106">
        <v>25000</v>
      </c>
      <c r="D113" s="107"/>
      <c r="E113" s="104"/>
      <c r="F113" s="104"/>
      <c r="G113" s="104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</row>
    <row r="114" spans="1:23" ht="13.5" hidden="1" thickBot="1">
      <c r="A114" s="108">
        <v>23.56</v>
      </c>
      <c r="B114" s="109" t="s">
        <v>51</v>
      </c>
      <c r="C114" s="109">
        <v>25000</v>
      </c>
      <c r="D114" s="110" t="s">
        <v>52</v>
      </c>
      <c r="E114" s="104"/>
      <c r="F114" s="104"/>
      <c r="G114" s="104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</row>
    <row r="115" spans="1:23" hidden="1">
      <c r="A115" s="104"/>
      <c r="B115" s="104"/>
      <c r="C115" s="104"/>
      <c r="D115" s="104"/>
      <c r="E115" s="104"/>
      <c r="F115" s="104"/>
      <c r="G115" s="104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</row>
    <row r="116" spans="1:23" hidden="1">
      <c r="A116" s="104"/>
      <c r="B116" s="104"/>
      <c r="C116" s="104"/>
      <c r="D116" s="104"/>
      <c r="E116" s="104"/>
      <c r="F116" s="104"/>
      <c r="G116" s="104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</row>
    <row r="117" spans="1:23" hidden="1">
      <c r="A117" s="104"/>
      <c r="B117" s="104"/>
      <c r="C117" s="104"/>
      <c r="D117" s="104"/>
      <c r="E117" s="104"/>
      <c r="F117" s="104"/>
      <c r="G117" s="104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</row>
    <row r="118" spans="1:23" hidden="1">
      <c r="A118" s="104"/>
      <c r="B118" s="104"/>
      <c r="C118" s="104"/>
      <c r="D118" s="111">
        <f>ROUNDUP(B62+B63,-2)</f>
        <v>200</v>
      </c>
      <c r="E118" s="104"/>
      <c r="F118" s="104"/>
      <c r="G118" s="104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</row>
    <row r="119" spans="1:23" hidden="1">
      <c r="A119" s="104"/>
      <c r="B119" s="104"/>
      <c r="C119" s="104"/>
      <c r="D119" s="104">
        <f>IF((D118-B62-B63)&gt;90,D118-50,D118)</f>
        <v>200</v>
      </c>
      <c r="E119" s="104"/>
      <c r="F119" s="104"/>
      <c r="G119" s="104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</row>
    <row r="120" spans="1:23" hidden="1">
      <c r="A120" s="104"/>
      <c r="B120" s="104"/>
      <c r="C120" s="104"/>
      <c r="D120" s="104">
        <f>IF((D119-B62-B63)&lt;30,(B62+B63+30),D119)</f>
        <v>214.42000000000002</v>
      </c>
      <c r="E120" s="104"/>
      <c r="F120" s="104"/>
      <c r="G120" s="104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</row>
    <row r="121" spans="1:23" hidden="1">
      <c r="A121" s="104"/>
      <c r="B121" s="104"/>
      <c r="C121" s="104"/>
      <c r="D121" s="104">
        <f>ROUNDUP(D120,-1)</f>
        <v>220</v>
      </c>
      <c r="E121" s="104"/>
      <c r="F121" s="104"/>
      <c r="G121" s="104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</row>
    <row r="122" spans="1:23" hidden="1">
      <c r="A122" s="104"/>
      <c r="B122" s="104"/>
      <c r="C122" s="104"/>
      <c r="D122" s="104"/>
      <c r="E122" s="104"/>
      <c r="F122" s="104"/>
      <c r="G122" s="104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</row>
    <row r="123" spans="1:23" hidden="1">
      <c r="A123" s="104"/>
      <c r="B123" s="104"/>
      <c r="C123" s="104"/>
      <c r="D123" s="104"/>
      <c r="E123" s="104"/>
      <c r="F123" s="104"/>
      <c r="G123" s="104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</row>
    <row r="124" spans="1:23" hidden="1">
      <c r="A124" s="104"/>
      <c r="B124" s="104"/>
      <c r="C124" s="104"/>
      <c r="D124" s="104"/>
      <c r="E124" s="104"/>
      <c r="F124" s="104"/>
      <c r="G124" s="104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</row>
    <row r="125" spans="1:23" hidden="1">
      <c r="A125" s="104"/>
      <c r="B125" s="104"/>
      <c r="C125" s="104"/>
      <c r="D125" s="104"/>
      <c r="E125" s="104"/>
      <c r="F125" s="104"/>
      <c r="G125" s="104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</row>
    <row r="126" spans="1:23" hidden="1">
      <c r="A126" s="104"/>
      <c r="B126" s="104"/>
      <c r="C126" s="104"/>
      <c r="D126" s="104"/>
      <c r="E126" s="104"/>
      <c r="F126" s="104"/>
      <c r="G126" s="104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</row>
    <row r="127" spans="1:23" hidden="1">
      <c r="A127" s="104"/>
      <c r="B127" s="104"/>
      <c r="C127" s="104"/>
      <c r="D127" s="104"/>
      <c r="E127" s="104"/>
      <c r="F127" s="104"/>
      <c r="G127" s="104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</row>
    <row r="128" spans="1:23" hidden="1">
      <c r="A128" s="104"/>
      <c r="B128" s="104"/>
      <c r="C128" s="104"/>
      <c r="D128" s="104"/>
      <c r="E128" s="104"/>
      <c r="F128" s="104"/>
      <c r="G128" s="104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</row>
    <row r="129" spans="1:23" hidden="1">
      <c r="A129" s="104"/>
      <c r="B129" s="104"/>
      <c r="C129" s="104"/>
      <c r="D129" s="104"/>
      <c r="E129" s="104"/>
      <c r="F129" s="104"/>
      <c r="G129" s="104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</row>
    <row r="130" spans="1:23" hidden="1">
      <c r="A130" s="104"/>
      <c r="B130" s="104"/>
      <c r="C130" s="104"/>
      <c r="D130" s="104"/>
      <c r="E130" s="104"/>
      <c r="F130" s="104"/>
      <c r="G130" s="104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</row>
    <row r="131" spans="1:23" hidden="1">
      <c r="A131" s="104"/>
      <c r="B131" s="104"/>
      <c r="C131" s="104"/>
      <c r="D131" s="104"/>
      <c r="E131" s="104"/>
      <c r="F131" s="104"/>
      <c r="G131" s="104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</row>
    <row r="132" spans="1:23" hidden="1">
      <c r="A132" s="104"/>
      <c r="B132" s="104"/>
      <c r="C132" s="104"/>
      <c r="D132" s="104"/>
      <c r="E132" s="104"/>
      <c r="F132" s="104"/>
      <c r="G132" s="104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</row>
    <row r="133" spans="1:23" hidden="1">
      <c r="A133" s="104"/>
      <c r="B133" s="104"/>
      <c r="C133" s="104"/>
      <c r="D133" s="104"/>
      <c r="E133" s="104"/>
      <c r="F133" s="104"/>
      <c r="G133" s="104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</row>
    <row r="134" spans="1:23" hidden="1">
      <c r="A134" s="104"/>
      <c r="B134" s="104"/>
      <c r="C134" s="104"/>
      <c r="D134" s="104"/>
      <c r="E134" s="104"/>
      <c r="F134" s="104"/>
      <c r="G134" s="104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</row>
    <row r="135" spans="1:23" hidden="1">
      <c r="A135" s="104"/>
      <c r="B135" s="104"/>
      <c r="C135" s="104"/>
      <c r="D135" s="104"/>
      <c r="E135" s="104"/>
      <c r="F135" s="104"/>
      <c r="G135" s="104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</row>
    <row r="136" spans="1:23" hidden="1">
      <c r="A136" s="104"/>
      <c r="B136" s="104"/>
      <c r="C136" s="104"/>
      <c r="D136" s="104"/>
      <c r="E136" s="104"/>
      <c r="F136" s="104"/>
      <c r="G136" s="104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</row>
    <row r="137" spans="1:23" hidden="1">
      <c r="A137" s="104"/>
      <c r="B137" s="104"/>
      <c r="C137" s="104"/>
      <c r="D137" s="104"/>
      <c r="E137" s="104"/>
      <c r="F137" s="104"/>
      <c r="G137" s="104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</row>
    <row r="138" spans="1:23" hidden="1">
      <c r="A138" s="104"/>
      <c r="B138" s="104"/>
      <c r="C138" s="104"/>
      <c r="D138" s="104"/>
      <c r="E138" s="104"/>
      <c r="F138" s="104"/>
      <c r="G138" s="104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</row>
    <row r="139" spans="1:23" hidden="1">
      <c r="A139" s="104"/>
      <c r="B139" s="104"/>
      <c r="C139" s="104"/>
      <c r="D139" s="104"/>
      <c r="E139" s="104"/>
      <c r="F139" s="104"/>
      <c r="G139" s="104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</row>
    <row r="140" spans="1:23" hidden="1">
      <c r="A140" s="104"/>
      <c r="B140" s="104"/>
      <c r="C140" s="104"/>
      <c r="D140" s="104"/>
      <c r="E140" s="104"/>
      <c r="F140" s="104"/>
      <c r="G140" s="104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</row>
    <row r="141" spans="1:23" hidden="1">
      <c r="A141" s="104"/>
      <c r="B141" s="104"/>
      <c r="C141" s="104"/>
      <c r="D141" s="104"/>
      <c r="E141" s="104"/>
      <c r="F141" s="104"/>
      <c r="G141" s="104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</row>
    <row r="142" spans="1:23" hidden="1">
      <c r="A142" s="104"/>
      <c r="B142" s="104"/>
      <c r="C142" s="104"/>
      <c r="D142" s="104"/>
      <c r="E142" s="104"/>
      <c r="F142" s="104"/>
      <c r="G142" s="104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</row>
    <row r="143" spans="1:23" ht="15" hidden="1">
      <c r="A143" s="113" t="s">
        <v>55</v>
      </c>
      <c r="B143" s="113"/>
      <c r="C143" s="114">
        <f>C55</f>
        <v>0</v>
      </c>
      <c r="D143" s="115"/>
      <c r="E143" s="116"/>
      <c r="F143" s="104"/>
      <c r="G143" s="104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</row>
    <row r="144" spans="1:23" ht="15" hidden="1">
      <c r="A144" s="117">
        <v>0</v>
      </c>
      <c r="B144" s="118"/>
      <c r="C144" s="117">
        <v>7500</v>
      </c>
      <c r="D144" s="119">
        <v>8.5500000000000003E-3</v>
      </c>
      <c r="E144" s="120"/>
      <c r="F144" s="117">
        <f>IF(C143&lt;C144,C143*D144,C144*D144)</f>
        <v>0</v>
      </c>
      <c r="G144" s="104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</row>
    <row r="145" spans="1:23" ht="15" hidden="1">
      <c r="A145" s="117">
        <v>7500</v>
      </c>
      <c r="B145" s="118"/>
      <c r="C145" s="117">
        <v>17500</v>
      </c>
      <c r="D145" s="119">
        <v>6.8399999999999997E-3</v>
      </c>
      <c r="E145" s="120"/>
      <c r="F145" s="118" t="str">
        <f>IF(C143&lt;=A145," ",IF(C143&lt;C145,(C143-C144)*D145,(C145-A145)*D145))</f>
        <v xml:space="preserve"> </v>
      </c>
      <c r="G145" s="104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</row>
    <row r="146" spans="1:23" ht="15" hidden="1">
      <c r="A146" s="117">
        <v>17500</v>
      </c>
      <c r="B146" s="118"/>
      <c r="C146" s="117">
        <v>30000</v>
      </c>
      <c r="D146" s="119">
        <v>4.5599999999999998E-3</v>
      </c>
      <c r="E146" s="120"/>
      <c r="F146" s="118" t="str">
        <f>IF(C143&lt;=A146," ",IF(C143&lt;C146,(C143-C145)*D146,(C146-A146)*D146))</f>
        <v xml:space="preserve"> </v>
      </c>
      <c r="G146" s="104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</row>
    <row r="147" spans="1:23" ht="15" hidden="1">
      <c r="A147" s="117">
        <v>30000</v>
      </c>
      <c r="B147" s="118"/>
      <c r="C147" s="117">
        <v>45495</v>
      </c>
      <c r="D147" s="119">
        <v>3.4199999999999999E-3</v>
      </c>
      <c r="E147" s="120"/>
      <c r="F147" s="118" t="str">
        <f>IF(C143&lt;=A147," ",IF(C143&lt;C147,(C143-C146)*D147,(C147-A147)*D147))</f>
        <v xml:space="preserve"> </v>
      </c>
      <c r="G147" s="104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</row>
    <row r="148" spans="1:23" ht="15" hidden="1">
      <c r="A148" s="117">
        <v>45495</v>
      </c>
      <c r="B148" s="118"/>
      <c r="C148" s="117">
        <v>64095</v>
      </c>
      <c r="D148" s="119">
        <v>2.2799999999999999E-3</v>
      </c>
      <c r="E148" s="120"/>
      <c r="F148" s="118" t="str">
        <f>IF(C143&lt;=A148," ",IF(C143&lt;C148,(C143-C147)*D148,(C148-A148)*D148))</f>
        <v xml:space="preserve"> </v>
      </c>
      <c r="G148" s="104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</row>
    <row r="149" spans="1:23" ht="15" hidden="1">
      <c r="A149" s="117">
        <v>64095</v>
      </c>
      <c r="B149" s="118"/>
      <c r="C149" s="117">
        <v>250095</v>
      </c>
      <c r="D149" s="119">
        <v>1.14E-3</v>
      </c>
      <c r="E149" s="120"/>
      <c r="F149" s="118" t="str">
        <f>IF(C143&lt;=A149," ",IF(C143&lt;C149,(C143-C148)*D149,(C149-A149)*D149))</f>
        <v xml:space="preserve"> </v>
      </c>
      <c r="G149" s="104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</row>
    <row r="150" spans="1:23" ht="15" hidden="1">
      <c r="A150" s="117">
        <v>250095</v>
      </c>
      <c r="B150" s="118"/>
      <c r="C150" s="117">
        <f>$D$8</f>
        <v>0</v>
      </c>
      <c r="D150" s="121">
        <v>3.4200000000000002E-4</v>
      </c>
      <c r="E150" s="120"/>
      <c r="F150" s="118" t="str">
        <f>IF(C143&lt;=A150," ",IF(C143&lt;C150,(C143-C149)*D150,(C150-A150)*D150))</f>
        <v xml:space="preserve"> </v>
      </c>
      <c r="G150" s="104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</row>
    <row r="151" spans="1:23" ht="15" hidden="1">
      <c r="A151" s="114">
        <v>10075000</v>
      </c>
      <c r="B151" s="114"/>
      <c r="C151" s="114">
        <f>C143</f>
        <v>0</v>
      </c>
      <c r="D151" s="121">
        <v>4.5600000000000003E-4</v>
      </c>
      <c r="E151" s="114" t="str">
        <f>IF(C143&lt;=A151," E90",IF(C143&lt;C151,(C143-C150)*D151,(C151-A151)*D151))</f>
        <v xml:space="preserve"> E90</v>
      </c>
      <c r="F151" s="104"/>
      <c r="G151" s="104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</row>
    <row r="152" spans="1:23" ht="15" hidden="1">
      <c r="A152" s="116"/>
      <c r="B152" s="116"/>
      <c r="C152" s="116"/>
      <c r="D152" s="116"/>
      <c r="E152" s="116"/>
      <c r="F152" s="104"/>
      <c r="G152" s="104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</row>
    <row r="153" spans="1:23" ht="15" hidden="1">
      <c r="A153" s="122" t="s">
        <v>12</v>
      </c>
      <c r="B153" s="123"/>
      <c r="C153" s="116"/>
      <c r="D153" s="116"/>
      <c r="E153" s="124">
        <f>SUM(F144:F151)</f>
        <v>0</v>
      </c>
      <c r="F153" s="104"/>
      <c r="G153" s="104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</row>
    <row r="154" spans="1:23" ht="15" hidden="1">
      <c r="A154" s="123"/>
      <c r="B154" s="123"/>
      <c r="C154" s="116"/>
      <c r="D154" s="116"/>
      <c r="E154" s="90"/>
      <c r="F154" s="104"/>
      <c r="G154" s="104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</row>
    <row r="155" spans="1:23" ht="15" hidden="1">
      <c r="A155" s="113" t="s">
        <v>55</v>
      </c>
      <c r="B155" s="113"/>
      <c r="C155" s="114">
        <f>C51</f>
        <v>0</v>
      </c>
      <c r="D155" s="115"/>
      <c r="E155" s="116"/>
      <c r="F155" s="104"/>
      <c r="G155" s="104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</row>
    <row r="156" spans="1:23" ht="15" hidden="1">
      <c r="A156" s="117">
        <v>0</v>
      </c>
      <c r="B156" s="118"/>
      <c r="C156" s="117">
        <v>7500</v>
      </c>
      <c r="D156" s="119">
        <v>8.5500000000000003E-3</v>
      </c>
      <c r="E156" s="120"/>
      <c r="F156" s="117">
        <f>IF(C155&lt;C156,C155*D156,C156*D156)</f>
        <v>0</v>
      </c>
      <c r="G156" s="104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</row>
    <row r="157" spans="1:23" ht="15" hidden="1">
      <c r="A157" s="117">
        <v>7500</v>
      </c>
      <c r="B157" s="118"/>
      <c r="C157" s="117">
        <v>17500</v>
      </c>
      <c r="D157" s="119">
        <v>6.8399999999999997E-3</v>
      </c>
      <c r="E157" s="120"/>
      <c r="F157" s="118" t="str">
        <f>IF(C155&lt;=A157," ",IF(C155&lt;C157,(C155-C156)*D157,(C157-A157)*D157))</f>
        <v xml:space="preserve"> </v>
      </c>
      <c r="G157" s="104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</row>
    <row r="158" spans="1:23" ht="15" hidden="1">
      <c r="A158" s="117">
        <v>17500</v>
      </c>
      <c r="B158" s="118"/>
      <c r="C158" s="117">
        <v>30000</v>
      </c>
      <c r="D158" s="119">
        <v>4.5599999999999998E-3</v>
      </c>
      <c r="E158" s="120"/>
      <c r="F158" s="118" t="str">
        <f>IF(C155&lt;=A158," ",IF(C155&lt;C158,(C155-C157)*D158,(C158-A158)*D158))</f>
        <v xml:space="preserve"> </v>
      </c>
      <c r="G158" s="104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</row>
    <row r="159" spans="1:23" ht="15" hidden="1">
      <c r="A159" s="117">
        <v>30000</v>
      </c>
      <c r="B159" s="118"/>
      <c r="C159" s="117">
        <v>45495</v>
      </c>
      <c r="D159" s="119">
        <v>3.4199999999999999E-3</v>
      </c>
      <c r="E159" s="120"/>
      <c r="F159" s="118" t="str">
        <f>IF(C155&lt;=A159," ",IF(C155&lt;C159,(C155-C158)*D159,(C159-A159)*D159))</f>
        <v xml:space="preserve"> </v>
      </c>
      <c r="G159" s="104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</row>
    <row r="160" spans="1:23" ht="15" hidden="1">
      <c r="A160" s="117">
        <v>45495</v>
      </c>
      <c r="B160" s="118"/>
      <c r="C160" s="117">
        <v>64095</v>
      </c>
      <c r="D160" s="119">
        <v>2.2799999999999999E-3</v>
      </c>
      <c r="E160" s="120"/>
      <c r="F160" s="118" t="str">
        <f>IF(C155&lt;=A160," ",IF(C155&lt;C160,(C155-C159)*D160,(C160-A160)*D160))</f>
        <v xml:space="preserve"> </v>
      </c>
      <c r="G160" s="104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</row>
    <row r="161" spans="1:23" ht="15" hidden="1">
      <c r="A161" s="117">
        <v>64095</v>
      </c>
      <c r="B161" s="118"/>
      <c r="C161" s="117">
        <v>250095</v>
      </c>
      <c r="D161" s="119">
        <v>1.14E-3</v>
      </c>
      <c r="E161" s="120"/>
      <c r="F161" s="118" t="str">
        <f>IF(C155&lt;=A161," ",IF(C155&lt;C161,(C155-C160)*D161,(C161-A161)*D161))</f>
        <v xml:space="preserve"> </v>
      </c>
      <c r="G161" s="104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</row>
    <row r="162" spans="1:23" ht="15" hidden="1">
      <c r="A162" s="117">
        <v>250095</v>
      </c>
      <c r="B162" s="118"/>
      <c r="C162" s="117">
        <f>$D$8</f>
        <v>0</v>
      </c>
      <c r="D162" s="121">
        <v>3.4200000000000002E-4</v>
      </c>
      <c r="E162" s="120"/>
      <c r="F162" s="118" t="str">
        <f>IF(C155&lt;=A162," ",IF(C155&lt;C162,(C155-C161)*D162,(C162-A162)*D162))</f>
        <v xml:space="preserve"> </v>
      </c>
      <c r="G162" s="104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</row>
    <row r="163" spans="1:23" ht="15" hidden="1">
      <c r="A163" s="114">
        <v>10075000</v>
      </c>
      <c r="B163" s="114"/>
      <c r="C163" s="114">
        <f>C155</f>
        <v>0</v>
      </c>
      <c r="D163" s="121">
        <v>4.5600000000000003E-4</v>
      </c>
      <c r="E163" s="114" t="str">
        <f>IF(C155&lt;=A163," E90",IF(C155&lt;C163,(C155-C162)*D163,(C163-A163)*D163))</f>
        <v xml:space="preserve"> E90</v>
      </c>
      <c r="F163" s="104"/>
      <c r="G163" s="104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</row>
    <row r="164" spans="1:23" ht="15" hidden="1">
      <c r="A164" s="116"/>
      <c r="B164" s="116"/>
      <c r="C164" s="116"/>
      <c r="D164" s="116"/>
      <c r="E164" s="116"/>
      <c r="F164" s="104"/>
      <c r="G164" s="104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</row>
    <row r="165" spans="1:23" ht="15" hidden="1">
      <c r="A165" s="122" t="s">
        <v>12</v>
      </c>
      <c r="B165" s="123"/>
      <c r="C165" s="116"/>
      <c r="D165" s="116"/>
      <c r="E165" s="124">
        <f>SUM(F156:F163)</f>
        <v>0</v>
      </c>
      <c r="F165" s="104"/>
      <c r="G165" s="104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</row>
    <row r="166" spans="1:23" hidden="1">
      <c r="A166" s="104"/>
      <c r="B166" s="104"/>
      <c r="C166" s="104"/>
      <c r="D166" s="104"/>
      <c r="E166" s="104"/>
      <c r="F166" s="104"/>
      <c r="G166" s="104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</row>
    <row r="167" spans="1:23" hidden="1">
      <c r="A167" s="104"/>
      <c r="B167" s="104"/>
      <c r="C167" s="104"/>
      <c r="D167" s="104"/>
      <c r="E167" s="104"/>
      <c r="F167" s="104"/>
      <c r="G167" s="104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</row>
    <row r="168" spans="1:23" ht="15" hidden="1">
      <c r="A168" s="113" t="s">
        <v>55</v>
      </c>
      <c r="B168" s="113"/>
      <c r="C168" s="114">
        <f>C55</f>
        <v>0</v>
      </c>
      <c r="D168" s="115"/>
      <c r="E168" s="116"/>
      <c r="F168" s="104"/>
      <c r="G168" s="104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</row>
    <row r="169" spans="1:23" ht="15" hidden="1">
      <c r="A169" s="117">
        <v>0</v>
      </c>
      <c r="B169" s="118"/>
      <c r="C169" s="117">
        <v>7500</v>
      </c>
      <c r="D169" s="119">
        <v>1.7100000000000001E-2</v>
      </c>
      <c r="E169" s="120"/>
      <c r="F169" s="117">
        <f>IF(C168&lt;C169,C168*D169,C169*D169)</f>
        <v>0</v>
      </c>
      <c r="G169" s="104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</row>
    <row r="170" spans="1:23" ht="15" hidden="1">
      <c r="A170" s="117">
        <v>7500</v>
      </c>
      <c r="B170" s="118"/>
      <c r="C170" s="117">
        <v>17500</v>
      </c>
      <c r="D170" s="119">
        <v>1.3679999999999999E-2</v>
      </c>
      <c r="E170" s="120"/>
      <c r="F170" s="118" t="str">
        <f>IF(C168&lt;=A170," ",IF(C168&lt;C170,(C168-C169)*D170,(C170-A170)*D170))</f>
        <v xml:space="preserve"> </v>
      </c>
      <c r="G170" s="104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</row>
    <row r="171" spans="1:23" ht="15" hidden="1">
      <c r="A171" s="117">
        <v>17500</v>
      </c>
      <c r="B171" s="118"/>
      <c r="C171" s="117">
        <v>30000</v>
      </c>
      <c r="D171" s="119">
        <v>9.1199999999999996E-3</v>
      </c>
      <c r="E171" s="120"/>
      <c r="F171" s="118" t="str">
        <f>IF(C168&lt;=A171," ",IF(C168&lt;C171,(C168-C170)*D171,(C171-A171)*D171))</f>
        <v xml:space="preserve"> </v>
      </c>
      <c r="G171" s="104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</row>
    <row r="172" spans="1:23" ht="15" hidden="1">
      <c r="A172" s="117">
        <v>30000</v>
      </c>
      <c r="B172" s="118"/>
      <c r="C172" s="117">
        <v>45495</v>
      </c>
      <c r="D172" s="119">
        <v>6.8399999999999997E-3</v>
      </c>
      <c r="E172" s="120"/>
      <c r="F172" s="118" t="str">
        <f>IF(C168&lt;=A172," ",IF(C168&lt;C172,(C168-C171)*D172,(C172-A172)*D172))</f>
        <v xml:space="preserve"> </v>
      </c>
      <c r="G172" s="104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</row>
    <row r="173" spans="1:23" ht="15" hidden="1">
      <c r="A173" s="117">
        <v>45495</v>
      </c>
      <c r="B173" s="118"/>
      <c r="C173" s="117">
        <v>64095</v>
      </c>
      <c r="D173" s="119">
        <v>4.5599999999999998E-3</v>
      </c>
      <c r="E173" s="120"/>
      <c r="F173" s="118" t="str">
        <f>IF(C168&lt;=A173," ",IF(C168&lt;C173,(C168-C172)*D173,(C173-A173)*D173))</f>
        <v xml:space="preserve"> </v>
      </c>
      <c r="G173" s="104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</row>
    <row r="174" spans="1:23" ht="15" hidden="1">
      <c r="A174" s="117">
        <v>64095</v>
      </c>
      <c r="B174" s="118"/>
      <c r="C174" s="117">
        <v>250095</v>
      </c>
      <c r="D174" s="119">
        <v>2.2799999999999999E-3</v>
      </c>
      <c r="E174" s="120"/>
      <c r="F174" s="118" t="str">
        <f>IF(C168&lt;=A174," ",IF(C168&lt;C174,(C168-C173)*D174,(C174-A174)*D174))</f>
        <v xml:space="preserve"> </v>
      </c>
      <c r="G174" s="104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</row>
    <row r="175" spans="1:23" ht="15" hidden="1">
      <c r="A175" s="117">
        <v>250095</v>
      </c>
      <c r="B175" s="118"/>
      <c r="C175" s="117">
        <f>$D$8</f>
        <v>0</v>
      </c>
      <c r="D175" s="121">
        <v>4.5600000000000003E-4</v>
      </c>
      <c r="E175" s="120"/>
      <c r="F175" s="118" t="str">
        <f>IF(C168&lt;=A175," ",IF(C168&lt;C175,(C168-C174)*D175,(C175-A175)*D175))</f>
        <v xml:space="preserve"> </v>
      </c>
      <c r="G175" s="104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</row>
    <row r="176" spans="1:23" ht="15" hidden="1">
      <c r="A176" s="114">
        <v>10075000</v>
      </c>
      <c r="B176" s="114"/>
      <c r="C176" s="114">
        <f>C168</f>
        <v>0</v>
      </c>
      <c r="D176" s="121">
        <v>4.5600000000000003E-4</v>
      </c>
      <c r="E176" s="114" t="str">
        <f>IF(C168&lt;=A176," E90",IF(C168&lt;C176,(C168-C175)*D176,(C176-A176)*D176))</f>
        <v xml:space="preserve"> E90</v>
      </c>
      <c r="F176" s="104"/>
      <c r="G176" s="104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</row>
    <row r="177" spans="1:23" ht="15" hidden="1">
      <c r="A177" s="116"/>
      <c r="B177" s="116"/>
      <c r="C177" s="116"/>
      <c r="D177" s="116"/>
      <c r="E177" s="116"/>
      <c r="F177" s="104"/>
      <c r="G177" s="104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</row>
    <row r="178" spans="1:23" ht="15" hidden="1">
      <c r="A178" s="122" t="s">
        <v>12</v>
      </c>
      <c r="B178" s="123"/>
      <c r="C178" s="116"/>
      <c r="D178" s="116"/>
      <c r="E178" s="124">
        <f>SUM(F169:F176)</f>
        <v>0</v>
      </c>
      <c r="F178" s="104"/>
      <c r="G178" s="104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</row>
    <row r="179" spans="1:23" hidden="1">
      <c r="A179" s="104"/>
      <c r="B179" s="104"/>
      <c r="C179" s="104"/>
      <c r="D179" s="104"/>
      <c r="E179" s="104"/>
      <c r="F179" s="104"/>
      <c r="G179" s="104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</row>
    <row r="180" spans="1:23" hidden="1">
      <c r="A180" s="104"/>
      <c r="B180" s="104"/>
      <c r="C180" s="104"/>
      <c r="D180" s="104"/>
      <c r="E180" s="104"/>
      <c r="F180" s="104"/>
      <c r="G180" s="104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</row>
    <row r="181" spans="1:23" ht="15" hidden="1">
      <c r="A181" s="113" t="s">
        <v>55</v>
      </c>
      <c r="B181" s="113"/>
      <c r="C181" s="114">
        <f>C51</f>
        <v>0</v>
      </c>
      <c r="D181" s="115"/>
      <c r="E181" s="116"/>
      <c r="F181" s="104"/>
      <c r="G181" s="104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</row>
    <row r="182" spans="1:23" ht="15" hidden="1">
      <c r="A182" s="117">
        <v>0</v>
      </c>
      <c r="B182" s="118"/>
      <c r="C182" s="117">
        <v>7500</v>
      </c>
      <c r="D182" s="119">
        <v>1.7100000000000001E-2</v>
      </c>
      <c r="E182" s="120"/>
      <c r="F182" s="117">
        <f>IF(C181&lt;C182,C181*D182,C182*D182)</f>
        <v>0</v>
      </c>
      <c r="G182" s="104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</row>
    <row r="183" spans="1:23" ht="15" hidden="1">
      <c r="A183" s="117">
        <v>7500</v>
      </c>
      <c r="B183" s="118"/>
      <c r="C183" s="117">
        <v>17500</v>
      </c>
      <c r="D183" s="119">
        <v>1.3679999999999999E-2</v>
      </c>
      <c r="E183" s="120"/>
      <c r="F183" s="118" t="str">
        <f>IF(C181&lt;=A183," ",IF(C181&lt;C183,(C181-C182)*D183,(C183-A183)*D183))</f>
        <v xml:space="preserve"> </v>
      </c>
      <c r="G183" s="104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</row>
    <row r="184" spans="1:23" ht="15" hidden="1">
      <c r="A184" s="117">
        <v>17500</v>
      </c>
      <c r="B184" s="118"/>
      <c r="C184" s="117">
        <v>30000</v>
      </c>
      <c r="D184" s="119">
        <v>9.1199999999999996E-3</v>
      </c>
      <c r="E184" s="120"/>
      <c r="F184" s="118" t="str">
        <f>IF(C181&lt;=A184," ",IF(C181&lt;C184,(C181-C183)*D184,(C184-A184)*D184))</f>
        <v xml:space="preserve"> </v>
      </c>
      <c r="G184" s="104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</row>
    <row r="185" spans="1:23" ht="15" hidden="1">
      <c r="A185" s="117">
        <v>30000</v>
      </c>
      <c r="B185" s="118"/>
      <c r="C185" s="117">
        <v>45495</v>
      </c>
      <c r="D185" s="119">
        <v>6.8399999999999997E-3</v>
      </c>
      <c r="E185" s="120"/>
      <c r="F185" s="118" t="str">
        <f>IF(C181&lt;=A185," ",IF(C181&lt;C185,(C181-C184)*D185,(C185-A185)*D185))</f>
        <v xml:space="preserve"> </v>
      </c>
      <c r="G185" s="104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</row>
    <row r="186" spans="1:23" ht="15" hidden="1">
      <c r="A186" s="117">
        <v>45495</v>
      </c>
      <c r="B186" s="118"/>
      <c r="C186" s="117">
        <v>64095</v>
      </c>
      <c r="D186" s="119">
        <v>4.5599999999999998E-3</v>
      </c>
      <c r="E186" s="120"/>
      <c r="F186" s="118" t="str">
        <f>IF(C181&lt;=A186," ",IF(C181&lt;C186,(C181-C185)*D186,(C186-A186)*D186))</f>
        <v xml:space="preserve"> </v>
      </c>
      <c r="G186" s="104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</row>
    <row r="187" spans="1:23" ht="15" hidden="1">
      <c r="A187" s="117">
        <v>64095</v>
      </c>
      <c r="B187" s="118"/>
      <c r="C187" s="117">
        <v>250095</v>
      </c>
      <c r="D187" s="119">
        <v>2.2799999999999999E-3</v>
      </c>
      <c r="E187" s="120"/>
      <c r="F187" s="118" t="str">
        <f>IF(C181&lt;=A187," ",IF(C181&lt;C187,(C181-C186)*D187,(C187-A187)*D187))</f>
        <v xml:space="preserve"> </v>
      </c>
      <c r="G187" s="104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</row>
    <row r="188" spans="1:23" ht="15" hidden="1">
      <c r="A188" s="117">
        <v>250095</v>
      </c>
      <c r="B188" s="118"/>
      <c r="C188" s="117">
        <f>$D$8</f>
        <v>0</v>
      </c>
      <c r="D188" s="121">
        <v>4.5600000000000003E-4</v>
      </c>
      <c r="E188" s="120"/>
      <c r="F188" s="118" t="str">
        <f>IF(C181&lt;=A188," ",IF(C181&lt;C188,(C181-C187)*D188,(C188-A188)*D188))</f>
        <v xml:space="preserve"> </v>
      </c>
      <c r="G188" s="104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</row>
    <row r="189" spans="1:23" ht="15" hidden="1">
      <c r="A189" s="114">
        <v>10075000</v>
      </c>
      <c r="B189" s="114"/>
      <c r="C189" s="114">
        <f>C181</f>
        <v>0</v>
      </c>
      <c r="D189" s="121">
        <v>4.5600000000000003E-4</v>
      </c>
      <c r="E189" s="114" t="str">
        <f>IF(C181&lt;=A189," E90",IF(C181&lt;C189,(C181-C188)*D189,(C189-A189)*D189))</f>
        <v xml:space="preserve"> E90</v>
      </c>
      <c r="F189" s="104"/>
      <c r="G189" s="104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</row>
    <row r="190" spans="1:23" ht="15" hidden="1">
      <c r="A190" s="116"/>
      <c r="B190" s="116"/>
      <c r="C190" s="116"/>
      <c r="D190" s="116"/>
      <c r="E190" s="116"/>
      <c r="F190" s="104"/>
      <c r="G190" s="104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</row>
    <row r="191" spans="1:23" ht="15" hidden="1">
      <c r="A191" s="122" t="s">
        <v>12</v>
      </c>
      <c r="B191" s="123"/>
      <c r="C191" s="116"/>
      <c r="D191" s="116"/>
      <c r="E191" s="124">
        <f>SUM(F182:F189)</f>
        <v>0</v>
      </c>
      <c r="F191" s="104"/>
      <c r="G191" s="104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</row>
    <row r="192" spans="1:23" hidden="1"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</row>
    <row r="193" spans="1:23" hidden="1">
      <c r="A193" s="31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</row>
    <row r="194" spans="1:23" hidden="1">
      <c r="B194" s="27"/>
      <c r="C194" s="27"/>
      <c r="D194" s="27"/>
      <c r="E194" s="27"/>
      <c r="F194" s="27"/>
      <c r="G194" s="27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27"/>
      <c r="V194" s="27"/>
      <c r="W194" s="27"/>
    </row>
    <row r="195" spans="1:23" hidden="1">
      <c r="A195" s="33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27"/>
      <c r="V195" s="27"/>
      <c r="W195" s="27"/>
    </row>
    <row r="196" spans="1:23" hidden="1">
      <c r="A196" s="33"/>
      <c r="B196" s="11">
        <f>IF(B14="oui",-1500,0)</f>
        <v>0</v>
      </c>
      <c r="C196" s="32">
        <f>IF(AND(B12="oui",B14="oui"),-750,0)</f>
        <v>0</v>
      </c>
      <c r="D196" s="32"/>
      <c r="E196" s="32"/>
      <c r="F196" s="32">
        <f>IF(AND(B14="oui",B15="oui"),-1000,0)</f>
        <v>0</v>
      </c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27"/>
      <c r="V196" s="27"/>
      <c r="W196" s="27"/>
    </row>
    <row r="197" spans="1:23" hidden="1">
      <c r="A197" s="33"/>
      <c r="B197" s="11">
        <f>IF(B14="oui",-750,0)</f>
        <v>0</v>
      </c>
      <c r="C197" s="32">
        <f>IF(AND(B12="non",B14="oui"),-1500,0)</f>
        <v>0</v>
      </c>
      <c r="D197" s="32"/>
      <c r="E197" s="32"/>
      <c r="F197" s="32">
        <f>-F196</f>
        <v>0</v>
      </c>
      <c r="G197" s="32">
        <f>IF(F197&gt;(D20+D21+D23-50),-(D20+D21+D23-50),F196)</f>
        <v>50</v>
      </c>
      <c r="H197" s="32">
        <f>IF(G197=50,0,G197)</f>
        <v>0</v>
      </c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27"/>
      <c r="V197" s="27"/>
      <c r="W197" s="27"/>
    </row>
    <row r="198" spans="1:23" hidden="1">
      <c r="A198" s="33"/>
      <c r="B198" s="32"/>
      <c r="C198" s="32">
        <f>SUM(C196:C197)</f>
        <v>0</v>
      </c>
      <c r="D198" s="32">
        <f>IF(C200&gt;(D20+D21-50),-(D20+D21-50),C198)</f>
        <v>50</v>
      </c>
      <c r="E198" s="32">
        <f>IF(D198=50,0,D198)</f>
        <v>0</v>
      </c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27"/>
      <c r="V198" s="27"/>
      <c r="W198" s="27"/>
    </row>
    <row r="199" spans="1:23" hidden="1">
      <c r="A199" s="33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27"/>
      <c r="V199" s="27"/>
      <c r="W199" s="27"/>
    </row>
    <row r="200" spans="1:23" ht="13.5" hidden="1" thickBot="1">
      <c r="A200" s="33"/>
      <c r="B200" s="32"/>
      <c r="C200" s="32">
        <f>-C198</f>
        <v>0</v>
      </c>
      <c r="D200" s="32"/>
      <c r="E200" s="32"/>
      <c r="F200" s="32"/>
      <c r="G200" s="32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</row>
    <row r="201" spans="1:23" ht="13.5" hidden="1" thickBot="1">
      <c r="A201" s="6"/>
      <c r="B201" s="34"/>
      <c r="C201" s="28"/>
      <c r="D201" s="28"/>
      <c r="E201" s="28"/>
      <c r="F201" s="28"/>
      <c r="G201" s="28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</row>
    <row r="202" spans="1:23" ht="13.5" hidden="1" thickBot="1">
      <c r="A202" s="6"/>
      <c r="B202" s="6"/>
      <c r="C202" s="6"/>
      <c r="D202" s="6"/>
      <c r="E202" s="35"/>
      <c r="F202" s="35"/>
      <c r="G202" s="35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</row>
    <row r="203" spans="1:23" hidden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</row>
    <row r="204" spans="1:23" hidden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</row>
    <row r="205" spans="1:23" hidden="1">
      <c r="A205" s="6" t="s">
        <v>1</v>
      </c>
      <c r="B205" s="6"/>
      <c r="C205" s="6" t="s">
        <v>8</v>
      </c>
      <c r="D205" s="6" t="s">
        <v>9</v>
      </c>
      <c r="E205" s="6"/>
      <c r="F205" s="18" t="s">
        <v>46</v>
      </c>
      <c r="G205" s="18" t="s">
        <v>46</v>
      </c>
      <c r="H205" s="18" t="s">
        <v>46</v>
      </c>
      <c r="I205" s="18" t="s">
        <v>46</v>
      </c>
      <c r="J205" s="18" t="s">
        <v>46</v>
      </c>
      <c r="K205" s="18" t="s">
        <v>46</v>
      </c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</row>
    <row r="206" spans="1:23" hidden="1">
      <c r="A206" s="6"/>
      <c r="B206" s="6"/>
      <c r="C206" s="6"/>
      <c r="D206" s="6">
        <v>525</v>
      </c>
      <c r="E206" s="6"/>
      <c r="F206" s="18" t="s">
        <v>47</v>
      </c>
      <c r="G206" s="18" t="s">
        <v>47</v>
      </c>
      <c r="H206" s="18" t="s">
        <v>47</v>
      </c>
      <c r="I206" s="18" t="s">
        <v>47</v>
      </c>
      <c r="J206" s="18" t="s">
        <v>47</v>
      </c>
      <c r="K206" s="18" t="s">
        <v>47</v>
      </c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</row>
    <row r="207" spans="1:23" hidden="1">
      <c r="A207" s="6"/>
      <c r="B207" s="6"/>
      <c r="C207" s="6"/>
      <c r="D207" s="6">
        <v>100</v>
      </c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</row>
    <row r="208" spans="1:23" hidden="1">
      <c r="A208" s="6"/>
      <c r="B208" s="6"/>
      <c r="C208" s="6"/>
      <c r="D208" s="6">
        <v>675</v>
      </c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</row>
    <row r="209" spans="1:23" hidden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</row>
    <row r="210" spans="1:23" hidden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</row>
    <row r="211" spans="1:23" hidden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</row>
    <row r="212" spans="1:23" ht="14.25" hidden="1">
      <c r="A212" s="36" t="s">
        <v>10</v>
      </c>
      <c r="B212" s="36"/>
      <c r="C212" s="36" t="s">
        <v>10</v>
      </c>
      <c r="D212" s="37" t="s">
        <v>11</v>
      </c>
      <c r="E212" s="38"/>
      <c r="F212" s="36" t="s">
        <v>2</v>
      </c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</row>
    <row r="213" spans="1:23" ht="15" hidden="1">
      <c r="A213" s="39">
        <v>0</v>
      </c>
      <c r="B213" s="40"/>
      <c r="C213" s="39">
        <v>7500</v>
      </c>
      <c r="D213" s="41">
        <v>4.5600000000000002E-2</v>
      </c>
      <c r="E213" s="42"/>
      <c r="F213" s="39">
        <f>IF($B$10&lt;C213,$B$10*D213,C213*D213)</f>
        <v>0</v>
      </c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</row>
    <row r="214" spans="1:23" ht="15" hidden="1">
      <c r="A214" s="39">
        <v>7500</v>
      </c>
      <c r="B214" s="40"/>
      <c r="C214" s="39">
        <v>17500</v>
      </c>
      <c r="D214" s="41">
        <v>2.8500000000000001E-2</v>
      </c>
      <c r="E214" s="42"/>
      <c r="F214" s="40" t="str">
        <f t="shared" ref="F214:F219" si="0">IF($B$10&lt;=A214," ",IF($B$10&lt;C214,($B$10-C213)*D214,(C214-A214)*D214))</f>
        <v xml:space="preserve"> </v>
      </c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</row>
    <row r="215" spans="1:23" ht="15" hidden="1">
      <c r="A215" s="39">
        <v>17500</v>
      </c>
      <c r="B215" s="40"/>
      <c r="C215" s="39">
        <v>30000</v>
      </c>
      <c r="D215" s="41">
        <v>2.2800000000000001E-2</v>
      </c>
      <c r="E215" s="42"/>
      <c r="F215" s="40" t="str">
        <f t="shared" si="0"/>
        <v xml:space="preserve"> </v>
      </c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</row>
    <row r="216" spans="1:23" ht="15" hidden="1">
      <c r="A216" s="39">
        <v>30000</v>
      </c>
      <c r="B216" s="40"/>
      <c r="C216" s="39">
        <v>45495</v>
      </c>
      <c r="D216" s="41">
        <v>1.7100000000000001E-2</v>
      </c>
      <c r="E216" s="42"/>
      <c r="F216" s="40" t="str">
        <f t="shared" si="0"/>
        <v xml:space="preserve"> </v>
      </c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</row>
    <row r="217" spans="1:23" ht="15" hidden="1">
      <c r="A217" s="39">
        <v>45495</v>
      </c>
      <c r="B217" s="40"/>
      <c r="C217" s="39">
        <v>64095</v>
      </c>
      <c r="D217" s="41">
        <v>1.14E-2</v>
      </c>
      <c r="E217" s="42"/>
      <c r="F217" s="40" t="str">
        <f t="shared" si="0"/>
        <v xml:space="preserve"> </v>
      </c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</row>
    <row r="218" spans="1:23" ht="15" hidden="1">
      <c r="A218" s="39">
        <v>64095</v>
      </c>
      <c r="B218" s="40"/>
      <c r="C218" s="39">
        <v>250095</v>
      </c>
      <c r="D218" s="41">
        <v>5.7000000000000002E-3</v>
      </c>
      <c r="E218" s="42"/>
      <c r="F218" s="40" t="str">
        <f t="shared" si="0"/>
        <v xml:space="preserve"> </v>
      </c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</row>
    <row r="219" spans="1:23" ht="15" hidden="1">
      <c r="A219" s="39">
        <v>250095</v>
      </c>
      <c r="B219" s="40"/>
      <c r="C219" s="39">
        <f>$B$10</f>
        <v>0</v>
      </c>
      <c r="D219" s="41">
        <v>5.6999999999999998E-4</v>
      </c>
      <c r="E219" s="42"/>
      <c r="F219" s="40" t="str">
        <f t="shared" si="0"/>
        <v xml:space="preserve"> </v>
      </c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</row>
    <row r="220" spans="1:23" ht="15" hidden="1">
      <c r="A220" s="43"/>
      <c r="B220" s="44"/>
      <c r="C220" s="44"/>
      <c r="D220" s="45"/>
      <c r="E220" s="46"/>
      <c r="F220" s="4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</row>
    <row r="221" spans="1:23" ht="15" hidden="1">
      <c r="A221" s="36" t="s">
        <v>12</v>
      </c>
      <c r="B221" s="47"/>
      <c r="C221" s="44"/>
      <c r="D221" s="48"/>
      <c r="E221" s="46"/>
      <c r="F221" s="49">
        <f>SUM(F213:F220)</f>
        <v>0</v>
      </c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</row>
    <row r="222" spans="1:23" hidden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</row>
    <row r="223" spans="1:23" hidden="1"/>
    <row r="224" spans="1:23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</sheetData>
  <sheetProtection algorithmName="SHA-512" hashValue="rcoaP0fEXYk1AV36zfjUU3iyw3iM0gNQrwOOoJ86HXT+OmPOhw8dAtsJTTNf4bdbR3gxFbZG1U9KqpHm+Hs65g==" saltValue="CZr5feIhdHHu5OndB2Or5w==" spinCount="100000" sheet="1" objects="1" scenarios="1"/>
  <phoneticPr fontId="0" type="noConversion"/>
  <dataValidations count="4">
    <dataValidation type="list" allowBlank="1" showInputMessage="1" showErrorMessage="1" sqref="B14">
      <formula1>$G$205:$G$206</formula1>
    </dataValidation>
    <dataValidation type="list" allowBlank="1" showInputMessage="1" showErrorMessage="1" sqref="B15">
      <formula1>$H$205:$H$206</formula1>
    </dataValidation>
    <dataValidation type="list" allowBlank="1" showInputMessage="1" showErrorMessage="1" sqref="B7">
      <formula1>$K$205:$K$206</formula1>
    </dataValidation>
    <dataValidation type="list" allowBlank="1" showInputMessage="1" showErrorMessage="1" sqref="B12">
      <formula1>$F$205:$F$206</formula1>
    </dataValidation>
  </dataValidations>
  <hyperlinks>
    <hyperlink ref="D82" r:id="rId1"/>
    <hyperlink ref="D84" r:id="rId2"/>
    <hyperlink ref="B84" r:id="rId3"/>
    <hyperlink ref="C86" r:id="rId4"/>
    <hyperlink ref="B82" r:id="rId5"/>
  </hyperlinks>
  <pageMargins left="0.75" right="0.75" top="1" bottom="1" header="0.5" footer="0.5"/>
  <pageSetup paperSize="9" scale="93" orientation="landscape" horizontalDpi="300" verticalDpi="300" r:id="rId6"/>
  <headerFooter alignWithMargins="0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VBIFTVABREYNETH</vt:lpstr>
      <vt:lpstr>VBIFTVABREYNETH!_1._Zegels_Minuut_Brevet</vt:lpstr>
      <vt:lpstr>VBIFTVABREYNETH!_2._Registratie_Minuut_Brevet</vt:lpstr>
      <vt:lpstr>VBIFTVABREYNETH!_3._Registratie_aanhangsel</vt:lpstr>
      <vt:lpstr>VBIFTVABREYNETH!Aard</vt:lpstr>
      <vt:lpstr>VBIFTVABREYNETH!Afdrukbereik</vt:lpstr>
      <vt:lpstr>VBIFTVABREYNETH!Datum</vt:lpstr>
      <vt:lpstr>VBIFTVABREYNETH!KOSTENFICHE</vt:lpstr>
      <vt:lpstr>VBIFTVABREYNETH!Rep.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2014-11-23T22:25:54Z</dcterms:modified>
</cp:coreProperties>
</file>