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MH" sheetId="1" r:id="rId1"/>
  </sheets>
  <definedNames>
    <definedName name="_1._Zegels_Minuut_Brevet" localSheetId="0">VBIFTVABREYNETHMH!$A$19:$F$19</definedName>
    <definedName name="_1._Zegels_Minuut_Brevet">#REF!</definedName>
    <definedName name="_10._Tweede_getuigschrift" localSheetId="0">VBIFTVABREYNETHMH!#REF!</definedName>
    <definedName name="_10._Tweede_getuigschrift">#REF!</definedName>
    <definedName name="_11._Kadaster_uittreksel" localSheetId="0">VBIFTVABREYNETHMH!#REF!</definedName>
    <definedName name="_11._Kadaster_uittreksel">#REF!</definedName>
    <definedName name="_12._Getuigen" localSheetId="0">VBIFTVABREYNETHMH!#REF!</definedName>
    <definedName name="_12._Getuigen">#REF!</definedName>
    <definedName name="_13._Allerlei_uitgaven" localSheetId="0">VBIFTVABREYNETHMH!#REF!</definedName>
    <definedName name="_13._Allerlei_uitgaven">#REF!</definedName>
    <definedName name="_14." localSheetId="0">VBIFTVABREYNETHMH!#REF!</definedName>
    <definedName name="_14.">#REF!</definedName>
    <definedName name="_15." localSheetId="0">VBIFTVABREYNETHMH!#REF!</definedName>
    <definedName name="_15.">#REF!</definedName>
    <definedName name="_2._Registratie_Minuut_Brevet" localSheetId="0">VBIFTVABREYNETHMH!$B$26:$G$26</definedName>
    <definedName name="_2._Registratie_Minuut_Brevet">#REF!</definedName>
    <definedName name="_3._Registratie_aanhangsel" localSheetId="0">VBIFTVABREYNETHMH!$E$27:$G$27</definedName>
    <definedName name="_3._Registratie_aanhangsel">#REF!</definedName>
    <definedName name="_4.Zegels_afschrift_grosse" localSheetId="0">VBIFTVABREYNETHMH!#REF!</definedName>
    <definedName name="_4.Zegels_afschrift_grosse">#REF!</definedName>
    <definedName name="_5._Hypotheek__inschr._overschr._doorh." localSheetId="0">VBIFTVABREYNETHMH!#REF!</definedName>
    <definedName name="_5._Hypotheek__inschr._overschr._doorh.">#REF!</definedName>
    <definedName name="_6._Loon_pandbewaarder" localSheetId="0">VBIFTVABREYNETHMH!#REF!</definedName>
    <definedName name="_6._Loon_pandbewaarder">#REF!</definedName>
    <definedName name="_7._Zegels__bord._aanh." localSheetId="0">VBIFTVABREYNETHMH!#REF!</definedName>
    <definedName name="_7._Zegels__bord._aanh.">#REF!</definedName>
    <definedName name="_8._Opzoekingen" localSheetId="0">VBIFTVABREYNETHMH!#REF!</definedName>
    <definedName name="_8._Opzoekingen">#REF!</definedName>
    <definedName name="_9._Hypothecair_getuigschrift" localSheetId="0">VBIFTVABREYNETHMH!#REF!</definedName>
    <definedName name="_9._Hypothecair_getuigschrift">#REF!</definedName>
    <definedName name="Aard" localSheetId="0">VBIFTVABREYNETHMH!$B$4:$F$4</definedName>
    <definedName name="Aard">#REF!</definedName>
    <definedName name="_xlnm.Print_Area" localSheetId="0">VBIFTVABREYNETHMH!$A$1:$E$80</definedName>
    <definedName name="Datum" localSheetId="0">VBIFTVABREYNETHMH!$B$4:$G$43</definedName>
    <definedName name="Datum">#REF!</definedName>
    <definedName name="gemeentelijke_info">#REF!</definedName>
    <definedName name="Kantoor_van_Notaris_J._SIMONART_te_Leuven" localSheetId="0">VBIFTVABREYNETHMH!#REF!</definedName>
    <definedName name="Kantoor_van_Notaris_J._SIMONART_te_Leuven">#REF!</definedName>
    <definedName name="KOSTENFICHE" localSheetId="0">VBIFTVABREYNETHMH!$A$1:$G$43</definedName>
    <definedName name="KOSTENFICHE">#REF!</definedName>
    <definedName name="Last_Row">IF(Values_Entered,Header_Row+Number_of_Payments,Header_Row)</definedName>
    <definedName name="Naam" localSheetId="0">VBIFTVABREYNETHMH!#REF!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VBIFTVABREYNETHMH!$F$4:$F$45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VBIFTVABREYNETHMH!#REF!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VBIFTVABREYNETHMH!$A$3:$G$43</definedName>
  </definedNames>
  <calcPr calcId="152511"/>
</workbook>
</file>

<file path=xl/calcChain.xml><?xml version="1.0" encoding="utf-8"?>
<calcChain xmlns="http://schemas.openxmlformats.org/spreadsheetml/2006/main">
  <c r="D40" i="1" l="1"/>
  <c r="E42" i="1" s="1"/>
  <c r="B10" i="1"/>
  <c r="F251" i="1" s="1"/>
  <c r="D20" i="1"/>
  <c r="D21" i="1"/>
  <c r="D25" i="1"/>
  <c r="D27" i="1"/>
  <c r="E43" i="1"/>
  <c r="C51" i="1"/>
  <c r="C187" i="1"/>
  <c r="F193" i="1" s="1"/>
  <c r="C55" i="1"/>
  <c r="C200" i="1" s="1"/>
  <c r="B62" i="1"/>
  <c r="B63" i="1"/>
  <c r="C67" i="1"/>
  <c r="C68" i="1"/>
  <c r="C69" i="1"/>
  <c r="C71" i="1"/>
  <c r="B84" i="1"/>
  <c r="D115" i="1" s="1"/>
  <c r="H107" i="1"/>
  <c r="H109" i="1" s="1"/>
  <c r="C91" i="1" s="1"/>
  <c r="C93" i="1" s="1"/>
  <c r="F94" i="1" s="1"/>
  <c r="I107" i="1"/>
  <c r="J107" i="1"/>
  <c r="B113" i="1"/>
  <c r="D118" i="1"/>
  <c r="C127" i="1"/>
  <c r="E335" i="1" s="1"/>
  <c r="E127" i="1"/>
  <c r="E128" i="1"/>
  <c r="C138" i="1"/>
  <c r="D138" i="1"/>
  <c r="C182" i="1"/>
  <c r="C194" i="1"/>
  <c r="C207" i="1"/>
  <c r="C220" i="1"/>
  <c r="B228" i="1"/>
  <c r="C228" i="1"/>
  <c r="C230" i="1"/>
  <c r="C232" i="1" s="1"/>
  <c r="D230" i="1" s="1"/>
  <c r="E230" i="1" s="1"/>
  <c r="F228" i="1"/>
  <c r="F229" i="1" s="1"/>
  <c r="G229" i="1" s="1"/>
  <c r="H229" i="1" s="1"/>
  <c r="D24" i="1" s="1"/>
  <c r="B229" i="1"/>
  <c r="C229" i="1"/>
  <c r="C251" i="1"/>
  <c r="F300" i="1"/>
  <c r="E309" i="1" s="1"/>
  <c r="F301" i="1"/>
  <c r="F302" i="1"/>
  <c r="F303" i="1"/>
  <c r="F304" i="1"/>
  <c r="F305" i="1"/>
  <c r="C306" i="1"/>
  <c r="F306" i="1"/>
  <c r="E307" i="1"/>
  <c r="G316" i="1"/>
  <c r="C318" i="1"/>
  <c r="D318" i="1"/>
  <c r="C327" i="1"/>
  <c r="F328" i="1" s="1"/>
  <c r="E337" i="1" s="1"/>
  <c r="F329" i="1"/>
  <c r="F331" i="1"/>
  <c r="F332" i="1"/>
  <c r="C335" i="1"/>
  <c r="F249" i="1"/>
  <c r="D22" i="1"/>
  <c r="F248" i="1"/>
  <c r="D23" i="1"/>
  <c r="F188" i="1"/>
  <c r="F190" i="1"/>
  <c r="F330" i="1"/>
  <c r="C213" i="1"/>
  <c r="F214" i="1" s="1"/>
  <c r="C175" i="1"/>
  <c r="F177" i="1" s="1"/>
  <c r="B64" i="1"/>
  <c r="F333" i="1"/>
  <c r="F176" i="1"/>
  <c r="E183" i="1"/>
  <c r="F182" i="1"/>
  <c r="F180" i="1"/>
  <c r="C183" i="1"/>
  <c r="E30" i="1" l="1"/>
  <c r="F181" i="1"/>
  <c r="F247" i="1"/>
  <c r="G134" i="1"/>
  <c r="G136" i="1" s="1"/>
  <c r="G138" i="1" s="1"/>
  <c r="C60" i="1" s="1"/>
  <c r="F220" i="1"/>
  <c r="F245" i="1"/>
  <c r="F253" i="1" s="1"/>
  <c r="E19" i="1" s="1"/>
  <c r="C221" i="1"/>
  <c r="F246" i="1"/>
  <c r="F178" i="1"/>
  <c r="F334" i="1"/>
  <c r="F250" i="1"/>
  <c r="D117" i="1"/>
  <c r="E45" i="1"/>
  <c r="D121" i="1"/>
  <c r="D116" i="1"/>
  <c r="D120" i="1"/>
  <c r="D119" i="1"/>
  <c r="C208" i="1"/>
  <c r="F201" i="1"/>
  <c r="E208" i="1"/>
  <c r="F202" i="1"/>
  <c r="F179" i="1"/>
  <c r="E185" i="1" s="1"/>
  <c r="F205" i="1"/>
  <c r="F203" i="1"/>
  <c r="D150" i="1"/>
  <c r="D151" i="1" s="1"/>
  <c r="D152" i="1" s="1"/>
  <c r="D153" i="1" s="1"/>
  <c r="C65" i="1" s="1"/>
  <c r="F207" i="1"/>
  <c r="F206" i="1"/>
  <c r="F204" i="1"/>
  <c r="F217" i="1"/>
  <c r="E221" i="1"/>
  <c r="F218" i="1"/>
  <c r="F219" i="1"/>
  <c r="C195" i="1"/>
  <c r="C321" i="1"/>
  <c r="D295" i="1"/>
  <c r="F215" i="1"/>
  <c r="F216" i="1"/>
  <c r="F191" i="1"/>
  <c r="F189" i="1"/>
  <c r="F192" i="1"/>
  <c r="E195" i="1"/>
  <c r="F194" i="1"/>
  <c r="E31" i="1" l="1"/>
  <c r="E33" i="1"/>
  <c r="I123" i="1"/>
  <c r="I124" i="1" s="1"/>
  <c r="F88" i="1" s="1"/>
  <c r="F93" i="1"/>
  <c r="F95" i="1" s="1"/>
  <c r="F99" i="1" s="1"/>
  <c r="F97" i="1"/>
  <c r="A322" i="1"/>
  <c r="E210" i="1"/>
  <c r="A142" i="1"/>
  <c r="C73" i="1" s="1"/>
  <c r="F74" i="1" s="1"/>
  <c r="E223" i="1"/>
  <c r="E197" i="1"/>
  <c r="F59" i="1"/>
  <c r="F60" i="1" l="1"/>
  <c r="F77" i="1" s="1"/>
  <c r="F73" i="1"/>
  <c r="F75" i="1" s="1"/>
  <c r="F79" i="1" l="1"/>
</calcChain>
</file>

<file path=xl/comments1.xml><?xml version="1.0" encoding="utf-8"?>
<comments xmlns="http://schemas.openxmlformats.org/spreadsheetml/2006/main">
  <authors>
    <author>licentie</author>
  </authors>
  <commentList>
    <comment ref="C61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<sst xmlns="http://schemas.openxmlformats.org/spreadsheetml/2006/main" count="167" uniqueCount="93">
  <si>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</si>
  <si>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</si>
  <si>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</si>
  <si>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</si>
  <si>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</si>
  <si>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</si>
  <si>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</si>
  <si>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</si>
  <si>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</si>
  <si>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</si>
  <si>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</si>
  <si>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</si>
  <si>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</si>
  <si>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</si>
  <si>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</si>
  <si>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</si>
  <si>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</si>
  <si>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</si>
  <si>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</si>
  <si>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</si>
  <si>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</si>
  <si>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</si>
  <si>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</si>
  <si>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</si>
  <si>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</si>
  <si>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</si>
  <si>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</si>
  <si>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</si>
  <si>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</si>
  <si>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</si>
  <si>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</si>
  <si>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</si>
  <si>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</si>
  <si>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</si>
  <si>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</si>
  <si>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</si>
  <si>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</si>
  <si>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</si>
  <si>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</si>
  <si>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</si>
  <si>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</si>
  <si>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</si>
  <si>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</si>
  <si>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</si>
  <si>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</si>
  <si>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</si>
  <si>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</si>
  <si>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</si>
  <si>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</si>
  <si>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</si>
  <si>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</si>
  <si>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</si>
  <si>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</si>
  <si>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</si>
  <si>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</si>
  <si>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</si>
  <si>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Principal</t>
  </si>
  <si>
    <t>Accessoires</t>
  </si>
  <si>
    <t>Base</t>
  </si>
  <si>
    <t>------------------------------------------------------------------------------------------------</t>
  </si>
  <si>
    <t>Droits d'enregistrement</t>
  </si>
  <si>
    <t>(TVA)</t>
  </si>
  <si>
    <t>Droits d'enregistrement des annexes</t>
  </si>
  <si>
    <t>Droits d'écriture</t>
  </si>
  <si>
    <t>Total frais</t>
  </si>
  <si>
    <t>Total</t>
  </si>
  <si>
    <t>Ensemble</t>
  </si>
  <si>
    <t>Tarief</t>
  </si>
  <si>
    <t>Ereloon G</t>
  </si>
  <si>
    <t>Lening</t>
  </si>
  <si>
    <t>Hypothecaire volmacht</t>
  </si>
  <si>
    <t>MANDAT HYPOTHECAIRE ACQUEREUR</t>
  </si>
  <si>
    <t>Combien de bureaux d'hypothèques?</t>
  </si>
  <si>
    <t>Honoraires</t>
  </si>
  <si>
    <t>Frais</t>
  </si>
  <si>
    <t>Loon hypotheekbewaarder doorhaling</t>
  </si>
  <si>
    <t>TRANSFERT D'HYPOTHÈQUE</t>
  </si>
  <si>
    <t>ancienne inscription</t>
  </si>
  <si>
    <t>Nouvelle inscription</t>
  </si>
  <si>
    <t>Quantième acte? 1 ou 2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</si>
  <si>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</si>
  <si>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</si>
  <si>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</si>
  <si>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</si>
  <si>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</si>
  <si>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</si>
  <si>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</si>
  <si>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</si>
  <si>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</si>
  <si>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</si>
  <si>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Total:</t>
  </si>
  <si>
    <t>VENTE BIEN IMMOBILIER AVEC TVA - FLANDRE + TRANSFERT D'HYPOTHEQUE + MANDAT HYPOTHECAIRE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</si>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</sst>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&quot; Fr&quot;;\-#,##0&quot; Fr&quot;"/>
    <numFmt numFmtId="181" formatCode="0.0000%"/>
  </numFmts>
  <fonts count="2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9"/>
      <color indexed="9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21"/>
        <bgColor indexed="2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9" fillId="0" borderId="0"/>
    <xf numFmtId="0" fontId="1" fillId="0" borderId="0"/>
    <xf numFmtId="0" fontId="19" fillId="0" borderId="0"/>
    <xf numFmtId="177" fontId="8" fillId="0" borderId="1">
      <protection locked="0"/>
    </xf>
    <xf numFmtId="0" fontId="20" fillId="0" borderId="34" applyNumberFormat="0" applyFill="0" applyAlignment="0" applyProtection="0"/>
  </cellStyleXfs>
  <cellXfs count="223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6" xfId="13" applyFill="1" applyBorder="1" applyAlignment="1" applyProtection="1">
      <alignment horizontal="left"/>
      <protection hidden="1"/>
    </xf>
    <xf numFmtId="166" fontId="1" fillId="2" borderId="2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9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170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8" fontId="5" fillId="2" borderId="8" xfId="13" applyNumberFormat="1" applyFont="1" applyFill="1" applyBorder="1" applyProtection="1">
      <protection hidden="1"/>
    </xf>
    <xf numFmtId="0" fontId="13" fillId="3" borderId="12" xfId="13" applyFont="1" applyFill="1" applyBorder="1" applyAlignment="1" applyProtection="1">
      <alignment horizontal="left"/>
      <protection hidden="1"/>
    </xf>
    <xf numFmtId="0" fontId="14" fillId="3" borderId="1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6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6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5" fontId="2" fillId="4" borderId="0" xfId="13" applyNumberFormat="1" applyFont="1" applyFill="1" applyBorder="1" applyAlignment="1" applyProtection="1">
      <alignment horizontal="left"/>
      <protection locked="0" hidden="1"/>
    </xf>
    <xf numFmtId="165" fontId="1" fillId="4" borderId="0" xfId="13" applyNumberFormat="1" applyFont="1" applyFill="1" applyBorder="1" applyAlignment="1" applyProtection="1">
      <alignment horizontal="left"/>
      <protection locked="0" hidden="1"/>
    </xf>
    <xf numFmtId="165" fontId="1" fillId="10" borderId="0" xfId="13" applyNumberFormat="1" applyFont="1" applyFill="1" applyBorder="1" applyAlignment="1" applyProtection="1">
      <alignment horizontal="right"/>
      <protection locked="0" hidden="1"/>
    </xf>
    <xf numFmtId="165" fontId="1" fillId="11" borderId="0" xfId="13" applyNumberFormat="1" applyFont="1" applyFill="1" applyBorder="1" applyAlignment="1" applyProtection="1">
      <alignment horizontal="center"/>
      <protection locked="0" hidden="1"/>
    </xf>
    <xf numFmtId="165" fontId="1" fillId="7" borderId="0" xfId="13" applyNumberFormat="1" applyFill="1" applyBorder="1" applyAlignment="1" applyProtection="1">
      <protection locked="0" hidden="1"/>
    </xf>
    <xf numFmtId="165" fontId="1" fillId="12" borderId="0" xfId="13" applyNumberFormat="1" applyFill="1" applyBorder="1" applyAlignment="1" applyProtection="1">
      <protection locked="0" hidden="1"/>
    </xf>
    <xf numFmtId="165" fontId="1" fillId="6" borderId="0" xfId="13" applyNumberFormat="1" applyFont="1" applyFill="1" applyBorder="1" applyAlignment="1" applyProtection="1">
      <alignment horizontal="right"/>
      <protection hidden="1"/>
    </xf>
    <xf numFmtId="165" fontId="1" fillId="7" borderId="0" xfId="13" applyNumberFormat="1" applyFill="1" applyBorder="1" applyAlignment="1" applyProtection="1">
      <alignment horizontal="center"/>
      <protection locked="0" hidden="1"/>
    </xf>
    <xf numFmtId="165" fontId="1" fillId="13" borderId="0" xfId="13" applyNumberFormat="1" applyFont="1" applyFill="1" applyBorder="1" applyAlignment="1" applyProtection="1">
      <alignment horizontal="left"/>
      <protection locked="0" hidden="1"/>
    </xf>
    <xf numFmtId="165" fontId="1" fillId="4" borderId="0" xfId="13" applyNumberFormat="1" applyFont="1" applyFill="1" applyBorder="1" applyAlignment="1" applyProtection="1">
      <alignment horizontal="center"/>
      <protection locked="0"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/>
    <xf numFmtId="165" fontId="1" fillId="4" borderId="0" xfId="13" applyNumberFormat="1" applyFill="1" applyBorder="1" applyAlignment="1" applyProtection="1">
      <alignment horizontal="left"/>
      <protection locked="0" hidden="1"/>
    </xf>
    <xf numFmtId="165" fontId="1" fillId="4" borderId="0" xfId="13" applyNumberFormat="1" applyFill="1" applyBorder="1" applyAlignment="1" applyProtection="1">
      <alignment horizontal="left"/>
      <protection locked="0"/>
    </xf>
    <xf numFmtId="165" fontId="11" fillId="4" borderId="0" xfId="0" applyNumberFormat="1" applyFont="1" applyFill="1" applyBorder="1" applyAlignment="1" applyProtection="1">
      <alignment horizontal="left"/>
      <protection locked="0"/>
    </xf>
    <xf numFmtId="165" fontId="1" fillId="6" borderId="14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6" borderId="14" xfId="13" applyNumberFormat="1" applyFill="1" applyBorder="1" applyAlignment="1" applyProtection="1">
      <alignment horizontal="left"/>
      <protection hidden="1"/>
    </xf>
    <xf numFmtId="165" fontId="1" fillId="7" borderId="14" xfId="13" applyNumberFormat="1" applyFill="1" applyBorder="1" applyProtection="1">
      <protection hidden="1"/>
    </xf>
    <xf numFmtId="165" fontId="1" fillId="2" borderId="0" xfId="13" applyNumberFormat="1" applyFill="1" applyBorder="1" applyProtection="1">
      <protection hidden="1"/>
    </xf>
    <xf numFmtId="165" fontId="1" fillId="5" borderId="13" xfId="13" applyNumberFormat="1" applyFill="1" applyBorder="1" applyProtection="1">
      <protection hidden="1"/>
    </xf>
    <xf numFmtId="165" fontId="1" fillId="2" borderId="0" xfId="13" applyNumberFormat="1" applyFill="1" applyProtection="1">
      <protection hidden="1"/>
    </xf>
    <xf numFmtId="165" fontId="1" fillId="9" borderId="17" xfId="13" applyNumberFormat="1" applyFill="1" applyBorder="1" applyAlignment="1" applyProtection="1">
      <alignment horizontal="left"/>
      <protection hidden="1"/>
    </xf>
    <xf numFmtId="165" fontId="1" fillId="9" borderId="14" xfId="13" applyNumberFormat="1" applyFill="1" applyBorder="1" applyAlignment="1" applyProtection="1">
      <protection hidden="1"/>
    </xf>
    <xf numFmtId="165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167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80" fontId="6" fillId="15" borderId="0" xfId="13" applyNumberFormat="1" applyFont="1" applyFill="1" applyBorder="1" applyProtection="1">
      <protection hidden="1"/>
    </xf>
    <xf numFmtId="0" fontId="1" fillId="14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3" fontId="1" fillId="14" borderId="7" xfId="0" applyNumberFormat="1" applyFont="1" applyFill="1" applyBorder="1" applyProtection="1">
      <protection hidden="1"/>
    </xf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7" fontId="1" fillId="14" borderId="0" xfId="0" applyNumberFormat="1" applyFont="1" applyFill="1" applyProtection="1">
      <protection hidden="1"/>
    </xf>
    <xf numFmtId="4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7" fontId="2" fillId="2" borderId="0" xfId="0" applyNumberFormat="1" applyFon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0" fontId="1" fillId="3" borderId="12" xfId="13" applyNumberFormat="1" applyFill="1" applyBorder="1" applyAlignment="1" applyProtection="1">
      <protection hidden="1"/>
    </xf>
    <xf numFmtId="166" fontId="1" fillId="3" borderId="12" xfId="13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7" fontId="2" fillId="4" borderId="0" xfId="0" applyNumberFormat="1" applyFon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Alignment="1" applyProtection="1">
      <protection hidden="1"/>
    </xf>
    <xf numFmtId="165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5" fontId="0" fillId="4" borderId="0" xfId="0" applyNumberFormat="1" applyFill="1" applyBorder="1" applyAlignment="1" applyProtection="1">
      <alignment horizontal="left"/>
      <protection hidden="1"/>
    </xf>
    <xf numFmtId="167" fontId="0" fillId="2" borderId="0" xfId="0" applyNumberFormat="1" applyFill="1" applyBorder="1" applyAlignment="1" applyProtection="1">
      <alignment horizontal="right"/>
      <protection hidden="1"/>
    </xf>
    <xf numFmtId="165" fontId="2" fillId="2" borderId="0" xfId="0" applyNumberFormat="1" applyFont="1" applyFill="1" applyProtection="1">
      <protection hidden="1"/>
    </xf>
    <xf numFmtId="179" fontId="0" fillId="4" borderId="0" xfId="0" applyNumberFormat="1" applyFill="1" applyBorder="1" applyAlignment="1" applyProtection="1">
      <alignment horizontal="left"/>
      <protection hidden="1"/>
    </xf>
    <xf numFmtId="0" fontId="15" fillId="16" borderId="18" xfId="13" applyFont="1" applyFill="1" applyBorder="1" applyAlignment="1" applyProtection="1">
      <alignment horizontal="left"/>
      <protection hidden="1"/>
    </xf>
    <xf numFmtId="0" fontId="15" fillId="16" borderId="19" xfId="13" applyFont="1" applyFill="1" applyBorder="1" applyAlignment="1" applyProtection="1">
      <alignment horizontal="right"/>
      <protection hidden="1"/>
    </xf>
    <xf numFmtId="0" fontId="15" fillId="16" borderId="20" xfId="13" applyFont="1" applyFill="1" applyBorder="1" applyAlignment="1" applyProtection="1">
      <alignment horizontal="right"/>
      <protection hidden="1"/>
    </xf>
    <xf numFmtId="0" fontId="1" fillId="14" borderId="0" xfId="13" applyFill="1" applyProtection="1">
      <protection hidden="1"/>
    </xf>
    <xf numFmtId="0" fontId="1" fillId="14" borderId="21" xfId="13" applyFill="1" applyBorder="1" applyAlignment="1" applyProtection="1">
      <protection hidden="1"/>
    </xf>
    <xf numFmtId="0" fontId="1" fillId="14" borderId="0" xfId="13" applyFill="1" applyBorder="1" applyAlignment="1" applyProtection="1">
      <protection hidden="1"/>
    </xf>
    <xf numFmtId="0" fontId="1" fillId="14" borderId="22" xfId="13" applyFill="1" applyBorder="1" applyAlignment="1" applyProtection="1">
      <protection hidden="1"/>
    </xf>
    <xf numFmtId="0" fontId="1" fillId="14" borderId="23" xfId="13" applyFill="1" applyBorder="1" applyAlignment="1" applyProtection="1">
      <protection hidden="1"/>
    </xf>
    <xf numFmtId="0" fontId="1" fillId="14" borderId="24" xfId="13" applyFill="1" applyBorder="1" applyAlignment="1" applyProtection="1">
      <protection hidden="1"/>
    </xf>
    <xf numFmtId="0" fontId="1" fillId="14" borderId="25" xfId="13" applyFill="1" applyBorder="1" applyAlignment="1" applyProtection="1">
      <protection hidden="1"/>
    </xf>
    <xf numFmtId="167" fontId="1" fillId="14" borderId="0" xfId="13" applyNumberFormat="1" applyFill="1" applyProtection="1">
      <protection hidden="1"/>
    </xf>
    <xf numFmtId="166" fontId="1" fillId="14" borderId="0" xfId="13" applyNumberFormat="1" applyFill="1" applyProtection="1">
      <protection hidden="1"/>
    </xf>
    <xf numFmtId="0" fontId="5" fillId="15" borderId="8" xfId="13" applyFont="1" applyFill="1" applyBorder="1" applyAlignment="1" applyProtection="1">
      <alignment horizontal="left"/>
      <protection hidden="1"/>
    </xf>
    <xf numFmtId="180" fontId="6" fillId="15" borderId="8" xfId="13" applyNumberFormat="1" applyFont="1" applyFill="1" applyBorder="1" applyProtection="1">
      <protection hidden="1"/>
    </xf>
    <xf numFmtId="169" fontId="6" fillId="15" borderId="0" xfId="13" applyNumberFormat="1" applyFont="1" applyFill="1" applyProtection="1">
      <protection hidden="1"/>
    </xf>
    <xf numFmtId="0" fontId="6" fillId="15" borderId="0" xfId="13" applyFont="1" applyFill="1" applyProtection="1">
      <protection hidden="1"/>
    </xf>
    <xf numFmtId="168" fontId="6" fillId="15" borderId="8" xfId="13" applyNumberFormat="1" applyFont="1" applyFill="1" applyBorder="1" applyProtection="1">
      <protection hidden="1"/>
    </xf>
    <xf numFmtId="169" fontId="6" fillId="15" borderId="8" xfId="13" applyNumberFormat="1" applyFont="1" applyFill="1" applyBorder="1" applyProtection="1">
      <protection hidden="1"/>
    </xf>
    <xf numFmtId="170" fontId="6" fillId="15" borderId="8" xfId="13" applyNumberFormat="1" applyFont="1" applyFill="1" applyBorder="1" applyProtection="1">
      <protection hidden="1"/>
    </xf>
    <xf numFmtId="170" fontId="6" fillId="15" borderId="9" xfId="13" applyNumberFormat="1" applyFont="1" applyFill="1" applyBorder="1" applyProtection="1">
      <protection hidden="1"/>
    </xf>
    <xf numFmtId="181" fontId="6" fillId="15" borderId="8" xfId="13" applyNumberFormat="1" applyFont="1" applyFill="1" applyBorder="1" applyProtection="1">
      <protection hidden="1"/>
    </xf>
    <xf numFmtId="169" fontId="5" fillId="15" borderId="8" xfId="13" applyNumberFormat="1" applyFont="1" applyFill="1" applyBorder="1" applyAlignment="1" applyProtection="1">
      <alignment horizontal="center"/>
      <protection hidden="1"/>
    </xf>
    <xf numFmtId="169" fontId="5" fillId="15" borderId="0" xfId="13" applyNumberFormat="1" applyFont="1" applyFill="1" applyBorder="1" applyAlignment="1" applyProtection="1">
      <alignment horizontal="center"/>
      <protection hidden="1"/>
    </xf>
    <xf numFmtId="168" fontId="5" fillId="15" borderId="8" xfId="13" applyNumberFormat="1" applyFont="1" applyFill="1" applyBorder="1" applyProtection="1">
      <protection hidden="1"/>
    </xf>
    <xf numFmtId="0" fontId="2" fillId="17" borderId="0" xfId="13" applyFont="1" applyFill="1" applyBorder="1" applyAlignment="1" applyProtection="1">
      <alignment horizontal="left"/>
      <protection hidden="1"/>
    </xf>
    <xf numFmtId="0" fontId="16" fillId="18" borderId="26" xfId="13" applyFont="1" applyFill="1" applyBorder="1" applyAlignment="1" applyProtection="1">
      <alignment horizontal="left"/>
      <protection hidden="1"/>
    </xf>
    <xf numFmtId="0" fontId="16" fillId="4" borderId="27" xfId="13" applyFont="1" applyFill="1" applyBorder="1" applyAlignment="1" applyProtection="1">
      <alignment horizontal="left"/>
      <protection hidden="1"/>
    </xf>
    <xf numFmtId="0" fontId="1" fillId="12" borderId="0" xfId="13" applyFill="1" applyBorder="1" applyAlignment="1" applyProtection="1">
      <alignment horizontal="center"/>
      <protection locked="0" hidden="1"/>
    </xf>
    <xf numFmtId="179" fontId="1" fillId="18" borderId="28" xfId="13" applyNumberFormat="1" applyFill="1" applyBorder="1" applyAlignment="1" applyProtection="1">
      <protection locked="0" hidden="1"/>
    </xf>
    <xf numFmtId="179" fontId="1" fillId="18" borderId="0" xfId="13" applyNumberFormat="1" applyFill="1" applyBorder="1" applyAlignment="1" applyProtection="1">
      <protection locked="0" hidden="1"/>
    </xf>
    <xf numFmtId="179" fontId="1" fillId="19" borderId="0" xfId="13" applyNumberFormat="1" applyFill="1" applyBorder="1" applyAlignment="1" applyProtection="1">
      <protection hidden="1"/>
    </xf>
    <xf numFmtId="179" fontId="1" fillId="4" borderId="0" xfId="13" applyNumberFormat="1" applyFill="1" applyBorder="1" applyAlignment="1" applyProtection="1">
      <protection locked="0" hidden="1"/>
    </xf>
    <xf numFmtId="179" fontId="1" fillId="9" borderId="0" xfId="13" applyNumberFormat="1" applyFill="1" applyBorder="1" applyAlignment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12" borderId="29" xfId="13" applyNumberFormat="1" applyFill="1" applyBorder="1" applyAlignment="1" applyProtection="1">
      <protection hidden="1"/>
    </xf>
    <xf numFmtId="179" fontId="1" fillId="20" borderId="29" xfId="13" applyNumberFormat="1" applyFill="1" applyBorder="1" applyAlignment="1" applyProtection="1">
      <protection hidden="1"/>
    </xf>
    <xf numFmtId="179" fontId="1" fillId="21" borderId="29" xfId="13" applyNumberFormat="1" applyFill="1" applyBorder="1" applyAlignment="1" applyProtection="1">
      <protection hidden="1"/>
    </xf>
    <xf numFmtId="179" fontId="1" fillId="10" borderId="29" xfId="13" applyNumberFormat="1" applyFill="1" applyBorder="1" applyAlignment="1" applyProtection="1">
      <protection hidden="1"/>
    </xf>
    <xf numFmtId="179" fontId="1" fillId="22" borderId="29" xfId="13" applyNumberFormat="1" applyFill="1" applyBorder="1" applyProtection="1">
      <protection hidden="1"/>
    </xf>
    <xf numFmtId="179" fontId="2" fillId="6" borderId="30" xfId="13" applyNumberFormat="1" applyFont="1" applyFill="1" applyBorder="1" applyProtection="1">
      <protection hidden="1"/>
    </xf>
    <xf numFmtId="179" fontId="1" fillId="14" borderId="0" xfId="13" applyNumberFormat="1" applyFill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locked="0" hidden="1"/>
    </xf>
    <xf numFmtId="179" fontId="1" fillId="20" borderId="0" xfId="13" applyNumberFormat="1" applyFill="1" applyBorder="1" applyAlignment="1" applyProtection="1">
      <alignment horizontal="right"/>
      <protection hidden="1"/>
    </xf>
    <xf numFmtId="179" fontId="1" fillId="12" borderId="0" xfId="13" applyNumberFormat="1" applyFont="1" applyFill="1" applyBorder="1" applyAlignment="1" applyProtection="1">
      <alignment horizontal="right"/>
      <protection locked="0" hidden="1"/>
    </xf>
    <xf numFmtId="179" fontId="1" fillId="21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right"/>
      <protection hidden="1"/>
    </xf>
    <xf numFmtId="0" fontId="1" fillId="3" borderId="0" xfId="13" applyFill="1"/>
    <xf numFmtId="0" fontId="1" fillId="2" borderId="27" xfId="13" applyFill="1" applyBorder="1" applyAlignment="1" applyProtection="1">
      <alignment horizontal="left"/>
      <protection hidden="1"/>
    </xf>
    <xf numFmtId="0" fontId="16" fillId="2" borderId="27" xfId="13" applyFont="1" applyFill="1" applyBorder="1" applyAlignment="1" applyProtection="1">
      <alignment horizontal="left"/>
      <protection hidden="1"/>
    </xf>
    <xf numFmtId="0" fontId="1" fillId="2" borderId="27" xfId="13" applyFont="1" applyFill="1" applyBorder="1" applyAlignment="1" applyProtection="1">
      <alignment horizontal="left"/>
      <protection hidden="1"/>
    </xf>
    <xf numFmtId="0" fontId="2" fillId="2" borderId="27" xfId="13" quotePrefix="1" applyFont="1" applyFill="1" applyBorder="1" applyAlignment="1" applyProtection="1">
      <alignment horizontal="left"/>
      <protection hidden="1"/>
    </xf>
    <xf numFmtId="0" fontId="1" fillId="2" borderId="27" xfId="13" applyFill="1" applyBorder="1" applyProtection="1">
      <protection hidden="1"/>
    </xf>
    <xf numFmtId="0" fontId="1" fillId="2" borderId="31" xfId="13" applyFill="1" applyBorder="1" applyProtection="1">
      <protection hidden="1"/>
    </xf>
    <xf numFmtId="166" fontId="1" fillId="2" borderId="28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32" xfId="13" applyFill="1" applyBorder="1" applyProtection="1">
      <protection hidden="1"/>
    </xf>
    <xf numFmtId="179" fontId="1" fillId="2" borderId="0" xfId="13" applyNumberFormat="1" applyFill="1" applyBorder="1" applyAlignment="1" applyProtection="1">
      <protection hidden="1"/>
    </xf>
    <xf numFmtId="179" fontId="1" fillId="2" borderId="0" xfId="13" applyNumberFormat="1" applyFill="1" applyBorder="1"/>
    <xf numFmtId="179" fontId="2" fillId="2" borderId="0" xfId="13" applyNumberFormat="1" applyFont="1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6" fontId="1" fillId="2" borderId="33" xfId="13" applyNumberFormat="1" applyFill="1" applyBorder="1" applyAlignment="1" applyProtection="1">
      <protection hidden="1"/>
    </xf>
    <xf numFmtId="0" fontId="1" fillId="2" borderId="29" xfId="13" applyFill="1" applyBorder="1"/>
    <xf numFmtId="166" fontId="1" fillId="2" borderId="29" xfId="13" applyNumberFormat="1" applyFill="1" applyBorder="1" applyAlignment="1" applyProtection="1">
      <protection hidden="1"/>
    </xf>
    <xf numFmtId="179" fontId="1" fillId="2" borderId="29" xfId="13" applyNumberFormat="1" applyFill="1" applyBorder="1" applyAlignment="1" applyProtection="1">
      <protection hidden="1"/>
    </xf>
    <xf numFmtId="166" fontId="2" fillId="2" borderId="32" xfId="13" applyNumberFormat="1" applyFont="1" applyFill="1" applyBorder="1" applyAlignment="1" applyProtection="1">
      <protection hidden="1"/>
    </xf>
    <xf numFmtId="179" fontId="1" fillId="2" borderId="29" xfId="13" applyNumberFormat="1" applyFill="1" applyBorder="1" applyProtection="1">
      <protection hidden="1"/>
    </xf>
    <xf numFmtId="0" fontId="2" fillId="17" borderId="0" xfId="0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/>
    <xf numFmtId="0" fontId="1" fillId="2" borderId="0" xfId="13" applyFont="1" applyFill="1" applyBorder="1" applyAlignment="1">
      <alignment horizontal="left"/>
    </xf>
    <xf numFmtId="0" fontId="1" fillId="2" borderId="0" xfId="13" applyFont="1" applyFill="1" applyBorder="1"/>
    <xf numFmtId="165" fontId="11" fillId="2" borderId="0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166" fontId="11" fillId="2" borderId="0" xfId="0" applyNumberFormat="1" applyFont="1" applyFill="1" applyBorder="1" applyAlignment="1" applyProtection="1">
      <protection hidden="1"/>
    </xf>
    <xf numFmtId="166" fontId="1" fillId="2" borderId="26" xfId="13" applyNumberFormat="1" applyFont="1" applyFill="1" applyBorder="1" applyAlignment="1"/>
    <xf numFmtId="0" fontId="11" fillId="2" borderId="28" xfId="0" applyFont="1" applyFill="1" applyBorder="1" applyAlignment="1" applyProtection="1">
      <alignment horizontal="left"/>
      <protection hidden="1"/>
    </xf>
    <xf numFmtId="167" fontId="2" fillId="2" borderId="28" xfId="0" applyNumberFormat="1" applyFont="1" applyFill="1" applyBorder="1" applyAlignment="1" applyProtection="1">
      <protection hidden="1"/>
    </xf>
    <xf numFmtId="166" fontId="11" fillId="2" borderId="28" xfId="0" applyNumberFormat="1" applyFont="1" applyFill="1" applyBorder="1" applyAlignment="1" applyProtection="1">
      <protection hidden="1"/>
    </xf>
    <xf numFmtId="167" fontId="11" fillId="2" borderId="33" xfId="0" applyNumberFormat="1" applyFont="1" applyFill="1" applyBorder="1" applyAlignment="1" applyProtection="1">
      <protection hidden="1"/>
    </xf>
    <xf numFmtId="166" fontId="1" fillId="2" borderId="27" xfId="13" applyNumberFormat="1" applyFont="1" applyFill="1" applyBorder="1" applyAlignment="1"/>
    <xf numFmtId="167" fontId="11" fillId="2" borderId="29" xfId="0" applyNumberFormat="1" applyFont="1" applyFill="1" applyBorder="1" applyAlignment="1" applyProtection="1">
      <protection hidden="1"/>
    </xf>
    <xf numFmtId="0" fontId="2" fillId="2" borderId="27" xfId="13" applyFont="1" applyFill="1" applyBorder="1" applyAlignment="1" applyProtection="1">
      <alignment horizontal="left"/>
      <protection hidden="1"/>
    </xf>
    <xf numFmtId="0" fontId="1" fillId="2" borderId="27" xfId="13" applyFont="1" applyFill="1" applyBorder="1" applyAlignment="1">
      <alignment horizontal="left"/>
    </xf>
    <xf numFmtId="165" fontId="11" fillId="2" borderId="29" xfId="0" applyNumberFormat="1" applyFont="1" applyFill="1" applyBorder="1" applyAlignment="1" applyProtection="1">
      <protection hidden="1"/>
    </xf>
    <xf numFmtId="0" fontId="2" fillId="2" borderId="27" xfId="0" applyFont="1" applyFill="1" applyBorder="1" applyAlignment="1" applyProtection="1">
      <alignment horizontal="left"/>
      <protection hidden="1"/>
    </xf>
    <xf numFmtId="0" fontId="2" fillId="2" borderId="31" xfId="0" applyFont="1" applyFill="1" applyBorder="1" applyAlignment="1" applyProtection="1">
      <alignment horizontal="left"/>
      <protection hidden="1"/>
    </xf>
    <xf numFmtId="0" fontId="11" fillId="2" borderId="32" xfId="0" applyFont="1" applyFill="1" applyBorder="1" applyAlignment="1" applyProtection="1">
      <alignment horizontal="left"/>
      <protection hidden="1"/>
    </xf>
    <xf numFmtId="167" fontId="2" fillId="2" borderId="32" xfId="0" applyNumberFormat="1" applyFont="1" applyFill="1" applyBorder="1" applyAlignment="1" applyProtection="1">
      <protection hidden="1"/>
    </xf>
    <xf numFmtId="0" fontId="1" fillId="2" borderId="32" xfId="13" applyFont="1" applyFill="1" applyBorder="1"/>
    <xf numFmtId="165" fontId="11" fillId="12" borderId="0" xfId="0" applyNumberFormat="1" applyFont="1" applyFill="1" applyBorder="1" applyAlignment="1" applyProtection="1">
      <alignment horizontal="left"/>
      <protection hidden="1"/>
    </xf>
    <xf numFmtId="165" fontId="11" fillId="4" borderId="0" xfId="0" applyNumberFormat="1" applyFont="1" applyFill="1" applyBorder="1" applyAlignment="1" applyProtection="1">
      <alignment horizontal="left"/>
      <protection hidden="1"/>
    </xf>
    <xf numFmtId="165" fontId="11" fillId="21" borderId="0" xfId="0" applyNumberFormat="1" applyFont="1" applyFill="1" applyBorder="1" applyAlignment="1" applyProtection="1">
      <alignment horizontal="left"/>
      <protection hidden="1"/>
    </xf>
    <xf numFmtId="165" fontId="11" fillId="12" borderId="29" xfId="0" applyNumberFormat="1" applyFont="1" applyFill="1" applyBorder="1" applyAlignment="1" applyProtection="1">
      <protection hidden="1"/>
    </xf>
    <xf numFmtId="165" fontId="11" fillId="21" borderId="29" xfId="0" applyNumberFormat="1" applyFont="1" applyFill="1" applyBorder="1" applyAlignment="1" applyProtection="1">
      <protection hidden="1"/>
    </xf>
    <xf numFmtId="165" fontId="11" fillId="10" borderId="29" xfId="0" applyNumberFormat="1" applyFont="1" applyFill="1" applyBorder="1" applyAlignment="1" applyProtection="1">
      <protection hidden="1"/>
    </xf>
    <xf numFmtId="165" fontId="11" fillId="22" borderId="29" xfId="0" applyNumberFormat="1" applyFont="1" applyFill="1" applyBorder="1" applyAlignment="1" applyProtection="1">
      <protection hidden="1"/>
    </xf>
    <xf numFmtId="165" fontId="18" fillId="6" borderId="30" xfId="0" applyNumberFormat="1" applyFont="1" applyFill="1" applyBorder="1" applyAlignment="1" applyProtection="1">
      <protection hidden="1"/>
    </xf>
    <xf numFmtId="165" fontId="11" fillId="12" borderId="28" xfId="0" applyNumberFormat="1" applyFont="1" applyFill="1" applyBorder="1" applyAlignment="1" applyProtection="1">
      <alignment horizontal="left"/>
      <protection locked="0" hidden="1"/>
    </xf>
    <xf numFmtId="165" fontId="11" fillId="12" borderId="0" xfId="0" applyNumberFormat="1" applyFont="1" applyFill="1" applyBorder="1" applyAlignment="1" applyProtection="1">
      <alignment horizontal="left"/>
      <protection locked="0" hidden="1"/>
    </xf>
    <xf numFmtId="0" fontId="11" fillId="12" borderId="0" xfId="0" applyFont="1" applyFill="1" applyBorder="1" applyAlignment="1" applyProtection="1">
      <alignment horizontal="center"/>
      <protection locked="0" hidden="1"/>
    </xf>
    <xf numFmtId="165" fontId="11" fillId="4" borderId="0" xfId="0" applyNumberFormat="1" applyFont="1" applyFill="1" applyBorder="1" applyAlignment="1" applyProtection="1">
      <alignment horizontal="left"/>
      <protection locked="0" hidden="1"/>
    </xf>
    <xf numFmtId="165" fontId="11" fillId="20" borderId="0" xfId="0" applyNumberFormat="1" applyFon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VABREYNETHM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VABREYNETHMHAV.xlsx" TargetMode="External"/><Relationship Id="rId1" Type="http://schemas.openxmlformats.org/officeDocument/2006/relationships/hyperlink" Target="VBIFTVABREYNET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TH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95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6.85546875" style="1" customWidth="1"/>
    <col min="3" max="3" width="19.28515625" style="1" customWidth="1"/>
    <col min="4" max="4" width="16.5703125" style="1" customWidth="1"/>
    <col min="5" max="5" width="16.7109375" style="1" customWidth="1"/>
    <col min="6" max="6" width="13.42578125" style="1" customWidth="1"/>
    <col min="7" max="7" width="15" style="1" customWidth="1"/>
    <col min="8" max="16" width="9.140625" style="1"/>
    <col min="17" max="17" width="12.140625" style="1" bestFit="1" customWidth="1"/>
    <col min="18" max="16384" width="9.140625" style="1"/>
  </cols>
  <sheetData>
    <row r="1" spans="1:9" ht="27.75" customHeight="1" thickTop="1">
      <c r="A1" s="50" t="s">
        <v>91</v>
      </c>
      <c r="B1" s="51"/>
      <c r="C1" s="51"/>
      <c r="D1" s="51"/>
      <c r="E1" s="107"/>
      <c r="F1" s="108"/>
      <c r="G1" s="108"/>
      <c r="H1" s="167"/>
      <c r="I1" s="167"/>
    </row>
    <row r="2" spans="1:9">
      <c r="A2" s="2"/>
      <c r="B2" s="2"/>
      <c r="C2" s="2"/>
      <c r="D2" s="2"/>
      <c r="E2" s="3"/>
      <c r="F2" s="3"/>
      <c r="G2" s="3"/>
    </row>
    <row r="3" spans="1:9">
      <c r="A3" s="2" t="s">
        <v>0</v>
      </c>
      <c r="B3" s="64"/>
      <c r="C3" s="2"/>
      <c r="D3" s="2"/>
      <c r="E3" s="3"/>
      <c r="F3" s="3"/>
      <c r="G3" s="4"/>
    </row>
    <row r="4" spans="1:9">
      <c r="A4" s="2" t="s">
        <v>13</v>
      </c>
      <c r="B4" s="65"/>
      <c r="C4" s="5"/>
      <c r="E4" s="6"/>
      <c r="F4" s="3"/>
    </row>
    <row r="5" spans="1:9">
      <c r="A5" s="2" t="s">
        <v>14</v>
      </c>
      <c r="B5" s="66">
        <v>0</v>
      </c>
      <c r="C5" s="5"/>
      <c r="E5" s="6"/>
      <c r="F5" s="3"/>
    </row>
    <row r="6" spans="1:9">
      <c r="A6" s="2" t="s">
        <v>15</v>
      </c>
      <c r="B6" s="66">
        <v>0</v>
      </c>
      <c r="C6" s="5"/>
      <c r="E6" s="6"/>
      <c r="F6" s="3"/>
    </row>
    <row r="7" spans="1:9">
      <c r="A7" s="2" t="s">
        <v>16</v>
      </c>
      <c r="B7" s="67" t="s">
        <v>47</v>
      </c>
      <c r="C7" s="5"/>
      <c r="E7" s="6"/>
      <c r="F7" s="3"/>
    </row>
    <row r="8" spans="1:9">
      <c r="A8" s="9" t="s">
        <v>17</v>
      </c>
      <c r="B8" s="68">
        <v>0</v>
      </c>
      <c r="C8" s="5"/>
      <c r="D8" s="3"/>
      <c r="E8" s="7"/>
      <c r="F8" s="3"/>
    </row>
    <row r="9" spans="1:9">
      <c r="A9" s="9" t="s">
        <v>18</v>
      </c>
      <c r="B9" s="69">
        <v>0</v>
      </c>
      <c r="C9" s="5"/>
      <c r="D9" s="3"/>
      <c r="E9" s="7"/>
      <c r="F9" s="3"/>
    </row>
    <row r="10" spans="1:9">
      <c r="A10" s="62" t="s">
        <v>19</v>
      </c>
      <c r="B10" s="70">
        <f>IF(B8&lt;B6,B6/2+B5+B9,B6+B5+B9)</f>
        <v>0</v>
      </c>
      <c r="C10" s="8"/>
      <c r="D10" s="3"/>
      <c r="E10" s="7"/>
      <c r="F10" s="3"/>
    </row>
    <row r="11" spans="1:9">
      <c r="A11" s="8" t="s">
        <v>20</v>
      </c>
      <c r="B11" s="68">
        <v>0</v>
      </c>
      <c r="C11" s="5"/>
      <c r="D11" s="3"/>
      <c r="E11" s="7"/>
      <c r="F11" s="3"/>
    </row>
    <row r="12" spans="1:9">
      <c r="A12" s="8" t="s">
        <v>21</v>
      </c>
      <c r="B12" s="71" t="s">
        <v>47</v>
      </c>
      <c r="C12" s="5"/>
      <c r="D12" s="3"/>
      <c r="E12" s="7"/>
      <c r="F12" s="3"/>
    </row>
    <row r="13" spans="1:9">
      <c r="A13" s="8" t="s">
        <v>22</v>
      </c>
      <c r="B13" s="72">
        <v>0</v>
      </c>
      <c r="C13" s="5"/>
      <c r="E13" s="6"/>
      <c r="F13" s="3"/>
    </row>
    <row r="14" spans="1:9">
      <c r="A14" s="8" t="s">
        <v>23</v>
      </c>
      <c r="B14" s="73" t="s">
        <v>47</v>
      </c>
      <c r="C14" s="5"/>
      <c r="D14" s="5"/>
      <c r="E14" s="9"/>
      <c r="F14" s="3"/>
      <c r="G14" s="7"/>
    </row>
    <row r="15" spans="1:9">
      <c r="A15" s="8" t="s">
        <v>24</v>
      </c>
      <c r="B15" s="73" t="s">
        <v>47</v>
      </c>
      <c r="C15" s="8"/>
      <c r="E15" s="6"/>
      <c r="F15" s="3"/>
      <c r="G15" s="3"/>
    </row>
    <row r="16" spans="1:9" ht="13.5" thickBot="1">
      <c r="A16" s="8"/>
      <c r="B16" s="2"/>
      <c r="C16" s="2"/>
      <c r="D16" s="2"/>
      <c r="E16" s="3"/>
      <c r="F16" s="3"/>
      <c r="G16" s="3"/>
    </row>
    <row r="17" spans="1:7" ht="14.25" thickTop="1" thickBot="1">
      <c r="A17" s="53" t="s">
        <v>25</v>
      </c>
      <c r="B17" s="10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54" t="s">
        <v>26</v>
      </c>
      <c r="B19" s="2"/>
      <c r="C19" s="2"/>
      <c r="E19" s="79">
        <f>F253</f>
        <v>0</v>
      </c>
      <c r="F19" s="6"/>
    </row>
    <row r="20" spans="1:7" ht="13.5" thickTop="1">
      <c r="A20" s="8" t="s">
        <v>27</v>
      </c>
      <c r="B20" s="5"/>
      <c r="C20" s="5"/>
      <c r="D20" s="74">
        <f>IF(B7="oui",50,B5*10/100)</f>
        <v>0</v>
      </c>
      <c r="E20" s="80"/>
      <c r="F20" s="9"/>
      <c r="G20" s="7"/>
    </row>
    <row r="21" spans="1:7">
      <c r="A21" s="8"/>
      <c r="B21" s="8" t="s">
        <v>28</v>
      </c>
      <c r="C21" s="5"/>
      <c r="D21" s="74">
        <f>IF(AND(B7="non",B12="oui"),-B5*5/100,0)</f>
        <v>0</v>
      </c>
      <c r="E21" s="80"/>
      <c r="F21" s="9"/>
      <c r="G21" s="7"/>
    </row>
    <row r="22" spans="1:7">
      <c r="A22" s="8"/>
      <c r="B22" s="8" t="s">
        <v>29</v>
      </c>
      <c r="C22" s="5"/>
      <c r="D22" s="74">
        <f>IF(B13&gt;(D20+D21),-(D20+D21),-B13)</f>
        <v>0</v>
      </c>
      <c r="E22" s="80"/>
      <c r="F22" s="9"/>
      <c r="G22" s="7"/>
    </row>
    <row r="23" spans="1:7">
      <c r="A23" s="8"/>
      <c r="B23" s="8" t="s">
        <v>3</v>
      </c>
      <c r="C23" s="5"/>
      <c r="D23" s="75">
        <f>IF(B14="non",0,E230)</f>
        <v>0</v>
      </c>
      <c r="E23" s="80"/>
      <c r="F23" s="9"/>
      <c r="G23" s="7"/>
    </row>
    <row r="24" spans="1:7">
      <c r="A24" s="8"/>
      <c r="B24" s="8" t="s">
        <v>30</v>
      </c>
      <c r="C24" s="5"/>
      <c r="D24" s="74">
        <f>H229</f>
        <v>0</v>
      </c>
      <c r="E24" s="80"/>
      <c r="F24" s="9"/>
      <c r="G24" s="7"/>
    </row>
    <row r="25" spans="1:7">
      <c r="A25" s="8" t="s">
        <v>31</v>
      </c>
      <c r="B25" s="8"/>
      <c r="C25" s="5"/>
      <c r="D25" s="74">
        <f>IF(B7="oui",(B5+B8)*21%,B8*21%)</f>
        <v>0</v>
      </c>
      <c r="E25" s="80"/>
      <c r="F25" s="9"/>
      <c r="G25" s="7"/>
    </row>
    <row r="26" spans="1:7">
      <c r="A26" s="8" t="s">
        <v>32</v>
      </c>
      <c r="B26" s="5"/>
      <c r="C26" s="5"/>
      <c r="D26" s="76">
        <v>0</v>
      </c>
      <c r="E26" s="80"/>
      <c r="F26" s="3"/>
      <c r="G26" s="3"/>
    </row>
    <row r="27" spans="1:7">
      <c r="A27" s="8" t="s">
        <v>33</v>
      </c>
      <c r="B27" s="52">
        <v>0</v>
      </c>
      <c r="C27" s="5"/>
      <c r="D27" s="74">
        <f>B27*30</f>
        <v>0</v>
      </c>
      <c r="E27" s="80"/>
      <c r="F27" s="3"/>
      <c r="G27" s="3"/>
    </row>
    <row r="28" spans="1:7">
      <c r="A28" s="8" t="s">
        <v>34</v>
      </c>
      <c r="B28" s="5"/>
      <c r="C28" s="5"/>
      <c r="D28" s="77">
        <v>770</v>
      </c>
      <c r="E28" s="80"/>
      <c r="F28" s="3"/>
      <c r="G28" s="3"/>
    </row>
    <row r="29" spans="1:7" ht="15.75" thickBot="1">
      <c r="A29" s="12" t="s">
        <v>35</v>
      </c>
      <c r="B29" s="13"/>
      <c r="C29" s="13"/>
      <c r="D29" s="78">
        <v>0</v>
      </c>
      <c r="E29" s="80"/>
      <c r="F29" s="3"/>
      <c r="G29" s="3"/>
    </row>
    <row r="30" spans="1:7" ht="14.25" thickTop="1" thickBot="1">
      <c r="A30" s="63" t="s">
        <v>36</v>
      </c>
      <c r="B30" s="5"/>
      <c r="C30" s="5"/>
      <c r="E30" s="81">
        <f>SUM(D20:D29)</f>
        <v>770</v>
      </c>
      <c r="F30" s="3"/>
      <c r="G30" s="3"/>
    </row>
    <row r="31" spans="1:7" ht="14.25" thickTop="1" thickBot="1">
      <c r="B31" s="5"/>
      <c r="C31" s="5"/>
      <c r="D31" s="55" t="s">
        <v>31</v>
      </c>
      <c r="E31" s="82">
        <f>(E19+D28)*21%</f>
        <v>161.69999999999999</v>
      </c>
      <c r="F31" s="3"/>
      <c r="G31" s="3"/>
    </row>
    <row r="32" spans="1:7" ht="14.25" thickTop="1" thickBot="1">
      <c r="A32" s="14"/>
      <c r="B32" s="5"/>
      <c r="C32" s="5"/>
      <c r="D32" s="15"/>
      <c r="E32" s="83"/>
      <c r="F32" s="3"/>
      <c r="G32" s="3"/>
    </row>
    <row r="33" spans="1:7" ht="14.25" thickTop="1" thickBot="1">
      <c r="A33" s="56" t="s">
        <v>37</v>
      </c>
      <c r="B33" s="17"/>
      <c r="C33" s="5"/>
      <c r="D33" s="18"/>
      <c r="E33" s="84">
        <f>SUM(E19:E31)</f>
        <v>931.7</v>
      </c>
      <c r="F33" s="3"/>
      <c r="G33" s="3"/>
    </row>
    <row r="34" spans="1:7" ht="14.25" thickTop="1" thickBot="1">
      <c r="A34" s="8"/>
      <c r="B34" s="5"/>
      <c r="C34" s="5"/>
      <c r="D34" s="18"/>
      <c r="E34" s="85"/>
      <c r="F34" s="3"/>
      <c r="G34" s="3"/>
    </row>
    <row r="35" spans="1:7" ht="14.25" thickTop="1" thickBot="1">
      <c r="A35" s="57" t="s">
        <v>38</v>
      </c>
      <c r="B35" s="17"/>
      <c r="C35" s="5"/>
      <c r="D35" s="11"/>
      <c r="E35" s="80"/>
      <c r="F35" s="3"/>
      <c r="G35" s="3"/>
    </row>
    <row r="36" spans="1:7" ht="13.5" thickTop="1">
      <c r="A36" s="8"/>
      <c r="B36" s="5"/>
      <c r="C36" s="5"/>
      <c r="D36" s="11"/>
      <c r="E36" s="80"/>
      <c r="F36" s="3"/>
      <c r="G36" s="3"/>
    </row>
    <row r="37" spans="1:7">
      <c r="A37" s="8" t="s">
        <v>39</v>
      </c>
      <c r="B37" s="5"/>
      <c r="C37" s="5"/>
      <c r="D37" s="76">
        <v>0</v>
      </c>
      <c r="E37" s="80"/>
      <c r="F37" s="3"/>
      <c r="G37" s="3"/>
    </row>
    <row r="38" spans="1:7">
      <c r="A38" s="8" t="s">
        <v>41</v>
      </c>
      <c r="B38" s="5"/>
      <c r="C38" s="5"/>
      <c r="D38" s="76">
        <v>0</v>
      </c>
      <c r="E38" s="80"/>
      <c r="F38" s="3"/>
      <c r="G38" s="3"/>
    </row>
    <row r="39" spans="1:7">
      <c r="A39" s="8" t="s">
        <v>40</v>
      </c>
      <c r="B39" s="5"/>
      <c r="C39" s="5"/>
      <c r="D39" s="76">
        <v>0</v>
      </c>
      <c r="E39" s="80"/>
      <c r="F39" s="3"/>
      <c r="G39" s="3"/>
    </row>
    <row r="40" spans="1:7">
      <c r="A40" s="8" t="s">
        <v>42</v>
      </c>
      <c r="B40" s="52">
        <v>0</v>
      </c>
      <c r="C40" s="5"/>
      <c r="D40" s="74">
        <f>B40*50</f>
        <v>0</v>
      </c>
      <c r="E40" s="80"/>
      <c r="F40" s="3"/>
      <c r="G40" s="3"/>
    </row>
    <row r="41" spans="1:7" ht="13.5" thickBot="1">
      <c r="A41" s="8" t="s">
        <v>43</v>
      </c>
      <c r="B41" s="5"/>
      <c r="C41" s="5"/>
      <c r="D41" s="76">
        <v>0</v>
      </c>
      <c r="E41" s="80"/>
      <c r="F41" s="3"/>
      <c r="G41" s="3"/>
    </row>
    <row r="42" spans="1:7" ht="14.25" thickTop="1" thickBot="1">
      <c r="A42" s="58" t="s">
        <v>44</v>
      </c>
      <c r="B42" s="5"/>
      <c r="C42" s="5"/>
      <c r="E42" s="86">
        <f>SUM(D37:D41)</f>
        <v>0</v>
      </c>
      <c r="F42" s="3"/>
      <c r="G42" s="7"/>
    </row>
    <row r="43" spans="1:7" ht="14.25" thickTop="1" thickBot="1">
      <c r="A43" s="20"/>
      <c r="B43" s="5"/>
      <c r="C43" s="5"/>
      <c r="D43" s="59" t="s">
        <v>31</v>
      </c>
      <c r="E43" s="87">
        <f>(D37+D40+D41)*21%</f>
        <v>0</v>
      </c>
      <c r="F43" s="3"/>
      <c r="G43" s="7"/>
    </row>
    <row r="44" spans="1:7" ht="14.25" thickTop="1" thickBot="1">
      <c r="A44" s="21"/>
      <c r="B44" s="5"/>
      <c r="C44" s="5"/>
      <c r="D44" s="22"/>
      <c r="E44" s="80"/>
      <c r="F44" s="3"/>
      <c r="G44" s="7"/>
    </row>
    <row r="45" spans="1:7" ht="14.25" thickTop="1" thickBot="1">
      <c r="A45" s="60" t="s">
        <v>45</v>
      </c>
      <c r="B45" s="17"/>
      <c r="C45" s="5"/>
      <c r="D45" s="23"/>
      <c r="E45" s="88">
        <f>SUM(E42:E43)</f>
        <v>0</v>
      </c>
      <c r="F45" s="24"/>
      <c r="G45" s="7"/>
    </row>
    <row r="46" spans="1:7" ht="13.5" thickTop="1">
      <c r="A46" s="8"/>
      <c r="B46" s="5"/>
      <c r="C46" s="5"/>
      <c r="D46" s="5"/>
      <c r="E46" s="80"/>
      <c r="F46" s="3"/>
      <c r="G46" s="7"/>
    </row>
    <row r="47" spans="1:7">
      <c r="A47" s="145" t="s">
        <v>76</v>
      </c>
      <c r="B47" s="2"/>
      <c r="C47" s="2"/>
      <c r="D47" s="2"/>
      <c r="E47" s="4"/>
      <c r="F47" s="3"/>
      <c r="G47" s="3"/>
    </row>
    <row r="48" spans="1:7" ht="13.5" thickBot="1">
      <c r="A48" s="2"/>
      <c r="B48" s="2"/>
      <c r="C48" s="2"/>
      <c r="D48" s="2"/>
      <c r="E48" s="4"/>
      <c r="F48" s="3"/>
      <c r="G48" s="3"/>
    </row>
    <row r="49" spans="1:6" ht="13.5" thickTop="1">
      <c r="A49" s="146" t="s">
        <v>77</v>
      </c>
      <c r="B49" s="174" t="s">
        <v>56</v>
      </c>
      <c r="C49" s="149">
        <v>0</v>
      </c>
      <c r="D49" s="174"/>
      <c r="E49" s="174"/>
      <c r="F49" s="182"/>
    </row>
    <row r="50" spans="1:6">
      <c r="A50" s="168"/>
      <c r="B50" s="3" t="s">
        <v>57</v>
      </c>
      <c r="C50" s="150">
        <v>0</v>
      </c>
      <c r="D50" s="14"/>
      <c r="E50" s="14"/>
      <c r="F50" s="183"/>
    </row>
    <row r="51" spans="1:6">
      <c r="A51" s="168"/>
      <c r="B51" s="3" t="s">
        <v>58</v>
      </c>
      <c r="C51" s="151">
        <f>SUM(C49:C50)</f>
        <v>0</v>
      </c>
      <c r="D51" s="14"/>
      <c r="E51" s="14"/>
      <c r="F51" s="183"/>
    </row>
    <row r="52" spans="1:6">
      <c r="A52" s="168"/>
      <c r="B52" s="3"/>
      <c r="C52" s="177"/>
      <c r="D52" s="14"/>
      <c r="E52" s="14"/>
      <c r="F52" s="183"/>
    </row>
    <row r="53" spans="1:6">
      <c r="A53" s="147" t="s">
        <v>78</v>
      </c>
      <c r="B53" s="3" t="s">
        <v>56</v>
      </c>
      <c r="C53" s="152">
        <v>0</v>
      </c>
      <c r="D53" s="14"/>
      <c r="E53" s="14"/>
      <c r="F53" s="183"/>
    </row>
    <row r="54" spans="1:6">
      <c r="A54" s="169"/>
      <c r="B54" s="3" t="s">
        <v>57</v>
      </c>
      <c r="C54" s="152">
        <v>0</v>
      </c>
      <c r="D54" s="14"/>
      <c r="E54" s="14"/>
      <c r="F54" s="183"/>
    </row>
    <row r="55" spans="1:6">
      <c r="A55" s="169"/>
      <c r="B55" s="3" t="s">
        <v>58</v>
      </c>
      <c r="C55" s="153">
        <f>SUM(C53:C54)</f>
        <v>0</v>
      </c>
      <c r="D55" s="14"/>
      <c r="E55" s="14"/>
      <c r="F55" s="183"/>
    </row>
    <row r="56" spans="1:6">
      <c r="A56" s="170"/>
      <c r="B56" s="175"/>
      <c r="C56" s="178"/>
      <c r="D56" s="14"/>
      <c r="E56" s="14"/>
      <c r="F56" s="183"/>
    </row>
    <row r="57" spans="1:6">
      <c r="A57" s="170" t="s">
        <v>79</v>
      </c>
      <c r="B57" s="148">
        <v>2</v>
      </c>
      <c r="C57" s="178"/>
      <c r="D57" s="14"/>
      <c r="E57" s="3"/>
      <c r="F57" s="184"/>
    </row>
    <row r="58" spans="1:6">
      <c r="A58" s="171" t="s">
        <v>59</v>
      </c>
      <c r="B58" s="2"/>
      <c r="C58" s="179"/>
      <c r="D58" s="3"/>
      <c r="E58" s="3"/>
      <c r="F58" s="184"/>
    </row>
    <row r="59" spans="1:6">
      <c r="A59" s="168"/>
      <c r="B59" s="5"/>
      <c r="C59" s="180"/>
      <c r="D59" s="3"/>
      <c r="E59" s="3" t="s">
        <v>73</v>
      </c>
      <c r="F59" s="155">
        <f>IF(C55&gt;C51,E197+(E210-E223),E185)</f>
        <v>0</v>
      </c>
    </row>
    <row r="60" spans="1:6">
      <c r="A60" s="170" t="s">
        <v>80</v>
      </c>
      <c r="B60" s="5"/>
      <c r="C60" s="154">
        <f>G138</f>
        <v>75</v>
      </c>
      <c r="D60" s="3"/>
      <c r="E60" s="9" t="s">
        <v>61</v>
      </c>
      <c r="F60" s="156">
        <f>F59*21/100</f>
        <v>0</v>
      </c>
    </row>
    <row r="61" spans="1:6">
      <c r="A61" s="170" t="s">
        <v>81</v>
      </c>
      <c r="B61" s="5"/>
      <c r="C61" s="162">
        <v>0</v>
      </c>
      <c r="D61" s="3"/>
      <c r="E61" s="3"/>
      <c r="F61" s="185"/>
    </row>
    <row r="62" spans="1:6">
      <c r="A62" s="170" t="s">
        <v>82</v>
      </c>
      <c r="B62" s="166">
        <f>(A132+ROUNDDOWN((C49+C50-1)/C133,0)*A133)</f>
        <v>67.31</v>
      </c>
      <c r="C62" s="181"/>
      <c r="D62" s="3"/>
      <c r="E62" s="3"/>
      <c r="F62" s="185"/>
    </row>
    <row r="63" spans="1:6">
      <c r="A63" s="170" t="s">
        <v>83</v>
      </c>
      <c r="B63" s="166">
        <f>(A145+ROUNDDOWN((C53+C54-1)/C146,0)*A146)</f>
        <v>117.11</v>
      </c>
      <c r="C63" s="181"/>
      <c r="D63" s="3"/>
      <c r="E63" s="3"/>
      <c r="F63" s="185"/>
    </row>
    <row r="64" spans="1:6">
      <c r="A64" s="170" t="s">
        <v>84</v>
      </c>
      <c r="B64" s="166">
        <f>IF(C55&gt;C51,(C55-C51)*0.3%,0)</f>
        <v>0</v>
      </c>
      <c r="C64" s="181"/>
      <c r="D64" s="3"/>
      <c r="E64" s="3"/>
      <c r="F64" s="185"/>
    </row>
    <row r="65" spans="1:7">
      <c r="A65" s="170" t="s">
        <v>85</v>
      </c>
      <c r="B65" s="5"/>
      <c r="C65" s="154">
        <f>D153+B64</f>
        <v>220</v>
      </c>
      <c r="D65" s="3"/>
      <c r="E65" s="3"/>
      <c r="F65" s="185"/>
    </row>
    <row r="66" spans="1:7">
      <c r="A66" s="170" t="s">
        <v>86</v>
      </c>
      <c r="B66" s="5"/>
      <c r="C66" s="154">
        <v>0</v>
      </c>
      <c r="D66" s="3"/>
      <c r="E66" s="3"/>
      <c r="F66" s="185"/>
    </row>
    <row r="67" spans="1:7">
      <c r="A67" s="168"/>
      <c r="B67" s="9" t="s">
        <v>61</v>
      </c>
      <c r="C67" s="163">
        <f>C66*21/100</f>
        <v>0</v>
      </c>
      <c r="D67" s="3"/>
      <c r="E67" s="3"/>
      <c r="F67" s="185"/>
    </row>
    <row r="68" spans="1:7">
      <c r="A68" s="170" t="s">
        <v>87</v>
      </c>
      <c r="B68" s="5"/>
      <c r="C68" s="164">
        <f>IF(B57=1,770,710)</f>
        <v>710</v>
      </c>
      <c r="D68" s="3"/>
      <c r="E68" s="3"/>
      <c r="F68" s="185"/>
    </row>
    <row r="69" spans="1:7">
      <c r="A69" s="168"/>
      <c r="B69" s="9" t="s">
        <v>61</v>
      </c>
      <c r="C69" s="163">
        <f>C68*21/100</f>
        <v>149.1</v>
      </c>
      <c r="D69" s="3"/>
      <c r="E69" s="3"/>
      <c r="F69" s="185"/>
    </row>
    <row r="70" spans="1:7">
      <c r="A70" s="170" t="s">
        <v>88</v>
      </c>
      <c r="B70" s="8"/>
      <c r="C70" s="162">
        <v>0</v>
      </c>
      <c r="D70" s="3"/>
      <c r="E70" s="3"/>
      <c r="F70" s="185"/>
    </row>
    <row r="71" spans="1:7">
      <c r="A71" s="168"/>
      <c r="B71" s="9" t="s">
        <v>61</v>
      </c>
      <c r="C71" s="163">
        <f>C70*21/100</f>
        <v>0</v>
      </c>
      <c r="D71" s="3"/>
      <c r="E71" s="3"/>
      <c r="F71" s="185"/>
    </row>
    <row r="72" spans="1:7">
      <c r="A72" s="168"/>
      <c r="B72" s="5"/>
      <c r="C72" s="181"/>
      <c r="D72" s="3"/>
      <c r="E72" s="3"/>
      <c r="F72" s="185"/>
    </row>
    <row r="73" spans="1:7">
      <c r="A73" s="168"/>
      <c r="B73" s="5" t="s">
        <v>64</v>
      </c>
      <c r="C73" s="165">
        <f>A142</f>
        <v>1004.9999999999999</v>
      </c>
      <c r="D73" s="3"/>
      <c r="E73" s="3" t="s">
        <v>65</v>
      </c>
      <c r="F73" s="157">
        <f>F59</f>
        <v>0</v>
      </c>
    </row>
    <row r="74" spans="1:7">
      <c r="A74" s="168"/>
      <c r="B74" s="5"/>
      <c r="C74" s="5"/>
      <c r="D74" s="3"/>
      <c r="E74" s="3" t="s">
        <v>64</v>
      </c>
      <c r="F74" s="157">
        <f>C73</f>
        <v>1004.9999999999999</v>
      </c>
    </row>
    <row r="75" spans="1:7">
      <c r="A75" s="168"/>
      <c r="B75" s="5"/>
      <c r="C75" s="5"/>
      <c r="D75" s="3"/>
      <c r="E75" s="3" t="s">
        <v>66</v>
      </c>
      <c r="F75" s="158">
        <f>SUM(F73+C73)</f>
        <v>1004.9999999999999</v>
      </c>
    </row>
    <row r="76" spans="1:7">
      <c r="A76" s="172"/>
      <c r="B76" s="6"/>
      <c r="C76" s="6"/>
      <c r="D76" s="6"/>
      <c r="E76" s="6"/>
      <c r="F76" s="187"/>
    </row>
    <row r="77" spans="1:7">
      <c r="A77" s="172"/>
      <c r="B77" s="6"/>
      <c r="C77" s="6"/>
      <c r="D77" s="6"/>
      <c r="E77" s="9" t="s">
        <v>89</v>
      </c>
      <c r="F77" s="159">
        <f>C67+C69+C71+F60</f>
        <v>149.1</v>
      </c>
    </row>
    <row r="78" spans="1:7" ht="13.5" thickBot="1">
      <c r="A78" s="172"/>
      <c r="B78" s="6"/>
      <c r="C78" s="6"/>
      <c r="D78" s="6"/>
      <c r="E78" s="6"/>
      <c r="F78" s="187"/>
    </row>
    <row r="79" spans="1:7" ht="14.25" thickTop="1" thickBot="1">
      <c r="A79" s="173"/>
      <c r="B79" s="176"/>
      <c r="C79" s="176"/>
      <c r="D79" s="176"/>
      <c r="E79" s="186" t="s">
        <v>90</v>
      </c>
      <c r="F79" s="160">
        <f>SUM(F75:F77)</f>
        <v>1154.0999999999999</v>
      </c>
    </row>
    <row r="80" spans="1:7" ht="15.75" thickTop="1">
      <c r="A80" s="104"/>
      <c r="B80" s="13"/>
      <c r="C80" s="13"/>
      <c r="D80" s="105"/>
      <c r="E80" s="109"/>
      <c r="F80" s="118"/>
      <c r="G80" s="119"/>
    </row>
    <row r="81" spans="1:7" ht="15.75" thickBot="1">
      <c r="A81" s="188" t="s">
        <v>71</v>
      </c>
      <c r="B81" s="13"/>
      <c r="C81" s="13"/>
      <c r="D81" s="13"/>
      <c r="E81" s="105"/>
      <c r="F81" s="109"/>
      <c r="G81" s="6"/>
    </row>
    <row r="82" spans="1:7" ht="13.5" thickTop="1">
      <c r="A82" s="195" t="s">
        <v>56</v>
      </c>
      <c r="B82" s="218">
        <v>0</v>
      </c>
      <c r="C82" s="196"/>
      <c r="D82" s="197"/>
      <c r="E82" s="198"/>
      <c r="F82" s="199"/>
      <c r="G82" s="6"/>
    </row>
    <row r="83" spans="1:7">
      <c r="A83" s="200" t="s">
        <v>57</v>
      </c>
      <c r="B83" s="219">
        <v>0</v>
      </c>
      <c r="C83" s="193"/>
      <c r="D83" s="105"/>
      <c r="E83" s="194"/>
      <c r="F83" s="201"/>
      <c r="G83" s="6"/>
    </row>
    <row r="84" spans="1:7">
      <c r="A84" s="200" t="s">
        <v>58</v>
      </c>
      <c r="B84" s="211">
        <f>SUM(B82:B83)</f>
        <v>0</v>
      </c>
      <c r="C84" s="193"/>
      <c r="D84" s="105"/>
      <c r="E84" s="194"/>
      <c r="F84" s="201"/>
      <c r="G84" s="6"/>
    </row>
    <row r="85" spans="1:7">
      <c r="A85" s="202"/>
      <c r="B85" s="193"/>
      <c r="C85" s="193"/>
      <c r="D85" s="105"/>
      <c r="E85" s="194"/>
      <c r="F85" s="201"/>
      <c r="G85" s="6"/>
    </row>
    <row r="86" spans="1:7">
      <c r="A86" s="203" t="s">
        <v>72</v>
      </c>
      <c r="B86" s="220">
        <v>1</v>
      </c>
      <c r="C86" s="193"/>
      <c r="D86" s="105"/>
      <c r="E86" s="194"/>
      <c r="F86" s="201"/>
      <c r="G86" s="6"/>
    </row>
    <row r="87" spans="1:7">
      <c r="A87" s="171" t="s">
        <v>59</v>
      </c>
      <c r="B87" s="193"/>
      <c r="C87" s="193"/>
      <c r="D87" s="105"/>
      <c r="E87" s="194"/>
      <c r="F87" s="201"/>
      <c r="G87" s="6"/>
    </row>
    <row r="88" spans="1:7">
      <c r="A88" s="203" t="s">
        <v>63</v>
      </c>
      <c r="B88" s="193"/>
      <c r="C88" s="210">
        <v>50</v>
      </c>
      <c r="D88" s="105"/>
      <c r="E88" s="189" t="s">
        <v>73</v>
      </c>
      <c r="F88" s="213">
        <f>I124</f>
        <v>0</v>
      </c>
      <c r="G88" s="6"/>
    </row>
    <row r="89" spans="1:7">
      <c r="A89" s="203" t="s">
        <v>60</v>
      </c>
      <c r="B89" s="193"/>
      <c r="C89" s="210">
        <v>50</v>
      </c>
      <c r="D89" s="105"/>
      <c r="E89" s="9"/>
      <c r="F89" s="204"/>
      <c r="G89" s="6"/>
    </row>
    <row r="90" spans="1:7">
      <c r="A90" s="203" t="s">
        <v>62</v>
      </c>
      <c r="B90" s="193"/>
      <c r="C90" s="221">
        <v>0</v>
      </c>
      <c r="D90" s="105"/>
      <c r="E90" s="9"/>
      <c r="F90" s="204"/>
      <c r="G90" s="6"/>
    </row>
    <row r="91" spans="1:7">
      <c r="A91" s="203" t="s">
        <v>34</v>
      </c>
      <c r="B91" s="193"/>
      <c r="C91" s="222">
        <f>H109</f>
        <v>185</v>
      </c>
      <c r="D91" s="105"/>
      <c r="E91" s="9"/>
      <c r="F91" s="204"/>
      <c r="G91" s="6"/>
    </row>
    <row r="92" spans="1:7">
      <c r="A92" s="205"/>
      <c r="B92" s="193"/>
      <c r="C92" s="192"/>
      <c r="D92" s="105"/>
      <c r="E92" s="9"/>
      <c r="F92" s="204"/>
      <c r="G92" s="6"/>
    </row>
    <row r="93" spans="1:7">
      <c r="A93" s="205"/>
      <c r="B93" s="190" t="s">
        <v>64</v>
      </c>
      <c r="C93" s="212">
        <f>SUM(C88:C91)</f>
        <v>285</v>
      </c>
      <c r="D93" s="105"/>
      <c r="E93" s="189" t="s">
        <v>65</v>
      </c>
      <c r="F93" s="214">
        <f>F88</f>
        <v>0</v>
      </c>
      <c r="G93" s="6"/>
    </row>
    <row r="94" spans="1:7">
      <c r="A94" s="205"/>
      <c r="B94" s="193"/>
      <c r="C94" s="193"/>
      <c r="D94" s="105"/>
      <c r="E94" s="189" t="s">
        <v>74</v>
      </c>
      <c r="F94" s="214">
        <f>C93</f>
        <v>285</v>
      </c>
      <c r="G94" s="6"/>
    </row>
    <row r="95" spans="1:7">
      <c r="A95" s="205"/>
      <c r="B95" s="193"/>
      <c r="C95" s="193"/>
      <c r="D95" s="105"/>
      <c r="E95" s="189" t="s">
        <v>66</v>
      </c>
      <c r="F95" s="215">
        <f>SUM(F93+C93)</f>
        <v>285</v>
      </c>
      <c r="G95" s="6"/>
    </row>
    <row r="96" spans="1:7">
      <c r="A96" s="205"/>
      <c r="B96" s="193"/>
      <c r="C96" s="193"/>
      <c r="D96" s="105"/>
      <c r="E96" s="191"/>
      <c r="F96" s="204"/>
      <c r="G96" s="6"/>
    </row>
    <row r="97" spans="1:23">
      <c r="A97" s="205"/>
      <c r="B97" s="193"/>
      <c r="C97" s="193"/>
      <c r="D97" s="105"/>
      <c r="E97" s="191" t="s">
        <v>31</v>
      </c>
      <c r="F97" s="216">
        <f>(C88+C91+F88)*21%</f>
        <v>49.35</v>
      </c>
      <c r="G97" s="6"/>
    </row>
    <row r="98" spans="1:23" ht="13.5" thickBot="1">
      <c r="A98" s="205"/>
      <c r="B98" s="193"/>
      <c r="C98" s="193"/>
      <c r="D98" s="105"/>
      <c r="E98" s="191"/>
      <c r="F98" s="204"/>
      <c r="G98" s="6"/>
    </row>
    <row r="99" spans="1:23" ht="14.25" thickTop="1" thickBot="1">
      <c r="A99" s="206"/>
      <c r="B99" s="207"/>
      <c r="C99" s="207"/>
      <c r="D99" s="208"/>
      <c r="E99" s="209" t="s">
        <v>65</v>
      </c>
      <c r="F99" s="217">
        <f>SUM(F95:F97)</f>
        <v>334.35</v>
      </c>
      <c r="G99" s="6"/>
    </row>
    <row r="100" spans="1:23" ht="15.75" thickTop="1">
      <c r="A100" s="104"/>
      <c r="B100" s="13"/>
      <c r="C100" s="13"/>
      <c r="D100" s="105"/>
      <c r="E100" s="14"/>
      <c r="F100" s="106"/>
      <c r="G100" s="6"/>
    </row>
    <row r="101" spans="1:23">
      <c r="A101" s="6"/>
      <c r="B101" s="6"/>
      <c r="C101" s="26" t="s">
        <v>6</v>
      </c>
      <c r="D101" s="61" t="s">
        <v>7</v>
      </c>
      <c r="E101" s="6"/>
    </row>
    <row r="102" spans="1:23">
      <c r="A102" s="6"/>
      <c r="B102" s="6"/>
      <c r="E102" s="6"/>
      <c r="F102" s="19"/>
      <c r="G102" s="6"/>
    </row>
    <row r="103" spans="1:23">
      <c r="A103" s="6"/>
      <c r="B103" s="6"/>
      <c r="C103" s="25" t="s">
        <v>4</v>
      </c>
      <c r="D103" s="25" t="s">
        <v>5</v>
      </c>
      <c r="E103" s="6"/>
      <c r="F103" s="18"/>
      <c r="G103" s="16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>
      <c r="A104" s="6"/>
      <c r="B104" s="28"/>
      <c r="C104" s="28"/>
      <c r="D104" s="28"/>
      <c r="E104" s="6"/>
      <c r="F104" s="29"/>
      <c r="G104" s="28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t="14.25">
      <c r="B105" s="27"/>
      <c r="C105" s="25" t="s">
        <v>92</v>
      </c>
      <c r="D105" s="30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t="14.25" hidden="1">
      <c r="B106" s="27"/>
      <c r="C106" s="25"/>
      <c r="D106" s="30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t="15" hidden="1">
      <c r="A107" s="90"/>
      <c r="B107" s="100"/>
      <c r="C107" s="100"/>
      <c r="D107" s="101"/>
      <c r="E107" s="102"/>
      <c r="F107" s="90"/>
      <c r="G107" s="90"/>
      <c r="H107" s="90">
        <f>IF(B86=1,185,0)</f>
        <v>185</v>
      </c>
      <c r="I107" s="90">
        <f>IF(B86=2,385,0)</f>
        <v>0</v>
      </c>
      <c r="J107" s="90">
        <f>IF(B86&gt;2,(385+(B86-2)*200),0)</f>
        <v>0</v>
      </c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t="15" hidden="1">
      <c r="A108" s="90"/>
      <c r="B108" s="100"/>
      <c r="C108" s="100"/>
      <c r="D108" s="101"/>
      <c r="E108" s="102"/>
      <c r="F108" s="90"/>
      <c r="G108" s="90"/>
      <c r="H108" s="90"/>
      <c r="I108" s="90"/>
      <c r="J108" s="90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t="15" hidden="1">
      <c r="A109" s="90"/>
      <c r="B109" s="100"/>
      <c r="C109" s="100"/>
      <c r="D109" s="101"/>
      <c r="E109" s="102"/>
      <c r="F109" s="90"/>
      <c r="G109" s="90"/>
      <c r="H109" s="90">
        <f>SUM(H107:J107)</f>
        <v>185</v>
      </c>
      <c r="I109" s="90"/>
      <c r="J109" s="90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t="15" hidden="1">
      <c r="A110" s="90"/>
      <c r="B110" s="100"/>
      <c r="C110" s="100"/>
      <c r="D110" s="101"/>
      <c r="E110" s="102"/>
      <c r="F110" s="90"/>
      <c r="G110" s="90"/>
      <c r="H110" s="90"/>
      <c r="I110" s="90"/>
      <c r="J110" s="90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t="15" hidden="1">
      <c r="A111" s="90"/>
      <c r="B111" s="100"/>
      <c r="C111" s="100"/>
      <c r="D111" s="101"/>
      <c r="E111" s="102"/>
      <c r="F111" s="90"/>
      <c r="G111" s="90"/>
      <c r="H111" s="90"/>
      <c r="I111" s="90"/>
      <c r="J111" s="90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t="15" hidden="1">
      <c r="A112" s="90"/>
      <c r="B112" s="100"/>
      <c r="C112" s="100"/>
      <c r="D112" s="101"/>
      <c r="E112" s="102"/>
      <c r="F112" s="90"/>
      <c r="G112" s="90"/>
      <c r="H112" s="90"/>
      <c r="I112" s="90"/>
      <c r="J112" s="90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idden="1">
      <c r="A113" s="90" t="s">
        <v>55</v>
      </c>
      <c r="B113" s="90" t="str">
        <f>A84</f>
        <v>Base</v>
      </c>
      <c r="C113" s="90"/>
      <c r="D113" s="90"/>
      <c r="F113" s="90"/>
      <c r="G113" s="90"/>
      <c r="H113" s="90"/>
      <c r="I113" s="90"/>
      <c r="J113" s="90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idden="1">
      <c r="A114" s="90" t="s">
        <v>10</v>
      </c>
      <c r="B114" s="90" t="s">
        <v>10</v>
      </c>
      <c r="C114" s="90" t="s">
        <v>67</v>
      </c>
      <c r="D114" s="90" t="s">
        <v>68</v>
      </c>
      <c r="F114" s="90"/>
      <c r="G114" s="90"/>
      <c r="H114" s="90"/>
      <c r="I114" s="90"/>
      <c r="J114" s="90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idden="1">
      <c r="A115" s="90">
        <v>0</v>
      </c>
      <c r="B115" s="90">
        <v>7500</v>
      </c>
      <c r="C115" s="90">
        <v>1.4250000000000001E-2</v>
      </c>
      <c r="D115" s="103">
        <f>IF(B84&lt;B115,B84*C115,B115*C115)</f>
        <v>0</v>
      </c>
      <c r="F115" s="90"/>
      <c r="G115" s="90"/>
      <c r="H115" s="90"/>
      <c r="I115" s="90"/>
      <c r="J115" s="90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idden="1">
      <c r="A116" s="90">
        <v>7500</v>
      </c>
      <c r="B116" s="90">
        <v>17500</v>
      </c>
      <c r="C116" s="90">
        <v>1.14E-2</v>
      </c>
      <c r="D116" s="103" t="str">
        <f>IF(B84&lt;=A116," ",IF(B84&lt;B116,(B84-B115)*C116,(B116-A116)*C116))</f>
        <v xml:space="preserve"> </v>
      </c>
      <c r="F116" s="90"/>
      <c r="G116" s="90"/>
      <c r="H116" s="90"/>
      <c r="I116" s="90"/>
      <c r="J116" s="90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idden="1">
      <c r="A117" s="90">
        <v>17500</v>
      </c>
      <c r="B117" s="90">
        <v>30000</v>
      </c>
      <c r="C117" s="90">
        <v>6.8399999999999997E-3</v>
      </c>
      <c r="D117" s="103" t="str">
        <f>IF(B84&lt;=A117," ",IF(B84&lt;B117,(B84-B116)*C117,(B117-A117)*C117))</f>
        <v xml:space="preserve"> </v>
      </c>
      <c r="F117" s="90"/>
      <c r="G117" s="90"/>
      <c r="H117" s="90"/>
      <c r="I117" s="90"/>
      <c r="J117" s="90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idden="1">
      <c r="A118" s="90">
        <v>30000</v>
      </c>
      <c r="B118" s="90">
        <v>45495</v>
      </c>
      <c r="C118" s="90">
        <v>5.7000000000000002E-3</v>
      </c>
      <c r="D118" s="103" t="str">
        <f>IF(B84&lt;=A118," ",IF(B84&lt;B118,(B84-B117)*C118,(B118-A118)*C118))</f>
        <v xml:space="preserve"> </v>
      </c>
      <c r="F118" s="90"/>
      <c r="G118" s="90"/>
      <c r="H118" s="90"/>
      <c r="I118" s="90"/>
      <c r="J118" s="90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idden="1">
      <c r="A119" s="90">
        <v>45495</v>
      </c>
      <c r="B119" s="90">
        <v>64095</v>
      </c>
      <c r="C119" s="90">
        <v>4.5599999999999998E-3</v>
      </c>
      <c r="D119" s="103" t="str">
        <f>IF(B84&lt;=A119," ",IF(B84&lt;B119,(B84-B118)*C119,(B119-A119)*C119))</f>
        <v xml:space="preserve"> </v>
      </c>
      <c r="F119" s="90"/>
      <c r="G119" s="90"/>
      <c r="H119" s="90"/>
      <c r="I119" s="90"/>
      <c r="J119" s="90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idden="1">
      <c r="A120" s="90">
        <v>64095</v>
      </c>
      <c r="B120" s="90">
        <v>250095</v>
      </c>
      <c r="C120" s="90">
        <v>2.2799999999999999E-3</v>
      </c>
      <c r="D120" s="103" t="str">
        <f>IF(B84&lt;=A120," ",IF(B84&lt;B120,(B84-B119)*C120,(B120-A120)*C120))</f>
        <v xml:space="preserve"> </v>
      </c>
      <c r="F120" s="90"/>
      <c r="G120" s="90"/>
      <c r="H120" s="90"/>
      <c r="I120" s="90"/>
      <c r="J120" s="90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</row>
    <row r="121" spans="1:23" hidden="1">
      <c r="A121" s="90">
        <v>250095</v>
      </c>
      <c r="B121" s="90">
        <v>99999999999</v>
      </c>
      <c r="C121" s="90">
        <v>4.5600000000000003E-4</v>
      </c>
      <c r="D121" s="103" t="str">
        <f>IF(B84&lt;=A121," ",IF(B84&lt;B121,(B84-B120)*C121,(B121-A121)*C121))</f>
        <v xml:space="preserve"> </v>
      </c>
      <c r="F121" s="90"/>
      <c r="G121" s="90"/>
      <c r="H121" s="90"/>
      <c r="I121" s="90"/>
      <c r="J121" s="90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</row>
    <row r="122" spans="1:23" hidden="1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</row>
    <row r="123" spans="1:23" hidden="1">
      <c r="A123" s="90" t="s">
        <v>12</v>
      </c>
      <c r="B123" s="90"/>
      <c r="C123" s="90"/>
      <c r="D123" s="90"/>
      <c r="E123" s="90"/>
      <c r="F123" s="90"/>
      <c r="G123" s="90"/>
      <c r="H123" s="90" t="s">
        <v>69</v>
      </c>
      <c r="I123" s="103">
        <f>SUM(D115:D122)</f>
        <v>0</v>
      </c>
      <c r="J123" s="90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</row>
    <row r="124" spans="1:23" hidden="1">
      <c r="A124" s="90"/>
      <c r="B124" s="90"/>
      <c r="C124" s="90"/>
      <c r="D124" s="90"/>
      <c r="E124" s="90"/>
      <c r="F124" s="90"/>
      <c r="G124" s="90"/>
      <c r="H124" s="90" t="s">
        <v>70</v>
      </c>
      <c r="I124" s="103">
        <f>I123/4</f>
        <v>0</v>
      </c>
      <c r="J124" s="90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</row>
    <row r="125" spans="1:23" ht="14.25" hidden="1">
      <c r="B125" s="27"/>
      <c r="D125" s="30"/>
      <c r="E125" s="25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</row>
    <row r="126" spans="1:23" ht="14.25" hidden="1">
      <c r="B126" s="27"/>
      <c r="C126" s="30"/>
      <c r="D126" s="30"/>
      <c r="E126" s="30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</row>
    <row r="127" spans="1:23" ht="14.25" hidden="1">
      <c r="B127" s="27"/>
      <c r="C127" s="1">
        <f>IF(B7="oui",50,B5*10/100)</f>
        <v>0</v>
      </c>
      <c r="D127" s="30"/>
      <c r="E127" s="30">
        <f>IF(B13&gt;0,B13,0)</f>
        <v>0</v>
      </c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</row>
    <row r="128" spans="1:23" hidden="1">
      <c r="B128" s="27"/>
      <c r="C128" s="27"/>
      <c r="D128" s="27"/>
      <c r="E128" s="27">
        <f>IF(B13&gt;E20,-E20,-B13)</f>
        <v>0</v>
      </c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</row>
    <row r="129" spans="1:23" hidden="1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</row>
    <row r="130" spans="1:23" ht="13.5" hidden="1" thickBot="1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</row>
    <row r="131" spans="1:23" hidden="1">
      <c r="A131" s="121" t="s">
        <v>48</v>
      </c>
      <c r="B131" s="122"/>
      <c r="C131" s="122"/>
      <c r="D131" s="123"/>
      <c r="E131" s="124"/>
      <c r="F131" s="124" t="s">
        <v>49</v>
      </c>
      <c r="G131" s="124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</row>
    <row r="132" spans="1:23" hidden="1">
      <c r="A132" s="125">
        <v>67.31</v>
      </c>
      <c r="B132" s="126" t="s">
        <v>50</v>
      </c>
      <c r="C132" s="126">
        <v>25000</v>
      </c>
      <c r="D132" s="127"/>
      <c r="E132" s="124"/>
      <c r="F132" s="124"/>
      <c r="G132" s="124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</row>
    <row r="133" spans="1:23" ht="13.5" hidden="1" thickBot="1">
      <c r="A133" s="128">
        <v>23.56</v>
      </c>
      <c r="B133" s="129" t="s">
        <v>51</v>
      </c>
      <c r="C133" s="129">
        <v>25000</v>
      </c>
      <c r="D133" s="130" t="s">
        <v>52</v>
      </c>
      <c r="E133" s="124"/>
      <c r="F133" s="124"/>
      <c r="G133" s="124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</row>
    <row r="134" spans="1:23" hidden="1">
      <c r="A134" s="124"/>
      <c r="B134" s="124"/>
      <c r="C134" s="124"/>
      <c r="D134" s="124"/>
      <c r="E134" s="124"/>
      <c r="F134" s="124"/>
      <c r="G134" s="131">
        <f>C55-C51</f>
        <v>0</v>
      </c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</row>
    <row r="135" spans="1:23" hidden="1">
      <c r="A135" s="124"/>
      <c r="B135" s="124"/>
      <c r="C135" s="124"/>
      <c r="D135" s="124"/>
      <c r="E135" s="124"/>
      <c r="F135" s="124"/>
      <c r="G135" s="124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</row>
    <row r="136" spans="1:23" hidden="1">
      <c r="A136" s="124"/>
      <c r="B136" s="124"/>
      <c r="C136" s="124"/>
      <c r="D136" s="124"/>
      <c r="E136" s="124"/>
      <c r="F136" s="124"/>
      <c r="G136" s="161">
        <f>IF(G134&gt;0,G134*0.01,75)</f>
        <v>75</v>
      </c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</row>
    <row r="137" spans="1:23" hidden="1">
      <c r="A137" s="124" t="s">
        <v>53</v>
      </c>
      <c r="B137" s="124"/>
      <c r="C137" s="124" t="s">
        <v>10</v>
      </c>
      <c r="D137" s="124" t="s">
        <v>54</v>
      </c>
      <c r="E137" s="124"/>
      <c r="F137" s="124"/>
      <c r="G137" s="161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</row>
    <row r="138" spans="1:23" hidden="1">
      <c r="A138" s="124"/>
      <c r="B138" s="124"/>
      <c r="C138" s="131">
        <f>C61</f>
        <v>0</v>
      </c>
      <c r="D138" s="124">
        <f>IF(C61=0,575,550)</f>
        <v>575</v>
      </c>
      <c r="E138" s="124"/>
      <c r="F138" s="124"/>
      <c r="G138" s="161">
        <f>IF(G136&lt;75,75,G136)</f>
        <v>75</v>
      </c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</row>
    <row r="139" spans="1:23" hidden="1">
      <c r="A139" s="124"/>
      <c r="B139" s="124"/>
      <c r="C139" s="124"/>
      <c r="D139" s="124"/>
      <c r="E139" s="124"/>
      <c r="F139" s="124"/>
      <c r="G139" s="124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</row>
    <row r="140" spans="1:23" hidden="1">
      <c r="A140" s="124"/>
      <c r="B140" s="124"/>
      <c r="C140" s="124"/>
      <c r="D140" s="124"/>
      <c r="E140" s="124"/>
      <c r="F140" s="124"/>
      <c r="G140" s="124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</row>
    <row r="141" spans="1:23" hidden="1">
      <c r="A141" s="124"/>
      <c r="B141" s="124"/>
      <c r="C141" s="124"/>
      <c r="D141" s="124"/>
      <c r="E141" s="124"/>
      <c r="F141" s="124"/>
      <c r="G141" s="124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</row>
    <row r="142" spans="1:23" hidden="1">
      <c r="A142" s="132">
        <f>SUM(C59:C71)-C67-C69-C71</f>
        <v>1004.9999999999999</v>
      </c>
      <c r="B142" s="124"/>
      <c r="C142" s="124"/>
      <c r="D142" s="124"/>
      <c r="E142" s="124"/>
      <c r="F142" s="124"/>
      <c r="G142" s="124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</row>
    <row r="143" spans="1:23" ht="13.5" hidden="1" thickBot="1">
      <c r="A143" s="124"/>
      <c r="B143" s="124"/>
      <c r="C143" s="124"/>
      <c r="D143" s="124"/>
      <c r="E143" s="124"/>
      <c r="F143" s="124"/>
      <c r="G143" s="124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</row>
    <row r="144" spans="1:23" hidden="1">
      <c r="A144" s="121" t="s">
        <v>75</v>
      </c>
      <c r="B144" s="122"/>
      <c r="C144" s="122"/>
      <c r="D144" s="123"/>
      <c r="E144" s="124"/>
      <c r="F144" s="124"/>
      <c r="G144" s="124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idden="1">
      <c r="A145" s="125">
        <v>117.11</v>
      </c>
      <c r="B145" s="126" t="s">
        <v>50</v>
      </c>
      <c r="C145" s="126">
        <v>25000</v>
      </c>
      <c r="D145" s="127"/>
      <c r="E145" s="124"/>
      <c r="F145" s="124"/>
      <c r="G145" s="124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</row>
    <row r="146" spans="1:23" ht="13.5" hidden="1" thickBot="1">
      <c r="A146" s="128">
        <v>23.56</v>
      </c>
      <c r="B146" s="129" t="s">
        <v>51</v>
      </c>
      <c r="C146" s="129">
        <v>25000</v>
      </c>
      <c r="D146" s="130" t="s">
        <v>52</v>
      </c>
      <c r="E146" s="124"/>
      <c r="F146" s="124"/>
      <c r="G146" s="124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</row>
    <row r="147" spans="1:23" hidden="1">
      <c r="A147" s="124"/>
      <c r="B147" s="124"/>
      <c r="C147" s="124"/>
      <c r="D147" s="124"/>
      <c r="E147" s="124"/>
      <c r="F147" s="124"/>
      <c r="G147" s="124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</row>
    <row r="148" spans="1:23" hidden="1">
      <c r="A148" s="124"/>
      <c r="B148" s="124"/>
      <c r="C148" s="124"/>
      <c r="D148" s="124"/>
      <c r="E148" s="124"/>
      <c r="F148" s="124"/>
      <c r="G148" s="124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</row>
    <row r="149" spans="1:23" hidden="1">
      <c r="A149" s="124"/>
      <c r="B149" s="124"/>
      <c r="C149" s="124"/>
      <c r="D149" s="124"/>
      <c r="E149" s="124"/>
      <c r="F149" s="124"/>
      <c r="G149" s="124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hidden="1">
      <c r="A150" s="124"/>
      <c r="B150" s="124"/>
      <c r="C150" s="124"/>
      <c r="D150" s="131">
        <f>ROUNDUP(B62+B63,-2)</f>
        <v>200</v>
      </c>
      <c r="E150" s="124"/>
      <c r="F150" s="124"/>
      <c r="G150" s="124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</row>
    <row r="151" spans="1:23" hidden="1">
      <c r="A151" s="124"/>
      <c r="B151" s="124"/>
      <c r="C151" s="124"/>
      <c r="D151" s="124">
        <f>IF((D150-B62-B63)&gt;90,D150-50,D150)</f>
        <v>200</v>
      </c>
      <c r="E151" s="124"/>
      <c r="F151" s="124"/>
      <c r="G151" s="124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</row>
    <row r="152" spans="1:23" hidden="1">
      <c r="A152" s="124"/>
      <c r="B152" s="124"/>
      <c r="C152" s="124"/>
      <c r="D152" s="124">
        <f>IF((D151-B62-B63)&lt;30,(B62+B63+30),D151)</f>
        <v>214.42000000000002</v>
      </c>
      <c r="E152" s="124"/>
      <c r="F152" s="124"/>
      <c r="G152" s="124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</row>
    <row r="153" spans="1:23" hidden="1">
      <c r="A153" s="124"/>
      <c r="B153" s="124"/>
      <c r="C153" s="124"/>
      <c r="D153" s="124">
        <f>ROUNDUP(D152,-1)</f>
        <v>220</v>
      </c>
      <c r="E153" s="124"/>
      <c r="F153" s="124"/>
      <c r="G153" s="124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</row>
    <row r="154" spans="1:23" hidden="1">
      <c r="A154" s="124"/>
      <c r="B154" s="124"/>
      <c r="C154" s="124"/>
      <c r="D154" s="124"/>
      <c r="E154" s="124"/>
      <c r="F154" s="124"/>
      <c r="G154" s="124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</row>
    <row r="155" spans="1:23" hidden="1">
      <c r="A155" s="124"/>
      <c r="B155" s="124"/>
      <c r="C155" s="124"/>
      <c r="D155" s="124"/>
      <c r="E155" s="124"/>
      <c r="F155" s="124"/>
      <c r="G155" s="124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</row>
    <row r="156" spans="1:23" hidden="1">
      <c r="A156" s="124"/>
      <c r="B156" s="124"/>
      <c r="C156" s="124"/>
      <c r="D156" s="124"/>
      <c r="E156" s="124"/>
      <c r="F156" s="124"/>
      <c r="G156" s="124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</row>
    <row r="157" spans="1:23" hidden="1">
      <c r="A157" s="124"/>
      <c r="B157" s="124"/>
      <c r="C157" s="124"/>
      <c r="D157" s="124"/>
      <c r="E157" s="124"/>
      <c r="F157" s="124"/>
      <c r="G157" s="124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</row>
    <row r="158" spans="1:23" hidden="1">
      <c r="A158" s="124"/>
      <c r="B158" s="124"/>
      <c r="C158" s="124"/>
      <c r="D158" s="124"/>
      <c r="E158" s="124"/>
      <c r="F158" s="124"/>
      <c r="G158" s="124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</row>
    <row r="159" spans="1:23" hidden="1">
      <c r="A159" s="124"/>
      <c r="B159" s="124"/>
      <c r="C159" s="124"/>
      <c r="D159" s="124"/>
      <c r="E159" s="124"/>
      <c r="F159" s="124"/>
      <c r="G159" s="124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</row>
    <row r="160" spans="1:23" hidden="1">
      <c r="A160" s="124"/>
      <c r="B160" s="124"/>
      <c r="C160" s="124"/>
      <c r="D160" s="124"/>
      <c r="E160" s="124"/>
      <c r="F160" s="124"/>
      <c r="G160" s="124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</row>
    <row r="161" spans="1:23" hidden="1">
      <c r="A161" s="124"/>
      <c r="B161" s="124"/>
      <c r="C161" s="124"/>
      <c r="D161" s="124"/>
      <c r="E161" s="124"/>
      <c r="F161" s="124"/>
      <c r="G161" s="124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</row>
    <row r="162" spans="1:23" hidden="1">
      <c r="A162" s="124"/>
      <c r="B162" s="124"/>
      <c r="C162" s="124"/>
      <c r="D162" s="124"/>
      <c r="E162" s="124"/>
      <c r="F162" s="124"/>
      <c r="G162" s="124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</row>
    <row r="163" spans="1:23" hidden="1">
      <c r="A163" s="124"/>
      <c r="B163" s="124"/>
      <c r="C163" s="124"/>
      <c r="D163" s="124"/>
      <c r="E163" s="124"/>
      <c r="F163" s="124"/>
      <c r="G163" s="124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</row>
    <row r="164" spans="1:23" hidden="1">
      <c r="A164" s="124"/>
      <c r="B164" s="124"/>
      <c r="C164" s="124"/>
      <c r="D164" s="124"/>
      <c r="E164" s="124"/>
      <c r="F164" s="124"/>
      <c r="G164" s="124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</row>
    <row r="165" spans="1:23" hidden="1">
      <c r="A165" s="124"/>
      <c r="B165" s="124"/>
      <c r="C165" s="124"/>
      <c r="D165" s="124"/>
      <c r="E165" s="124"/>
      <c r="F165" s="124"/>
      <c r="G165" s="124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</row>
    <row r="166" spans="1:23" hidden="1">
      <c r="A166" s="124"/>
      <c r="B166" s="124"/>
      <c r="C166" s="124"/>
      <c r="D166" s="124"/>
      <c r="E166" s="124"/>
      <c r="F166" s="124"/>
      <c r="G166" s="124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hidden="1">
      <c r="A167" s="124"/>
      <c r="B167" s="124"/>
      <c r="C167" s="124"/>
      <c r="D167" s="124"/>
      <c r="E167" s="124"/>
      <c r="F167" s="124"/>
      <c r="G167" s="124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</row>
    <row r="168" spans="1:23" hidden="1">
      <c r="A168" s="124"/>
      <c r="B168" s="124"/>
      <c r="C168" s="124"/>
      <c r="D168" s="124"/>
      <c r="E168" s="124"/>
      <c r="F168" s="124"/>
      <c r="G168" s="124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 hidden="1">
      <c r="A169" s="124"/>
      <c r="B169" s="124"/>
      <c r="C169" s="124"/>
      <c r="D169" s="124"/>
      <c r="E169" s="124"/>
      <c r="F169" s="124"/>
      <c r="G169" s="124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</row>
    <row r="170" spans="1:23" hidden="1">
      <c r="A170" s="124"/>
      <c r="B170" s="124"/>
      <c r="C170" s="124"/>
      <c r="D170" s="124"/>
      <c r="E170" s="124"/>
      <c r="F170" s="124"/>
      <c r="G170" s="124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</row>
    <row r="171" spans="1:23" hidden="1">
      <c r="A171" s="124"/>
      <c r="B171" s="124"/>
      <c r="C171" s="124"/>
      <c r="D171" s="124"/>
      <c r="E171" s="124"/>
      <c r="F171" s="124"/>
      <c r="G171" s="124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1:23" hidden="1">
      <c r="A172" s="124"/>
      <c r="B172" s="124"/>
      <c r="C172" s="124"/>
      <c r="D172" s="124"/>
      <c r="E172" s="124"/>
      <c r="F172" s="124"/>
      <c r="G172" s="124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</row>
    <row r="173" spans="1:23" hidden="1">
      <c r="A173" s="124"/>
      <c r="B173" s="124"/>
      <c r="C173" s="124"/>
      <c r="D173" s="124"/>
      <c r="E173" s="124"/>
      <c r="F173" s="124"/>
      <c r="G173" s="124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</row>
    <row r="174" spans="1:23" hidden="1">
      <c r="A174" s="124"/>
      <c r="B174" s="124"/>
      <c r="C174" s="124"/>
      <c r="D174" s="124"/>
      <c r="E174" s="124"/>
      <c r="F174" s="124"/>
      <c r="G174" s="124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</row>
    <row r="175" spans="1:23" ht="15" hidden="1">
      <c r="A175" s="133" t="s">
        <v>55</v>
      </c>
      <c r="B175" s="133"/>
      <c r="C175" s="134">
        <f>C55</f>
        <v>0</v>
      </c>
      <c r="D175" s="135"/>
      <c r="E175" s="136"/>
      <c r="F175" s="124"/>
      <c r="G175" s="124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</row>
    <row r="176" spans="1:23" ht="15" hidden="1">
      <c r="A176" s="137">
        <v>0</v>
      </c>
      <c r="B176" s="138"/>
      <c r="C176" s="137">
        <v>7500</v>
      </c>
      <c r="D176" s="139">
        <v>8.5500000000000003E-3</v>
      </c>
      <c r="E176" s="140"/>
      <c r="F176" s="137">
        <f>IF(C175&lt;C176,C175*D176,C176*D176)</f>
        <v>0</v>
      </c>
      <c r="G176" s="124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</row>
    <row r="177" spans="1:23" ht="15" hidden="1">
      <c r="A177" s="137">
        <v>7500</v>
      </c>
      <c r="B177" s="138"/>
      <c r="C177" s="137">
        <v>17500</v>
      </c>
      <c r="D177" s="139">
        <v>6.8399999999999997E-3</v>
      </c>
      <c r="E177" s="140"/>
      <c r="F177" s="138" t="str">
        <f>IF(C175&lt;=A177," ",IF(C175&lt;C177,(C175-C176)*D177,(C177-A177)*D177))</f>
        <v xml:space="preserve"> </v>
      </c>
      <c r="G177" s="124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</row>
    <row r="178" spans="1:23" ht="15" hidden="1">
      <c r="A178" s="137">
        <v>17500</v>
      </c>
      <c r="B178" s="138"/>
      <c r="C178" s="137">
        <v>30000</v>
      </c>
      <c r="D178" s="139">
        <v>4.5599999999999998E-3</v>
      </c>
      <c r="E178" s="140"/>
      <c r="F178" s="138" t="str">
        <f>IF(C175&lt;=A178," ",IF(C175&lt;C178,(C175-C177)*D178,(C178-A178)*D178))</f>
        <v xml:space="preserve"> </v>
      </c>
      <c r="G178" s="124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</row>
    <row r="179" spans="1:23" ht="15" hidden="1">
      <c r="A179" s="137">
        <v>30000</v>
      </c>
      <c r="B179" s="138"/>
      <c r="C179" s="137">
        <v>45495</v>
      </c>
      <c r="D179" s="139">
        <v>3.4199999999999999E-3</v>
      </c>
      <c r="E179" s="140"/>
      <c r="F179" s="138" t="str">
        <f>IF(C175&lt;=A179," ",IF(C175&lt;C179,(C175-C178)*D179,(C179-A179)*D179))</f>
        <v xml:space="preserve"> </v>
      </c>
      <c r="G179" s="124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</row>
    <row r="180" spans="1:23" ht="15" hidden="1">
      <c r="A180" s="137">
        <v>45495</v>
      </c>
      <c r="B180" s="138"/>
      <c r="C180" s="137">
        <v>64095</v>
      </c>
      <c r="D180" s="139">
        <v>2.2799999999999999E-3</v>
      </c>
      <c r="E180" s="140"/>
      <c r="F180" s="138" t="str">
        <f>IF(C175&lt;=A180," ",IF(C175&lt;C180,(C175-C179)*D180,(C180-A180)*D180))</f>
        <v xml:space="preserve"> </v>
      </c>
      <c r="G180" s="124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</row>
    <row r="181" spans="1:23" ht="15" hidden="1">
      <c r="A181" s="137">
        <v>64095</v>
      </c>
      <c r="B181" s="138"/>
      <c r="C181" s="137">
        <v>250095</v>
      </c>
      <c r="D181" s="139">
        <v>1.14E-3</v>
      </c>
      <c r="E181" s="140"/>
      <c r="F181" s="138" t="str">
        <f>IF(C175&lt;=A181," ",IF(C175&lt;C181,(C175-C180)*D181,(C181-A181)*D181))</f>
        <v xml:space="preserve"> </v>
      </c>
      <c r="G181" s="124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</row>
    <row r="182" spans="1:23" ht="15" hidden="1">
      <c r="A182" s="137">
        <v>250095</v>
      </c>
      <c r="B182" s="138"/>
      <c r="C182" s="137">
        <f>$D$8</f>
        <v>0</v>
      </c>
      <c r="D182" s="141">
        <v>3.4200000000000002E-4</v>
      </c>
      <c r="E182" s="140"/>
      <c r="F182" s="138" t="str">
        <f>IF(C175&lt;=A182," ",IF(C175&lt;C182,(C175-C181)*D182,(C182-A182)*D182))</f>
        <v xml:space="preserve"> </v>
      </c>
      <c r="G182" s="124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</row>
    <row r="183" spans="1:23" ht="15" hidden="1">
      <c r="A183" s="134">
        <v>10075000</v>
      </c>
      <c r="B183" s="134"/>
      <c r="C183" s="134">
        <f>C175</f>
        <v>0</v>
      </c>
      <c r="D183" s="141">
        <v>4.5600000000000003E-4</v>
      </c>
      <c r="E183" s="134" t="str">
        <f>IF(C175&lt;=A183," E90",IF(C175&lt;C183,(C175-C182)*D183,(C183-A183)*D183))</f>
        <v xml:space="preserve"> E90</v>
      </c>
      <c r="F183" s="124"/>
      <c r="G183" s="124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</row>
    <row r="184" spans="1:23" ht="15" hidden="1">
      <c r="A184" s="136"/>
      <c r="B184" s="136"/>
      <c r="C184" s="136"/>
      <c r="D184" s="136"/>
      <c r="E184" s="136"/>
      <c r="F184" s="124"/>
      <c r="G184" s="124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</row>
    <row r="185" spans="1:23" ht="15" hidden="1">
      <c r="A185" s="142" t="s">
        <v>12</v>
      </c>
      <c r="B185" s="143"/>
      <c r="C185" s="136"/>
      <c r="D185" s="136"/>
      <c r="E185" s="144">
        <f>SUM(F176:F183)</f>
        <v>0</v>
      </c>
      <c r="F185" s="124"/>
      <c r="G185" s="124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</row>
    <row r="186" spans="1:23" ht="15" hidden="1">
      <c r="A186" s="143"/>
      <c r="B186" s="143"/>
      <c r="C186" s="136"/>
      <c r="D186" s="136"/>
      <c r="E186" s="98"/>
      <c r="F186" s="124"/>
      <c r="G186" s="124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</row>
    <row r="187" spans="1:23" ht="15" hidden="1">
      <c r="A187" s="133" t="s">
        <v>55</v>
      </c>
      <c r="B187" s="133"/>
      <c r="C187" s="134">
        <f>C51</f>
        <v>0</v>
      </c>
      <c r="D187" s="135"/>
      <c r="E187" s="136"/>
      <c r="F187" s="124"/>
      <c r="G187" s="124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</row>
    <row r="188" spans="1:23" ht="15" hidden="1">
      <c r="A188" s="137">
        <v>0</v>
      </c>
      <c r="B188" s="138"/>
      <c r="C188" s="137">
        <v>7500</v>
      </c>
      <c r="D188" s="139">
        <v>8.5500000000000003E-3</v>
      </c>
      <c r="E188" s="140"/>
      <c r="F188" s="137">
        <f>IF(C187&lt;C188,C187*D188,C188*D188)</f>
        <v>0</v>
      </c>
      <c r="G188" s="124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</row>
    <row r="189" spans="1:23" ht="15" hidden="1">
      <c r="A189" s="137">
        <v>7500</v>
      </c>
      <c r="B189" s="138"/>
      <c r="C189" s="137">
        <v>17500</v>
      </c>
      <c r="D189" s="139">
        <v>6.8399999999999997E-3</v>
      </c>
      <c r="E189" s="140"/>
      <c r="F189" s="138" t="str">
        <f>IF(C187&lt;=A189," ",IF(C187&lt;C189,(C187-C188)*D189,(C189-A189)*D189))</f>
        <v xml:space="preserve"> </v>
      </c>
      <c r="G189" s="124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</row>
    <row r="190" spans="1:23" ht="15" hidden="1">
      <c r="A190" s="137">
        <v>17500</v>
      </c>
      <c r="B190" s="138"/>
      <c r="C190" s="137">
        <v>30000</v>
      </c>
      <c r="D190" s="139">
        <v>4.5599999999999998E-3</v>
      </c>
      <c r="E190" s="140"/>
      <c r="F190" s="138" t="str">
        <f>IF(C187&lt;=A190," ",IF(C187&lt;C190,(C187-C189)*D190,(C190-A190)*D190))</f>
        <v xml:space="preserve"> </v>
      </c>
      <c r="G190" s="124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</row>
    <row r="191" spans="1:23" ht="15" hidden="1">
      <c r="A191" s="137">
        <v>30000</v>
      </c>
      <c r="B191" s="138"/>
      <c r="C191" s="137">
        <v>45495</v>
      </c>
      <c r="D191" s="139">
        <v>3.4199999999999999E-3</v>
      </c>
      <c r="E191" s="140"/>
      <c r="F191" s="138" t="str">
        <f>IF(C187&lt;=A191," ",IF(C187&lt;C191,(C187-C190)*D191,(C191-A191)*D191))</f>
        <v xml:space="preserve"> </v>
      </c>
      <c r="G191" s="124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</row>
    <row r="192" spans="1:23" ht="15" hidden="1">
      <c r="A192" s="137">
        <v>45495</v>
      </c>
      <c r="B192" s="138"/>
      <c r="C192" s="137">
        <v>64095</v>
      </c>
      <c r="D192" s="139">
        <v>2.2799999999999999E-3</v>
      </c>
      <c r="E192" s="140"/>
      <c r="F192" s="138" t="str">
        <f>IF(C187&lt;=A192," ",IF(C187&lt;C192,(C187-C191)*D192,(C192-A192)*D192))</f>
        <v xml:space="preserve"> </v>
      </c>
      <c r="G192" s="124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</row>
    <row r="193" spans="1:23" ht="15" hidden="1">
      <c r="A193" s="137">
        <v>64095</v>
      </c>
      <c r="B193" s="138"/>
      <c r="C193" s="137">
        <v>250095</v>
      </c>
      <c r="D193" s="139">
        <v>1.14E-3</v>
      </c>
      <c r="E193" s="140"/>
      <c r="F193" s="138" t="str">
        <f>IF(C187&lt;=A193," ",IF(C187&lt;C193,(C187-C192)*D193,(C193-A193)*D193))</f>
        <v xml:space="preserve"> </v>
      </c>
      <c r="G193" s="124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</row>
    <row r="194" spans="1:23" ht="15" hidden="1">
      <c r="A194" s="137">
        <v>250095</v>
      </c>
      <c r="B194" s="138"/>
      <c r="C194" s="137">
        <f>$D$8</f>
        <v>0</v>
      </c>
      <c r="D194" s="141">
        <v>3.4200000000000002E-4</v>
      </c>
      <c r="E194" s="140"/>
      <c r="F194" s="138" t="str">
        <f>IF(C187&lt;=A194," ",IF(C187&lt;C194,(C187-C193)*D194,(C194-A194)*D194))</f>
        <v xml:space="preserve"> </v>
      </c>
      <c r="G194" s="124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</row>
    <row r="195" spans="1:23" ht="15" hidden="1">
      <c r="A195" s="134">
        <v>10075000</v>
      </c>
      <c r="B195" s="134"/>
      <c r="C195" s="134">
        <f>C187</f>
        <v>0</v>
      </c>
      <c r="D195" s="141">
        <v>4.5600000000000003E-4</v>
      </c>
      <c r="E195" s="134" t="str">
        <f>IF(C187&lt;=A195," E90",IF(C187&lt;C195,(C187-C194)*D195,(C195-A195)*D195))</f>
        <v xml:space="preserve"> E90</v>
      </c>
      <c r="F195" s="124"/>
      <c r="G195" s="124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</row>
    <row r="196" spans="1:23" ht="15" hidden="1">
      <c r="A196" s="136"/>
      <c r="B196" s="136"/>
      <c r="C196" s="136"/>
      <c r="D196" s="136"/>
      <c r="E196" s="136"/>
      <c r="F196" s="124"/>
      <c r="G196" s="124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</row>
    <row r="197" spans="1:23" ht="15" hidden="1">
      <c r="A197" s="142" t="s">
        <v>12</v>
      </c>
      <c r="B197" s="143"/>
      <c r="C197" s="136"/>
      <c r="D197" s="136"/>
      <c r="E197" s="144">
        <f>SUM(F188:F195)</f>
        <v>0</v>
      </c>
      <c r="F197" s="124"/>
      <c r="G197" s="124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</row>
    <row r="198" spans="1:23" hidden="1">
      <c r="A198" s="124"/>
      <c r="B198" s="124"/>
      <c r="C198" s="124"/>
      <c r="D198" s="124"/>
      <c r="E198" s="124"/>
      <c r="F198" s="124"/>
      <c r="G198" s="124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</row>
    <row r="199" spans="1:23" hidden="1">
      <c r="A199" s="124"/>
      <c r="B199" s="124"/>
      <c r="C199" s="124"/>
      <c r="D199" s="124"/>
      <c r="E199" s="124"/>
      <c r="F199" s="124"/>
      <c r="G199" s="124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</row>
    <row r="200" spans="1:23" ht="15" hidden="1">
      <c r="A200" s="133" t="s">
        <v>55</v>
      </c>
      <c r="B200" s="133"/>
      <c r="C200" s="134">
        <f>C55</f>
        <v>0</v>
      </c>
      <c r="D200" s="135"/>
      <c r="E200" s="136"/>
      <c r="F200" s="124"/>
      <c r="G200" s="124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</row>
    <row r="201" spans="1:23" ht="15" hidden="1">
      <c r="A201" s="137">
        <v>0</v>
      </c>
      <c r="B201" s="138"/>
      <c r="C201" s="137">
        <v>7500</v>
      </c>
      <c r="D201" s="139">
        <v>1.7100000000000001E-2</v>
      </c>
      <c r="E201" s="140"/>
      <c r="F201" s="137">
        <f>IF(C200&lt;C201,C200*D201,C201*D201)</f>
        <v>0</v>
      </c>
      <c r="G201" s="124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</row>
    <row r="202" spans="1:23" ht="15" hidden="1">
      <c r="A202" s="137">
        <v>7500</v>
      </c>
      <c r="B202" s="138"/>
      <c r="C202" s="137">
        <v>17500</v>
      </c>
      <c r="D202" s="139">
        <v>1.3679999999999999E-2</v>
      </c>
      <c r="E202" s="140"/>
      <c r="F202" s="138" t="str">
        <f>IF(C200&lt;=A202," ",IF(C200&lt;C202,(C200-C201)*D202,(C202-A202)*D202))</f>
        <v xml:space="preserve"> </v>
      </c>
      <c r="G202" s="124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</row>
    <row r="203" spans="1:23" ht="15" hidden="1">
      <c r="A203" s="137">
        <v>17500</v>
      </c>
      <c r="B203" s="138"/>
      <c r="C203" s="137">
        <v>30000</v>
      </c>
      <c r="D203" s="139">
        <v>9.1199999999999996E-3</v>
      </c>
      <c r="E203" s="140"/>
      <c r="F203" s="138" t="str">
        <f>IF(C200&lt;=A203," ",IF(C200&lt;C203,(C200-C202)*D203,(C203-A203)*D203))</f>
        <v xml:space="preserve"> </v>
      </c>
      <c r="G203" s="124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</row>
    <row r="204" spans="1:23" ht="15" hidden="1">
      <c r="A204" s="137">
        <v>30000</v>
      </c>
      <c r="B204" s="138"/>
      <c r="C204" s="137">
        <v>45495</v>
      </c>
      <c r="D204" s="139">
        <v>6.8399999999999997E-3</v>
      </c>
      <c r="E204" s="140"/>
      <c r="F204" s="138" t="str">
        <f>IF(C200&lt;=A204," ",IF(C200&lt;C204,(C200-C203)*D204,(C204-A204)*D204))</f>
        <v xml:space="preserve"> </v>
      </c>
      <c r="G204" s="124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</row>
    <row r="205" spans="1:23" ht="15" hidden="1">
      <c r="A205" s="137">
        <v>45495</v>
      </c>
      <c r="B205" s="138"/>
      <c r="C205" s="137">
        <v>64095</v>
      </c>
      <c r="D205" s="139">
        <v>4.5599999999999998E-3</v>
      </c>
      <c r="E205" s="140"/>
      <c r="F205" s="138" t="str">
        <f>IF(C200&lt;=A205," ",IF(C200&lt;C205,(C200-C204)*D205,(C205-A205)*D205))</f>
        <v xml:space="preserve"> </v>
      </c>
      <c r="G205" s="124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</row>
    <row r="206" spans="1:23" ht="15" hidden="1">
      <c r="A206" s="137">
        <v>64095</v>
      </c>
      <c r="B206" s="138"/>
      <c r="C206" s="137">
        <v>250095</v>
      </c>
      <c r="D206" s="139">
        <v>2.2799999999999999E-3</v>
      </c>
      <c r="E206" s="140"/>
      <c r="F206" s="138" t="str">
        <f>IF(C200&lt;=A206," ",IF(C200&lt;C206,(C200-C205)*D206,(C206-A206)*D206))</f>
        <v xml:space="preserve"> </v>
      </c>
      <c r="G206" s="124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</row>
    <row r="207" spans="1:23" ht="15" hidden="1">
      <c r="A207" s="137">
        <v>250095</v>
      </c>
      <c r="B207" s="138"/>
      <c r="C207" s="137">
        <f>$D$8</f>
        <v>0</v>
      </c>
      <c r="D207" s="141">
        <v>4.5600000000000003E-4</v>
      </c>
      <c r="E207" s="140"/>
      <c r="F207" s="138" t="str">
        <f>IF(C200&lt;=A207," ",IF(C200&lt;C207,(C200-C206)*D207,(C207-A207)*D207))</f>
        <v xml:space="preserve"> </v>
      </c>
      <c r="G207" s="124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</row>
    <row r="208" spans="1:23" ht="15" hidden="1">
      <c r="A208" s="134">
        <v>10075000</v>
      </c>
      <c r="B208" s="134"/>
      <c r="C208" s="134">
        <f>C200</f>
        <v>0</v>
      </c>
      <c r="D208" s="141">
        <v>4.5600000000000003E-4</v>
      </c>
      <c r="E208" s="134" t="str">
        <f>IF(C200&lt;=A208," E90",IF(C200&lt;C208,(C200-C207)*D208,(C208-A208)*D208))</f>
        <v xml:space="preserve"> E90</v>
      </c>
      <c r="F208" s="124"/>
      <c r="G208" s="124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</row>
    <row r="209" spans="1:23" ht="15" hidden="1">
      <c r="A209" s="136"/>
      <c r="B209" s="136"/>
      <c r="C209" s="136"/>
      <c r="D209" s="136"/>
      <c r="E209" s="136"/>
      <c r="F209" s="124"/>
      <c r="G209" s="124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</row>
    <row r="210" spans="1:23" ht="15" hidden="1">
      <c r="A210" s="142" t="s">
        <v>12</v>
      </c>
      <c r="B210" s="143"/>
      <c r="C210" s="136"/>
      <c r="D210" s="136"/>
      <c r="E210" s="144">
        <f>SUM(F201:F208)</f>
        <v>0</v>
      </c>
      <c r="F210" s="124"/>
      <c r="G210" s="124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</row>
    <row r="211" spans="1:23" hidden="1">
      <c r="A211" s="124"/>
      <c r="B211" s="124"/>
      <c r="C211" s="124"/>
      <c r="D211" s="124"/>
      <c r="E211" s="124"/>
      <c r="F211" s="124"/>
      <c r="G211" s="124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</row>
    <row r="212" spans="1:23" hidden="1">
      <c r="A212" s="124"/>
      <c r="B212" s="124"/>
      <c r="C212" s="124"/>
      <c r="D212" s="124"/>
      <c r="E212" s="124"/>
      <c r="F212" s="124"/>
      <c r="G212" s="124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</row>
    <row r="213" spans="1:23" ht="15" hidden="1">
      <c r="A213" s="133" t="s">
        <v>55</v>
      </c>
      <c r="B213" s="133"/>
      <c r="C213" s="134">
        <f>C51</f>
        <v>0</v>
      </c>
      <c r="D213" s="135"/>
      <c r="E213" s="136"/>
      <c r="F213" s="124"/>
      <c r="G213" s="124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</row>
    <row r="214" spans="1:23" ht="15" hidden="1">
      <c r="A214" s="137">
        <v>0</v>
      </c>
      <c r="B214" s="138"/>
      <c r="C214" s="137">
        <v>7500</v>
      </c>
      <c r="D214" s="139">
        <v>1.7100000000000001E-2</v>
      </c>
      <c r="E214" s="140"/>
      <c r="F214" s="137">
        <f>IF(C213&lt;C214,C213*D214,C214*D214)</f>
        <v>0</v>
      </c>
      <c r="G214" s="124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</row>
    <row r="215" spans="1:23" ht="15" hidden="1">
      <c r="A215" s="137">
        <v>7500</v>
      </c>
      <c r="B215" s="138"/>
      <c r="C215" s="137">
        <v>17500</v>
      </c>
      <c r="D215" s="139">
        <v>1.3679999999999999E-2</v>
      </c>
      <c r="E215" s="140"/>
      <c r="F215" s="138" t="str">
        <f>IF(C213&lt;=A215," ",IF(C213&lt;C215,(C213-C214)*D215,(C215-A215)*D215))</f>
        <v xml:space="preserve"> </v>
      </c>
      <c r="G215" s="124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</row>
    <row r="216" spans="1:23" ht="15" hidden="1">
      <c r="A216" s="137">
        <v>17500</v>
      </c>
      <c r="B216" s="138"/>
      <c r="C216" s="137">
        <v>30000</v>
      </c>
      <c r="D216" s="139">
        <v>9.1199999999999996E-3</v>
      </c>
      <c r="E216" s="140"/>
      <c r="F216" s="138" t="str">
        <f>IF(C213&lt;=A216," ",IF(C213&lt;C216,(C213-C215)*D216,(C216-A216)*D216))</f>
        <v xml:space="preserve"> </v>
      </c>
      <c r="G216" s="124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</row>
    <row r="217" spans="1:23" ht="15" hidden="1">
      <c r="A217" s="137">
        <v>30000</v>
      </c>
      <c r="B217" s="138"/>
      <c r="C217" s="137">
        <v>45495</v>
      </c>
      <c r="D217" s="139">
        <v>6.8399999999999997E-3</v>
      </c>
      <c r="E217" s="140"/>
      <c r="F217" s="138" t="str">
        <f>IF(C213&lt;=A217," ",IF(C213&lt;C217,(C213-C216)*D217,(C217-A217)*D217))</f>
        <v xml:space="preserve"> </v>
      </c>
      <c r="G217" s="124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</row>
    <row r="218" spans="1:23" ht="15" hidden="1">
      <c r="A218" s="137">
        <v>45495</v>
      </c>
      <c r="B218" s="138"/>
      <c r="C218" s="137">
        <v>64095</v>
      </c>
      <c r="D218" s="139">
        <v>4.5599999999999998E-3</v>
      </c>
      <c r="E218" s="140"/>
      <c r="F218" s="138" t="str">
        <f>IF(C213&lt;=A218," ",IF(C213&lt;C218,(C213-C217)*D218,(C218-A218)*D218))</f>
        <v xml:space="preserve"> </v>
      </c>
      <c r="G218" s="124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</row>
    <row r="219" spans="1:23" ht="15" hidden="1">
      <c r="A219" s="137">
        <v>64095</v>
      </c>
      <c r="B219" s="138"/>
      <c r="C219" s="137">
        <v>250095</v>
      </c>
      <c r="D219" s="139">
        <v>2.2799999999999999E-3</v>
      </c>
      <c r="E219" s="140"/>
      <c r="F219" s="138" t="str">
        <f>IF(C213&lt;=A219," ",IF(C213&lt;C219,(C213-C218)*D219,(C219-A219)*D219))</f>
        <v xml:space="preserve"> </v>
      </c>
      <c r="G219" s="124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</row>
    <row r="220" spans="1:23" ht="15" hidden="1">
      <c r="A220" s="137">
        <v>250095</v>
      </c>
      <c r="B220" s="138"/>
      <c r="C220" s="137">
        <f>$D$8</f>
        <v>0</v>
      </c>
      <c r="D220" s="141">
        <v>4.5600000000000003E-4</v>
      </c>
      <c r="E220" s="140"/>
      <c r="F220" s="138" t="str">
        <f>IF(C213&lt;=A220," ",IF(C213&lt;C220,(C213-C219)*D220,(C220-A220)*D220))</f>
        <v xml:space="preserve"> </v>
      </c>
      <c r="G220" s="124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</row>
    <row r="221" spans="1:23" ht="15" hidden="1">
      <c r="A221" s="134">
        <v>10075000</v>
      </c>
      <c r="B221" s="134"/>
      <c r="C221" s="134">
        <f>C213</f>
        <v>0</v>
      </c>
      <c r="D221" s="141">
        <v>4.5600000000000003E-4</v>
      </c>
      <c r="E221" s="134" t="str">
        <f>IF(C213&lt;=A221," E90",IF(C213&lt;C221,(C213-C220)*D221,(C221-A221)*D221))</f>
        <v xml:space="preserve"> E90</v>
      </c>
      <c r="F221" s="124"/>
      <c r="G221" s="124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</row>
    <row r="222" spans="1:23" ht="15" hidden="1">
      <c r="A222" s="136"/>
      <c r="B222" s="136"/>
      <c r="C222" s="136"/>
      <c r="D222" s="136"/>
      <c r="E222" s="136"/>
      <c r="F222" s="124"/>
      <c r="G222" s="124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</row>
    <row r="223" spans="1:23" ht="15" hidden="1">
      <c r="A223" s="142" t="s">
        <v>12</v>
      </c>
      <c r="B223" s="143"/>
      <c r="C223" s="136"/>
      <c r="D223" s="136"/>
      <c r="E223" s="144">
        <f>SUM(F214:F221)</f>
        <v>0</v>
      </c>
      <c r="F223" s="124"/>
      <c r="G223" s="124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</row>
    <row r="224" spans="1:23" hidden="1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</row>
    <row r="225" spans="1:23" hidden="1">
      <c r="A225" s="31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</row>
    <row r="226" spans="1:23" hidden="1">
      <c r="B226" s="27"/>
      <c r="C226" s="27"/>
      <c r="D226" s="27"/>
      <c r="E226" s="27"/>
      <c r="F226" s="27"/>
      <c r="G226" s="27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27"/>
      <c r="V226" s="27"/>
      <c r="W226" s="27"/>
    </row>
    <row r="227" spans="1:23" hidden="1">
      <c r="A227" s="33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27"/>
      <c r="V227" s="27"/>
      <c r="W227" s="27"/>
    </row>
    <row r="228" spans="1:23" hidden="1">
      <c r="A228" s="33"/>
      <c r="B228" s="11">
        <f>IF(B14="oui",-1500,0)</f>
        <v>0</v>
      </c>
      <c r="C228" s="32">
        <f>IF(AND(B12="oui",B14="oui"),-750,0)</f>
        <v>0</v>
      </c>
      <c r="D228" s="32"/>
      <c r="E228" s="32"/>
      <c r="F228" s="32">
        <f>IF(AND(B14="oui",B15="oui"),-1000,0)</f>
        <v>0</v>
      </c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27"/>
      <c r="V228" s="27"/>
      <c r="W228" s="27"/>
    </row>
    <row r="229" spans="1:23" hidden="1">
      <c r="A229" s="33"/>
      <c r="B229" s="11">
        <f>IF(B14="oui",-750,0)</f>
        <v>0</v>
      </c>
      <c r="C229" s="32">
        <f>IF(AND(B12="non",B14="oui"),-1500,0)</f>
        <v>0</v>
      </c>
      <c r="D229" s="32"/>
      <c r="E229" s="32"/>
      <c r="F229" s="32">
        <f>-F228</f>
        <v>0</v>
      </c>
      <c r="G229" s="32">
        <f>IF(F229&gt;(D20+D21+D23-50),-(D20+D21+D23-50),F228)</f>
        <v>50</v>
      </c>
      <c r="H229" s="32">
        <f>IF(G229=50,0,G229)</f>
        <v>0</v>
      </c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27"/>
      <c r="V229" s="27"/>
      <c r="W229" s="27"/>
    </row>
    <row r="230" spans="1:23" hidden="1">
      <c r="A230" s="33"/>
      <c r="B230" s="32"/>
      <c r="C230" s="32">
        <f>SUM(C228:C229)</f>
        <v>0</v>
      </c>
      <c r="D230" s="32">
        <f>IF(C232&gt;(D20+D21-50),-(D20+D21-50),C230)</f>
        <v>50</v>
      </c>
      <c r="E230" s="32">
        <f>IF(D230=50,0,D230)</f>
        <v>0</v>
      </c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27"/>
      <c r="V230" s="27"/>
      <c r="W230" s="27"/>
    </row>
    <row r="231" spans="1:23" hidden="1">
      <c r="A231" s="33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27"/>
      <c r="V231" s="27"/>
      <c r="W231" s="27"/>
    </row>
    <row r="232" spans="1:23" ht="13.5" hidden="1" thickBot="1">
      <c r="A232" s="33"/>
      <c r="B232" s="32"/>
      <c r="C232" s="32">
        <f>-C230</f>
        <v>0</v>
      </c>
      <c r="D232" s="32"/>
      <c r="E232" s="32"/>
      <c r="F232" s="32"/>
      <c r="G232" s="32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</row>
    <row r="233" spans="1:23" ht="13.5" hidden="1" thickBot="1">
      <c r="A233" s="6"/>
      <c r="B233" s="34"/>
      <c r="C233" s="28"/>
      <c r="D233" s="28"/>
      <c r="E233" s="28"/>
      <c r="F233" s="28"/>
      <c r="G233" s="28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</row>
    <row r="234" spans="1:23" ht="13.5" hidden="1" thickBot="1">
      <c r="A234" s="6"/>
      <c r="B234" s="6"/>
      <c r="C234" s="6"/>
      <c r="D234" s="6"/>
      <c r="E234" s="35"/>
      <c r="F234" s="35"/>
      <c r="G234" s="3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 hidden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 hidden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 hidden="1">
      <c r="A237" s="6" t="s">
        <v>1</v>
      </c>
      <c r="B237" s="6"/>
      <c r="C237" s="6" t="s">
        <v>8</v>
      </c>
      <c r="D237" s="6" t="s">
        <v>9</v>
      </c>
      <c r="E237" s="6"/>
      <c r="F237" s="18" t="s">
        <v>46</v>
      </c>
      <c r="G237" s="18" t="s">
        <v>46</v>
      </c>
      <c r="H237" s="18" t="s">
        <v>46</v>
      </c>
      <c r="I237" s="18" t="s">
        <v>46</v>
      </c>
      <c r="J237" s="18" t="s">
        <v>46</v>
      </c>
      <c r="K237" s="18" t="s">
        <v>46</v>
      </c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 hidden="1">
      <c r="A238" s="6"/>
      <c r="B238" s="6"/>
      <c r="C238" s="6"/>
      <c r="D238" s="6">
        <v>525</v>
      </c>
      <c r="E238" s="6"/>
      <c r="F238" s="18" t="s">
        <v>47</v>
      </c>
      <c r="G238" s="18" t="s">
        <v>47</v>
      </c>
      <c r="H238" s="18" t="s">
        <v>47</v>
      </c>
      <c r="I238" s="18" t="s">
        <v>47</v>
      </c>
      <c r="J238" s="18" t="s">
        <v>47</v>
      </c>
      <c r="K238" s="18" t="s">
        <v>47</v>
      </c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 hidden="1">
      <c r="A239" s="6"/>
      <c r="B239" s="6"/>
      <c r="C239" s="6"/>
      <c r="D239" s="6">
        <v>100</v>
      </c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  <row r="240" spans="1:23" hidden="1">
      <c r="A240" s="6"/>
      <c r="B240" s="6"/>
      <c r="C240" s="6"/>
      <c r="D240" s="6">
        <v>675</v>
      </c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</row>
    <row r="241" spans="1:23" hidden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</row>
    <row r="242" spans="1:23" hidden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</row>
    <row r="243" spans="1:23" hidden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</row>
    <row r="244" spans="1:23" ht="14.25" hidden="1">
      <c r="A244" s="36" t="s">
        <v>10</v>
      </c>
      <c r="B244" s="36"/>
      <c r="C244" s="36" t="s">
        <v>10</v>
      </c>
      <c r="D244" s="37" t="s">
        <v>11</v>
      </c>
      <c r="E244" s="38"/>
      <c r="F244" s="36" t="s">
        <v>2</v>
      </c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</row>
    <row r="245" spans="1:23" ht="15" hidden="1">
      <c r="A245" s="39">
        <v>0</v>
      </c>
      <c r="B245" s="40"/>
      <c r="C245" s="39">
        <v>7500</v>
      </c>
      <c r="D245" s="41">
        <v>4.5600000000000002E-2</v>
      </c>
      <c r="E245" s="42"/>
      <c r="F245" s="39">
        <f>IF($B$10&lt;C245,$B$10*D245,C245*D245)</f>
        <v>0</v>
      </c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</row>
    <row r="246" spans="1:23" ht="15" hidden="1">
      <c r="A246" s="39">
        <v>7500</v>
      </c>
      <c r="B246" s="40"/>
      <c r="C246" s="39">
        <v>17500</v>
      </c>
      <c r="D246" s="41">
        <v>2.8500000000000001E-2</v>
      </c>
      <c r="E246" s="42"/>
      <c r="F246" s="40" t="str">
        <f t="shared" ref="F246:F251" si="0">IF($B$10&lt;=A246," ",IF($B$10&lt;C246,($B$10-C245)*D246,(C246-A246)*D246))</f>
        <v xml:space="preserve"> </v>
      </c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</row>
    <row r="247" spans="1:23" ht="15" hidden="1">
      <c r="A247" s="39">
        <v>17500</v>
      </c>
      <c r="B247" s="40"/>
      <c r="C247" s="39">
        <v>30000</v>
      </c>
      <c r="D247" s="41">
        <v>2.2800000000000001E-2</v>
      </c>
      <c r="E247" s="42"/>
      <c r="F247" s="40" t="str">
        <f t="shared" si="0"/>
        <v xml:space="preserve"> </v>
      </c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3" ht="15" hidden="1">
      <c r="A248" s="39">
        <v>30000</v>
      </c>
      <c r="B248" s="40"/>
      <c r="C248" s="39">
        <v>45495</v>
      </c>
      <c r="D248" s="41">
        <v>1.7100000000000001E-2</v>
      </c>
      <c r="E248" s="42"/>
      <c r="F248" s="40" t="str">
        <f t="shared" si="0"/>
        <v xml:space="preserve"> </v>
      </c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</row>
    <row r="249" spans="1:23" ht="15" hidden="1">
      <c r="A249" s="39">
        <v>45495</v>
      </c>
      <c r="B249" s="40"/>
      <c r="C249" s="39">
        <v>64095</v>
      </c>
      <c r="D249" s="41">
        <v>1.14E-2</v>
      </c>
      <c r="E249" s="42"/>
      <c r="F249" s="40" t="str">
        <f t="shared" si="0"/>
        <v xml:space="preserve"> </v>
      </c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</row>
    <row r="250" spans="1:23" ht="15" hidden="1">
      <c r="A250" s="39">
        <v>64095</v>
      </c>
      <c r="B250" s="40"/>
      <c r="C250" s="39">
        <v>250095</v>
      </c>
      <c r="D250" s="41">
        <v>5.7000000000000002E-3</v>
      </c>
      <c r="E250" s="42"/>
      <c r="F250" s="40" t="str">
        <f t="shared" si="0"/>
        <v xml:space="preserve"> </v>
      </c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</row>
    <row r="251" spans="1:23" ht="15" hidden="1">
      <c r="A251" s="39">
        <v>250095</v>
      </c>
      <c r="B251" s="40"/>
      <c r="C251" s="39">
        <f>$B$10</f>
        <v>0</v>
      </c>
      <c r="D251" s="41">
        <v>5.6999999999999998E-4</v>
      </c>
      <c r="E251" s="42"/>
      <c r="F251" s="40" t="str">
        <f t="shared" si="0"/>
        <v xml:space="preserve"> </v>
      </c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</row>
    <row r="252" spans="1:23" ht="15" hidden="1">
      <c r="A252" s="43"/>
      <c r="B252" s="44"/>
      <c r="C252" s="44"/>
      <c r="D252" s="45"/>
      <c r="E252" s="46"/>
      <c r="F252" s="4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</row>
    <row r="253" spans="1:23" ht="15" hidden="1">
      <c r="A253" s="36" t="s">
        <v>12</v>
      </c>
      <c r="B253" s="47"/>
      <c r="C253" s="44"/>
      <c r="D253" s="48"/>
      <c r="E253" s="46"/>
      <c r="F253" s="49">
        <f>SUM(F245:F252)</f>
        <v>0</v>
      </c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</row>
    <row r="254" spans="1:23" hidden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hidden="1">
      <c r="A255" s="89" t="s">
        <v>48</v>
      </c>
      <c r="B255" s="89"/>
      <c r="C255" s="89"/>
      <c r="D255" s="89"/>
      <c r="E255" s="89"/>
      <c r="F255" s="89" t="s">
        <v>49</v>
      </c>
      <c r="G255" s="89"/>
      <c r="H255" s="89"/>
      <c r="I255" s="90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hidden="1">
      <c r="A256" s="89">
        <v>67.31</v>
      </c>
      <c r="B256" s="89" t="s">
        <v>50</v>
      </c>
      <c r="C256" s="89">
        <v>25000</v>
      </c>
      <c r="D256" s="89"/>
      <c r="E256" s="89"/>
      <c r="F256" s="89"/>
      <c r="G256" s="89"/>
      <c r="H256" s="89"/>
      <c r="I256" s="90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hidden="1">
      <c r="A257" s="89">
        <v>23.56</v>
      </c>
      <c r="B257" s="89" t="s">
        <v>51</v>
      </c>
      <c r="C257" s="89">
        <v>25000</v>
      </c>
      <c r="D257" s="89" t="s">
        <v>52</v>
      </c>
      <c r="E257" s="89"/>
      <c r="F257" s="89"/>
      <c r="G257" s="89"/>
      <c r="H257" s="89"/>
      <c r="I257" s="90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hidden="1">
      <c r="A258" s="89"/>
      <c r="B258" s="89"/>
      <c r="C258" s="89"/>
      <c r="D258" s="89"/>
      <c r="E258" s="89"/>
      <c r="F258" s="89"/>
      <c r="G258" s="89"/>
      <c r="H258" s="89"/>
      <c r="I258" s="90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hidden="1">
      <c r="A259" s="89"/>
      <c r="B259" s="89"/>
      <c r="C259" s="89"/>
      <c r="D259" s="89"/>
      <c r="E259" s="89"/>
      <c r="F259" s="89"/>
      <c r="G259" s="89"/>
      <c r="H259" s="89"/>
      <c r="I259" s="90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idden="1">
      <c r="A260" s="89"/>
      <c r="B260" s="89"/>
      <c r="C260" s="89"/>
      <c r="D260" s="89"/>
      <c r="E260" s="89"/>
      <c r="F260" s="89"/>
      <c r="G260" s="89">
        <v>720</v>
      </c>
      <c r="H260" s="89"/>
      <c r="I260" s="90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idden="1">
      <c r="A261" s="89" t="s">
        <v>53</v>
      </c>
      <c r="B261" s="89"/>
      <c r="C261" s="89" t="s">
        <v>10</v>
      </c>
      <c r="D261" s="89" t="s">
        <v>54</v>
      </c>
      <c r="E261" s="89"/>
      <c r="F261" s="89"/>
      <c r="G261" s="89"/>
      <c r="H261" s="89"/>
      <c r="I261" s="90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</row>
    <row r="262" spans="1:23" hidden="1">
      <c r="A262" s="89"/>
      <c r="B262" s="89"/>
      <c r="C262" s="89">
        <v>0</v>
      </c>
      <c r="D262" s="89">
        <v>575</v>
      </c>
      <c r="E262" s="89"/>
      <c r="F262" s="89"/>
      <c r="G262" s="89"/>
      <c r="H262" s="89"/>
      <c r="I262" s="90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</row>
    <row r="263" spans="1:23" hidden="1">
      <c r="A263" s="89"/>
      <c r="B263" s="89"/>
      <c r="C263" s="89"/>
      <c r="D263" s="89"/>
      <c r="E263" s="89"/>
      <c r="F263" s="89"/>
      <c r="G263" s="89"/>
      <c r="H263" s="89"/>
      <c r="I263" s="90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</row>
    <row r="264" spans="1:23" hidden="1">
      <c r="A264" s="89"/>
      <c r="B264" s="89"/>
      <c r="C264" s="89"/>
      <c r="D264" s="89"/>
      <c r="E264" s="89"/>
      <c r="F264" s="91" t="s">
        <v>46</v>
      </c>
      <c r="G264" s="89"/>
      <c r="H264" s="89"/>
      <c r="I264" s="90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</row>
    <row r="265" spans="1:23" hidden="1">
      <c r="A265" s="89"/>
      <c r="B265" s="89"/>
      <c r="C265" s="89"/>
      <c r="D265" s="89"/>
      <c r="E265" s="89"/>
      <c r="F265" s="91" t="s">
        <v>47</v>
      </c>
      <c r="G265" s="89"/>
      <c r="H265" s="89"/>
      <c r="I265" s="90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</row>
    <row r="266" spans="1:23" hidden="1">
      <c r="A266" s="89">
        <v>920</v>
      </c>
      <c r="B266" s="89"/>
      <c r="C266" s="89"/>
      <c r="D266" s="89"/>
      <c r="E266" s="89"/>
      <c r="F266" s="89"/>
      <c r="G266" s="89"/>
      <c r="H266" s="89"/>
      <c r="I266" s="90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1:23" hidden="1">
      <c r="A267" s="89"/>
      <c r="B267" s="89"/>
      <c r="C267" s="89"/>
      <c r="D267" s="89"/>
      <c r="E267" s="89"/>
      <c r="F267" s="89"/>
      <c r="G267" s="89"/>
      <c r="H267" s="89"/>
      <c r="I267" s="90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1:23" hidden="1">
      <c r="A268" s="89"/>
      <c r="B268" s="89"/>
      <c r="C268" s="89"/>
      <c r="D268" s="89"/>
      <c r="E268" s="89"/>
      <c r="F268" s="89"/>
      <c r="G268" s="89"/>
      <c r="H268" s="89"/>
      <c r="I268" s="90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</row>
    <row r="269" spans="1:23" hidden="1">
      <c r="A269" s="89"/>
      <c r="B269" s="89"/>
      <c r="C269" s="89"/>
      <c r="D269" s="89"/>
      <c r="E269" s="89"/>
      <c r="F269" s="89"/>
      <c r="G269" s="89"/>
      <c r="H269" s="89"/>
      <c r="I269" s="90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</row>
    <row r="270" spans="1:23" hidden="1">
      <c r="A270" s="89"/>
      <c r="B270" s="89"/>
      <c r="C270" s="89"/>
      <c r="D270" s="89"/>
      <c r="E270" s="89"/>
      <c r="F270" s="89"/>
      <c r="G270" s="89"/>
      <c r="H270" s="89"/>
      <c r="I270" s="90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</row>
    <row r="271" spans="1:23" hidden="1">
      <c r="A271" s="89"/>
      <c r="B271" s="89"/>
      <c r="C271" s="89"/>
      <c r="D271" s="89"/>
      <c r="E271" s="89"/>
      <c r="F271" s="89"/>
      <c r="G271" s="89"/>
      <c r="H271" s="89"/>
      <c r="I271" s="90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</row>
    <row r="272" spans="1:23" hidden="1">
      <c r="A272" s="89"/>
      <c r="B272" s="89"/>
      <c r="C272" s="89"/>
      <c r="D272" s="89"/>
      <c r="E272" s="89"/>
      <c r="F272" s="89"/>
      <c r="G272" s="89"/>
      <c r="H272" s="89"/>
      <c r="I272" s="90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</row>
    <row r="273" spans="1:23" hidden="1">
      <c r="A273" s="89"/>
      <c r="B273" s="89"/>
      <c r="C273" s="89"/>
      <c r="D273" s="89"/>
      <c r="E273" s="89"/>
      <c r="F273" s="89"/>
      <c r="G273" s="89"/>
      <c r="H273" s="89"/>
      <c r="I273" s="90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</row>
    <row r="274" spans="1:23" hidden="1">
      <c r="A274" s="89"/>
      <c r="B274" s="89"/>
      <c r="C274" s="89"/>
      <c r="D274" s="89"/>
      <c r="E274" s="89"/>
      <c r="F274" s="89"/>
      <c r="G274" s="89"/>
      <c r="H274" s="89"/>
      <c r="I274" s="90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</row>
    <row r="275" spans="1:23" hidden="1">
      <c r="A275" s="89"/>
      <c r="B275" s="89"/>
      <c r="C275" s="89"/>
      <c r="D275" s="89"/>
      <c r="E275" s="89"/>
      <c r="F275" s="89"/>
      <c r="G275" s="89"/>
      <c r="H275" s="89"/>
      <c r="I275" s="90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</row>
    <row r="276" spans="1:23" hidden="1">
      <c r="A276" s="89"/>
      <c r="B276" s="89"/>
      <c r="C276" s="89"/>
      <c r="D276" s="89"/>
      <c r="E276" s="89"/>
      <c r="F276" s="89"/>
      <c r="G276" s="89"/>
      <c r="H276" s="89"/>
      <c r="I276" s="90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</row>
    <row r="277" spans="1:23" hidden="1">
      <c r="A277" s="89"/>
      <c r="B277" s="89"/>
      <c r="C277" s="89"/>
      <c r="D277" s="89"/>
      <c r="E277" s="89"/>
      <c r="F277" s="89"/>
      <c r="G277" s="89"/>
      <c r="H277" s="89"/>
      <c r="I277" s="90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</row>
    <row r="278" spans="1:23" hidden="1">
      <c r="A278" s="89"/>
      <c r="B278" s="89"/>
      <c r="C278" s="89"/>
      <c r="D278" s="89"/>
      <c r="E278" s="89"/>
      <c r="F278" s="89"/>
      <c r="G278" s="89"/>
      <c r="H278" s="89"/>
      <c r="I278" s="90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</row>
    <row r="279" spans="1:23" hidden="1">
      <c r="A279" s="89"/>
      <c r="B279" s="89"/>
      <c r="C279" s="89"/>
      <c r="D279" s="89"/>
      <c r="E279" s="89"/>
      <c r="F279" s="89"/>
      <c r="G279" s="89"/>
      <c r="H279" s="89"/>
      <c r="I279" s="90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</row>
    <row r="280" spans="1:23" hidden="1">
      <c r="A280" s="89"/>
      <c r="B280" s="89"/>
      <c r="C280" s="89"/>
      <c r="D280" s="89"/>
      <c r="E280" s="89"/>
      <c r="F280" s="89"/>
      <c r="G280" s="89"/>
      <c r="H280" s="89"/>
      <c r="I280" s="90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</row>
    <row r="281" spans="1:23" hidden="1">
      <c r="A281" s="89"/>
      <c r="B281" s="89"/>
      <c r="C281" s="89"/>
      <c r="D281" s="89"/>
      <c r="E281" s="89"/>
      <c r="F281" s="89"/>
      <c r="G281" s="89"/>
      <c r="H281" s="89"/>
      <c r="I281" s="90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</row>
    <row r="282" spans="1:23" hidden="1">
      <c r="A282" s="89"/>
      <c r="B282" s="89"/>
      <c r="C282" s="89"/>
      <c r="D282" s="89"/>
      <c r="E282" s="89"/>
      <c r="F282" s="89"/>
      <c r="G282" s="89"/>
      <c r="H282" s="89"/>
      <c r="I282" s="90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</row>
    <row r="283" spans="1:23" hidden="1">
      <c r="A283" s="89"/>
      <c r="B283" s="89"/>
      <c r="C283" s="89"/>
      <c r="D283" s="89"/>
      <c r="E283" s="89"/>
      <c r="F283" s="89"/>
      <c r="G283" s="89"/>
      <c r="H283" s="89"/>
      <c r="I283" s="90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</row>
    <row r="284" spans="1:23" hidden="1">
      <c r="A284" s="89"/>
      <c r="B284" s="89"/>
      <c r="C284" s="89"/>
      <c r="D284" s="89"/>
      <c r="E284" s="89"/>
      <c r="F284" s="89"/>
      <c r="G284" s="89"/>
      <c r="H284" s="89"/>
      <c r="I284" s="90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</row>
    <row r="285" spans="1:23" hidden="1">
      <c r="A285" s="89"/>
      <c r="B285" s="89"/>
      <c r="C285" s="89"/>
      <c r="D285" s="89"/>
      <c r="E285" s="89"/>
      <c r="F285" s="89"/>
      <c r="G285" s="89"/>
      <c r="H285" s="89"/>
      <c r="I285" s="90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</row>
    <row r="286" spans="1:23" hidden="1">
      <c r="A286" s="89"/>
      <c r="B286" s="89"/>
      <c r="C286" s="89"/>
      <c r="D286" s="89"/>
      <c r="E286" s="89"/>
      <c r="F286" s="89"/>
      <c r="G286" s="89"/>
      <c r="H286" s="89"/>
      <c r="I286" s="90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</row>
    <row r="287" spans="1:23" hidden="1">
      <c r="A287" s="89"/>
      <c r="B287" s="89"/>
      <c r="C287" s="89"/>
      <c r="D287" s="89"/>
      <c r="E287" s="89"/>
      <c r="F287" s="89"/>
      <c r="G287" s="89"/>
      <c r="H287" s="89"/>
      <c r="I287" s="90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 hidden="1">
      <c r="A288" s="89"/>
      <c r="B288" s="89"/>
      <c r="C288" s="89"/>
      <c r="D288" s="89"/>
      <c r="E288" s="89"/>
      <c r="F288" s="89"/>
      <c r="G288" s="89"/>
      <c r="H288" s="89"/>
      <c r="I288" s="90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 hidden="1">
      <c r="A289" s="89"/>
      <c r="B289" s="89"/>
      <c r="C289" s="89"/>
      <c r="D289" s="89"/>
      <c r="E289" s="89"/>
      <c r="F289" s="89"/>
      <c r="G289" s="89"/>
      <c r="H289" s="89"/>
      <c r="I289" s="90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 hidden="1">
      <c r="A290" s="89"/>
      <c r="B290" s="89"/>
      <c r="C290" s="89"/>
      <c r="D290" s="89"/>
      <c r="E290" s="89"/>
      <c r="F290" s="89"/>
      <c r="G290" s="89"/>
      <c r="H290" s="89"/>
      <c r="I290" s="90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 hidden="1">
      <c r="A291" s="89"/>
      <c r="B291" s="89"/>
      <c r="C291" s="89"/>
      <c r="D291" s="89"/>
      <c r="E291" s="89"/>
      <c r="F291" s="89"/>
      <c r="G291" s="89"/>
      <c r="H291" s="89"/>
      <c r="I291" s="90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</row>
    <row r="292" spans="1:23" hidden="1">
      <c r="A292" s="89"/>
      <c r="B292" s="89"/>
      <c r="C292" s="89"/>
      <c r="D292" s="89"/>
      <c r="E292" s="89"/>
      <c r="F292" s="89"/>
      <c r="G292" s="89"/>
      <c r="H292" s="89"/>
      <c r="I292" s="90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</row>
    <row r="293" spans="1:23" hidden="1">
      <c r="A293" s="89"/>
      <c r="B293" s="89"/>
      <c r="C293" s="89"/>
      <c r="D293" s="89"/>
      <c r="E293" s="89"/>
      <c r="F293" s="89"/>
      <c r="G293" s="89"/>
      <c r="H293" s="89"/>
      <c r="I293" s="90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</row>
    <row r="294" spans="1:23" hidden="1">
      <c r="A294" s="89"/>
      <c r="B294" s="89"/>
      <c r="C294" s="89"/>
      <c r="D294" s="89"/>
      <c r="E294" s="89"/>
      <c r="F294" s="89"/>
      <c r="G294" s="89"/>
      <c r="H294" s="89"/>
      <c r="I294" s="90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</row>
    <row r="295" spans="1:23" hidden="1">
      <c r="A295" s="89"/>
      <c r="B295" s="89"/>
      <c r="C295" s="89"/>
      <c r="D295" s="92" t="e">
        <f>ROUNDUP(#REF!+B62,-2)</f>
        <v>#REF!</v>
      </c>
      <c r="E295" s="89"/>
      <c r="F295" s="89"/>
      <c r="G295" s="89"/>
      <c r="H295" s="89"/>
      <c r="I295" s="90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</row>
    <row r="296" spans="1:23" hidden="1">
      <c r="A296" s="89"/>
      <c r="B296" s="89"/>
      <c r="C296" s="89"/>
      <c r="D296" s="89"/>
      <c r="E296" s="89"/>
      <c r="F296" s="89"/>
      <c r="G296" s="89"/>
      <c r="H296" s="89"/>
      <c r="I296" s="90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</row>
    <row r="297" spans="1:23" hidden="1">
      <c r="A297" s="89"/>
      <c r="B297" s="89"/>
      <c r="C297" s="89"/>
      <c r="D297" s="89"/>
      <c r="E297" s="89"/>
      <c r="F297" s="89"/>
      <c r="G297" s="89"/>
      <c r="H297" s="89"/>
      <c r="I297" s="90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 hidden="1">
      <c r="A298" s="89"/>
      <c r="B298" s="89"/>
      <c r="C298" s="89"/>
      <c r="D298" s="89"/>
      <c r="E298" s="89"/>
      <c r="F298" s="89"/>
      <c r="G298" s="89"/>
      <c r="H298" s="89"/>
      <c r="I298" s="90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 hidden="1">
      <c r="A299" s="89" t="s">
        <v>55</v>
      </c>
      <c r="B299" s="89"/>
      <c r="C299" s="89">
        <v>0</v>
      </c>
      <c r="D299" s="89"/>
      <c r="E299" s="89"/>
      <c r="F299" s="89"/>
      <c r="G299" s="89"/>
      <c r="H299" s="89"/>
      <c r="I299" s="90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 ht="15" hidden="1">
      <c r="A300" s="89">
        <v>0</v>
      </c>
      <c r="B300" s="89"/>
      <c r="C300" s="89">
        <v>7500</v>
      </c>
      <c r="D300" s="89">
        <v>1.7100000000000001E-2</v>
      </c>
      <c r="E300" s="93"/>
      <c r="F300" s="94" t="e">
        <f>IF(#REF!&lt;C300,#REF!*D300,C300*D300)</f>
        <v>#REF!</v>
      </c>
      <c r="G300" s="89"/>
      <c r="H300" s="89"/>
      <c r="I300" s="90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 ht="15" hidden="1">
      <c r="A301" s="89">
        <v>7500</v>
      </c>
      <c r="B301" s="89"/>
      <c r="C301" s="89">
        <v>17500</v>
      </c>
      <c r="D301" s="89">
        <v>1.3679999999999999E-2</v>
      </c>
      <c r="E301" s="93"/>
      <c r="F301" s="94" t="e">
        <f>IF(#REF!&lt;=A301," ",IF(#REF!&lt;C301,(#REF!-C300)*D301,(C301-A301)*D301))</f>
        <v>#REF!</v>
      </c>
      <c r="G301" s="89"/>
      <c r="H301" s="89"/>
      <c r="I301" s="90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 ht="15" hidden="1">
      <c r="A302" s="89">
        <v>17500</v>
      </c>
      <c r="B302" s="89"/>
      <c r="C302" s="89">
        <v>30000</v>
      </c>
      <c r="D302" s="89">
        <v>9.1199999999999996E-3</v>
      </c>
      <c r="E302" s="93"/>
      <c r="F302" s="94" t="e">
        <f>IF(#REF!&lt;=A302," ",IF(#REF!&lt;C302,(#REF!-C301)*D302,(C302-A302)*D302))</f>
        <v>#REF!</v>
      </c>
      <c r="G302" s="89"/>
      <c r="H302" s="89"/>
      <c r="I302" s="90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 ht="15" hidden="1">
      <c r="A303" s="89">
        <v>30000</v>
      </c>
      <c r="B303" s="89"/>
      <c r="C303" s="89">
        <v>45495</v>
      </c>
      <c r="D303" s="89">
        <v>6.8399999999999997E-3</v>
      </c>
      <c r="E303" s="93"/>
      <c r="F303" s="94" t="e">
        <f>IF(#REF!&lt;=A303," ",IF(#REF!&lt;C303,(#REF!-C302)*D303,(C303-A303)*D303))</f>
        <v>#REF!</v>
      </c>
      <c r="G303" s="89"/>
      <c r="H303" s="89"/>
      <c r="I303" s="90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 ht="15" hidden="1">
      <c r="A304" s="89">
        <v>45495</v>
      </c>
      <c r="B304" s="89"/>
      <c r="C304" s="89">
        <v>64095</v>
      </c>
      <c r="D304" s="89">
        <v>4.5599999999999998E-3</v>
      </c>
      <c r="E304" s="93"/>
      <c r="F304" s="94" t="e">
        <f>IF(#REF!&lt;=A304," ",IF(#REF!&lt;C304,(#REF!-C303)*D304,(C304-A304)*D304))</f>
        <v>#REF!</v>
      </c>
      <c r="G304" s="89"/>
      <c r="H304" s="89"/>
      <c r="I304" s="90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 ht="15" hidden="1">
      <c r="A305" s="89">
        <v>64095</v>
      </c>
      <c r="B305" s="89"/>
      <c r="C305" s="89">
        <v>250095</v>
      </c>
      <c r="D305" s="89">
        <v>2.2799999999999999E-3</v>
      </c>
      <c r="E305" s="93"/>
      <c r="F305" s="94" t="e">
        <f>IF(#REF!&lt;=A305," ",IF(#REF!&lt;C305,(#REF!-C304)*D305,(C305-A305)*D305))</f>
        <v>#REF!</v>
      </c>
      <c r="G305" s="89"/>
      <c r="H305" s="89"/>
      <c r="I305" s="90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 ht="15" hidden="1">
      <c r="A306" s="89">
        <v>250095</v>
      </c>
      <c r="B306" s="89"/>
      <c r="C306" s="92" t="e">
        <f>#REF!</f>
        <v>#REF!</v>
      </c>
      <c r="D306" s="89">
        <v>4.5600000000000003E-4</v>
      </c>
      <c r="E306" s="93"/>
      <c r="F306" s="94" t="e">
        <f>IF(#REF!&lt;=A306," ",IF(#REF!&lt;C306,(#REF!-C305)*D306,(C306-A306)*D306))</f>
        <v>#REF!</v>
      </c>
      <c r="G306" s="89"/>
      <c r="H306" s="89"/>
      <c r="I306" s="90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 ht="15" hidden="1">
      <c r="A307" s="89">
        <v>10075000</v>
      </c>
      <c r="B307" s="89"/>
      <c r="C307" s="89">
        <v>0</v>
      </c>
      <c r="D307" s="89">
        <v>4.5600000000000003E-4</v>
      </c>
      <c r="E307" s="95" t="str">
        <f>IF($C$203&lt;=A307," E90",IF($C$203&lt;C307,($C$203-C306)*D307,(C307-A307)*D307))</f>
        <v xml:space="preserve"> E90</v>
      </c>
      <c r="F307" s="96"/>
      <c r="G307" s="89"/>
      <c r="H307" s="89"/>
      <c r="I307" s="90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 ht="15.75" hidden="1" thickBot="1">
      <c r="A308" s="89"/>
      <c r="B308" s="89"/>
      <c r="C308" s="89"/>
      <c r="D308" s="89"/>
      <c r="E308" s="97"/>
      <c r="F308" s="96"/>
      <c r="G308" s="89"/>
      <c r="H308" s="89"/>
      <c r="I308" s="90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 ht="15" hidden="1" thickBot="1">
      <c r="A309" s="89" t="s">
        <v>12</v>
      </c>
      <c r="B309" s="89"/>
      <c r="C309" s="89"/>
      <c r="D309" s="89"/>
      <c r="E309" s="98" t="e">
        <f>SUM(F300:F307)</f>
        <v>#REF!</v>
      </c>
      <c r="F309" s="96"/>
      <c r="G309" s="89"/>
      <c r="H309" s="89"/>
      <c r="I309" s="99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 hidden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 ht="15" hidden="1">
      <c r="A311" s="110" t="s">
        <v>48</v>
      </c>
      <c r="B311" s="111"/>
      <c r="C311" s="111"/>
      <c r="D311" s="111"/>
      <c r="E311" s="112"/>
      <c r="F311" s="113" t="s">
        <v>49</v>
      </c>
      <c r="G311" s="114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 ht="15" hidden="1">
      <c r="A312" s="110">
        <v>67.31</v>
      </c>
      <c r="B312" s="111" t="s">
        <v>50</v>
      </c>
      <c r="C312" s="111">
        <v>25000</v>
      </c>
      <c r="D312" s="111"/>
      <c r="E312" s="112"/>
      <c r="F312" s="113"/>
      <c r="G312" s="114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 ht="15" hidden="1">
      <c r="A313" s="110">
        <v>23.56</v>
      </c>
      <c r="B313" s="111" t="s">
        <v>51</v>
      </c>
      <c r="C313" s="111">
        <v>25000</v>
      </c>
      <c r="D313" s="111" t="s">
        <v>52</v>
      </c>
      <c r="E313" s="112"/>
      <c r="F313" s="113"/>
      <c r="G313" s="114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 ht="15" hidden="1">
      <c r="A314" s="110"/>
      <c r="B314" s="111"/>
      <c r="C314" s="111"/>
      <c r="D314" s="111"/>
      <c r="E314" s="112"/>
      <c r="F314" s="113"/>
      <c r="G314" s="114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 ht="15" hidden="1">
      <c r="A315" s="110"/>
      <c r="B315" s="111"/>
      <c r="C315" s="111"/>
      <c r="D315" s="111"/>
      <c r="E315" s="112"/>
      <c r="F315" s="113"/>
      <c r="G315" s="114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 ht="15" hidden="1">
      <c r="A316" s="110"/>
      <c r="B316" s="111"/>
      <c r="C316" s="111"/>
      <c r="D316" s="111"/>
      <c r="E316" s="112"/>
      <c r="F316" s="113"/>
      <c r="G316" s="114">
        <f>SUM(D250,D253)</f>
        <v>5.7000000000000002E-3</v>
      </c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 ht="15" hidden="1">
      <c r="A317" s="110" t="s">
        <v>53</v>
      </c>
      <c r="B317" s="111"/>
      <c r="C317" s="111" t="s">
        <v>10</v>
      </c>
      <c r="D317" s="111" t="s">
        <v>54</v>
      </c>
      <c r="E317" s="112"/>
      <c r="F317" s="113"/>
      <c r="G317" s="114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 ht="15" hidden="1">
      <c r="A318" s="110"/>
      <c r="B318" s="111"/>
      <c r="C318" s="111">
        <f>D241</f>
        <v>0</v>
      </c>
      <c r="D318" s="111">
        <f>IF(D241=0,575,550)</f>
        <v>575</v>
      </c>
      <c r="E318" s="112"/>
      <c r="F318" s="113"/>
      <c r="G318" s="114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 ht="15" hidden="1">
      <c r="A319" s="110"/>
      <c r="B319" s="111"/>
      <c r="C319" s="111"/>
      <c r="D319" s="111"/>
      <c r="E319" s="112"/>
      <c r="F319" s="113"/>
      <c r="G319" s="114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 ht="15" hidden="1">
      <c r="A320" s="110"/>
      <c r="B320" s="111"/>
      <c r="C320" s="111"/>
      <c r="D320" s="111"/>
      <c r="E320" s="112"/>
      <c r="F320" s="113"/>
      <c r="G320" s="114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 ht="15" hidden="1">
      <c r="A321" s="110"/>
      <c r="B321" s="111"/>
      <c r="C321" s="120" t="e">
        <f>ROUNDUP(#REF!+B62,-2)</f>
        <v>#REF!</v>
      </c>
      <c r="D321" s="111"/>
      <c r="E321" s="112"/>
      <c r="F321" s="113"/>
      <c r="G321" s="114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 ht="15" hidden="1">
      <c r="A322" s="115">
        <f>C58+C59+C63+C65+C68+C71</f>
        <v>930</v>
      </c>
      <c r="B322" s="111"/>
      <c r="C322" s="111"/>
      <c r="D322" s="111"/>
      <c r="E322" s="112" t="s">
        <v>46</v>
      </c>
      <c r="F322" s="113"/>
      <c r="G322" s="114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 ht="15" hidden="1">
      <c r="A323" s="110"/>
      <c r="B323" s="111"/>
      <c r="C323" s="111"/>
      <c r="D323" s="111"/>
      <c r="E323" s="112" t="s">
        <v>47</v>
      </c>
      <c r="F323" s="113"/>
      <c r="G323" s="114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 ht="15" hidden="1">
      <c r="A324" s="110"/>
      <c r="B324" s="111"/>
      <c r="C324" s="111"/>
      <c r="D324" s="111"/>
      <c r="E324" s="112"/>
      <c r="F324" s="113"/>
      <c r="G324" s="11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 ht="15" hidden="1">
      <c r="A325" s="110"/>
      <c r="B325" s="111"/>
      <c r="C325" s="111"/>
      <c r="D325" s="111"/>
      <c r="E325" s="112"/>
      <c r="F325" s="113"/>
      <c r="G325" s="11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 ht="15" hidden="1">
      <c r="A326" s="110"/>
      <c r="B326" s="111"/>
      <c r="C326" s="111"/>
      <c r="D326" s="111"/>
      <c r="E326" s="112"/>
      <c r="F326" s="113"/>
      <c r="G326" s="11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 ht="15" hidden="1">
      <c r="A327" s="110" t="s">
        <v>55</v>
      </c>
      <c r="B327" s="111"/>
      <c r="C327" s="117" t="e">
        <f>#REF!</f>
        <v>#REF!</v>
      </c>
      <c r="D327" s="111"/>
      <c r="E327" s="112"/>
      <c r="F327" s="113"/>
      <c r="G327" s="11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</row>
    <row r="328" spans="1:23" ht="15" hidden="1">
      <c r="A328" s="110">
        <v>0</v>
      </c>
      <c r="B328" s="111"/>
      <c r="C328" s="111">
        <v>7500</v>
      </c>
      <c r="D328" s="111">
        <v>1.4250000000000001E-2</v>
      </c>
      <c r="E328" s="112"/>
      <c r="F328" s="113" t="e">
        <f>IF(C327&lt;C328,C327*D328,C328*D328)</f>
        <v>#REF!</v>
      </c>
      <c r="G328" s="11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</row>
    <row r="329" spans="1:23" ht="15" hidden="1">
      <c r="A329" s="110">
        <v>7500</v>
      </c>
      <c r="B329" s="111"/>
      <c r="C329" s="111">
        <v>17500</v>
      </c>
      <c r="D329" s="111">
        <v>1.14E-2</v>
      </c>
      <c r="E329" s="112"/>
      <c r="F329" s="113" t="e">
        <f>IF(C327&lt;=A329," ",IF(C327&lt;C329,(C327-C328)*D329,(C329-A329)*D329))</f>
        <v>#REF!</v>
      </c>
      <c r="G329" s="11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</row>
    <row r="330" spans="1:23" ht="15" hidden="1">
      <c r="A330" s="110">
        <v>17500</v>
      </c>
      <c r="B330" s="111"/>
      <c r="C330" s="111">
        <v>30000</v>
      </c>
      <c r="D330" s="111">
        <v>6.8399999999999997E-3</v>
      </c>
      <c r="E330" s="112"/>
      <c r="F330" s="113" t="e">
        <f>IF(C327&lt;=A330," ",IF(C327&lt;C330,(C327-C329)*D330,(C330-A330)*D330))</f>
        <v>#REF!</v>
      </c>
      <c r="G330" s="11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</row>
    <row r="331" spans="1:23" ht="15" hidden="1">
      <c r="A331" s="110">
        <v>30000</v>
      </c>
      <c r="B331" s="111"/>
      <c r="C331" s="111">
        <v>45495</v>
      </c>
      <c r="D331" s="111">
        <v>5.7000000000000002E-3</v>
      </c>
      <c r="E331" s="112"/>
      <c r="F331" s="113" t="e">
        <f>IF(C327&lt;=A331," ",IF(C327&lt;C331,(C327-C330)*D331,(C331-A331)*D331))</f>
        <v>#REF!</v>
      </c>
      <c r="G331" s="11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</row>
    <row r="332" spans="1:23" ht="15" hidden="1">
      <c r="A332" s="110">
        <v>45495</v>
      </c>
      <c r="B332" s="111"/>
      <c r="C332" s="111">
        <v>64095</v>
      </c>
      <c r="D332" s="111">
        <v>4.5599999999999998E-3</v>
      </c>
      <c r="E332" s="112"/>
      <c r="F332" s="113" t="e">
        <f>IF(C327&lt;=A332," ",IF(C327&lt;C332,(C327-C331)*D332,(C332-A332)*D332))</f>
        <v>#REF!</v>
      </c>
      <c r="G332" s="11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1:23" ht="15" hidden="1">
      <c r="A333" s="110">
        <v>64095</v>
      </c>
      <c r="B333" s="111"/>
      <c r="C333" s="111">
        <v>250095</v>
      </c>
      <c r="D333" s="111">
        <v>2.2799999999999999E-3</v>
      </c>
      <c r="E333" s="112"/>
      <c r="F333" s="113" t="e">
        <f>IF(C327&lt;=A333," ",IF(C327&lt;C333,(C327-C332)*D333,(C333-A333)*D333))</f>
        <v>#REF!</v>
      </c>
      <c r="G333" s="11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1:23" ht="15" hidden="1">
      <c r="A334" s="110">
        <v>250095</v>
      </c>
      <c r="B334" s="111"/>
      <c r="C334" s="111">
        <v>999999999</v>
      </c>
      <c r="D334" s="111">
        <v>4.5600000000000003E-4</v>
      </c>
      <c r="E334" s="112"/>
      <c r="F334" s="113" t="e">
        <f>IF(C327&lt;=A334," ",IF(C327&lt;C334,(C327-C333)*D334,(C334-A334)*D334))</f>
        <v>#REF!</v>
      </c>
      <c r="G334" s="11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</row>
    <row r="335" spans="1:23" ht="15" hidden="1">
      <c r="A335" s="110">
        <v>10075000</v>
      </c>
      <c r="B335" s="111"/>
      <c r="C335" s="111">
        <f>$C$97</f>
        <v>0</v>
      </c>
      <c r="D335" s="111">
        <v>4.5600000000000003E-4</v>
      </c>
      <c r="E335" s="112" t="str">
        <f>IF(C127&lt;=A335,"E90",IF(C127&lt;C335,(C127-C334)*D335,(C335-A335)*D335))</f>
        <v>E90</v>
      </c>
      <c r="F335" s="113"/>
      <c r="G335" s="11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</row>
    <row r="336" spans="1:23" ht="15" hidden="1">
      <c r="A336" s="110"/>
      <c r="B336" s="111"/>
      <c r="C336" s="111"/>
      <c r="D336" s="111"/>
      <c r="E336" s="112"/>
      <c r="F336" s="113"/>
      <c r="G336" s="11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</row>
    <row r="337" spans="1:23" ht="15" hidden="1">
      <c r="A337" s="110" t="s">
        <v>12</v>
      </c>
      <c r="B337" s="111"/>
      <c r="C337" s="111"/>
      <c r="D337" s="111"/>
      <c r="E337" s="112" t="e">
        <f>SUM(F328:F335)</f>
        <v>#REF!</v>
      </c>
      <c r="F337" s="113"/>
      <c r="G337" s="11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spans="1:23" hidden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</row>
    <row r="339" spans="1:23" hidden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</row>
    <row r="340" spans="1:23" hidden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</row>
    <row r="341" spans="1:23" hidden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</row>
    <row r="342" spans="1:23" hidden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</row>
    <row r="343" spans="1:23" hidden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</row>
    <row r="344" spans="1:23" hidden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</row>
    <row r="345" spans="1:23" hidden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</row>
    <row r="346" spans="1:23" hidden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</row>
    <row r="347" spans="1:23" hidden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</row>
    <row r="348" spans="1:23" hidden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</row>
    <row r="349" spans="1:23" hidden="1">
      <c r="A349" s="6"/>
      <c r="B349" s="6"/>
      <c r="C349" s="6"/>
      <c r="D349" s="6"/>
      <c r="E349" s="6"/>
      <c r="F349" s="6"/>
      <c r="G349" s="6"/>
    </row>
    <row r="350" spans="1:23" hidden="1"/>
    <row r="351" spans="1:23" hidden="1"/>
    <row r="352" spans="1:23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</sheetData>
  <sheetProtection algorithmName="SHA-512" hashValue="/BK/+Cax+eWo0ZWQAo8XahwVNCWJvEz39LLfr6U48TUq6G6wN6rxrKsg+B4lX+a2T7ZVxpXR75gzS5pdLo/ABw==" saltValue="i6oIZDLs0R+QLgu701IpNw==" spinCount="100000" sheet="1" objects="1" scenarios="1"/>
  <phoneticPr fontId="0" type="noConversion"/>
  <dataValidations count="4">
    <dataValidation type="list" allowBlank="1" showInputMessage="1" showErrorMessage="1" sqref="B14">
      <formula1>$G$237:$G$238</formula1>
    </dataValidation>
    <dataValidation type="list" allowBlank="1" showInputMessage="1" showErrorMessage="1" sqref="B15">
      <formula1>$H$237:$H$238</formula1>
    </dataValidation>
    <dataValidation type="list" allowBlank="1" showInputMessage="1" showErrorMessage="1" sqref="B7">
      <formula1>$K$237:$K$238</formula1>
    </dataValidation>
    <dataValidation type="list" allowBlank="1" showInputMessage="1" showErrorMessage="1" sqref="B12">
      <formula1>$F$237:$F$238</formula1>
    </dataValidation>
  </dataValidations>
  <hyperlinks>
    <hyperlink ref="D101" r:id="rId1"/>
    <hyperlink ref="D103" r:id="rId2"/>
    <hyperlink ref="C103" r:id="rId3"/>
    <hyperlink ref="C105" r:id="rId4"/>
    <hyperlink ref="C101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VBIFTVABREYNETHMH</vt:lpstr>
      <vt:lpstr>VBIFTVABREYNETHMH!_1._Zegels_Minuut_Brevet</vt:lpstr>
      <vt:lpstr>VBIFTVABREYNETHMH!_2._Registratie_Minuut_Brevet</vt:lpstr>
      <vt:lpstr>VBIFTVABREYNETHMH!_3._Registratie_aanhangsel</vt:lpstr>
      <vt:lpstr>VBIFTVABREYNETHMH!Aard</vt:lpstr>
      <vt:lpstr>VBIFTVABREYNETHMH!Afdrukbereik</vt:lpstr>
      <vt:lpstr>VBIFTVABREYNETHMH!Datum</vt:lpstr>
      <vt:lpstr>VBIFTVABREYNETHMH!KOSTENFICHE</vt:lpstr>
      <vt:lpstr>VBIFTVABREYNETHMH!Rep.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2014-11-23T22:29:24Z</dcterms:modified>
</cp:coreProperties>
</file>