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TVABREYNETHMH" sheetId="1" r:id="rId1"/>
  </sheets>
  <definedNames>
    <definedName name="_1._Zegels_Minuut_Brevet" localSheetId="0">VBIWTVABREYNETHMH!$A$19:$F$19</definedName>
    <definedName name="_1._Zegels_Minuut_Brevet">#REF!</definedName>
    <definedName name="_10._Tweede_getuigschrift" localSheetId="0">VBIWTVABREYNETHMH!#REF!</definedName>
    <definedName name="_10._Tweede_getuigschrift">#REF!</definedName>
    <definedName name="_11._Kadaster_uittreksel" localSheetId="0">VBIWTVABREYNETHMH!#REF!</definedName>
    <definedName name="_11._Kadaster_uittreksel">#REF!</definedName>
    <definedName name="_12._Getuigen" localSheetId="0">VBIWTVABREYNETHMH!#REF!</definedName>
    <definedName name="_12._Getuigen">#REF!</definedName>
    <definedName name="_13._Allerlei_uitgaven" localSheetId="0">VBIWTVABREYNETHMH!#REF!</definedName>
    <definedName name="_13._Allerlei_uitgaven">#REF!</definedName>
    <definedName name="_14." localSheetId="0">VBIWTVABREYNETHMH!#REF!</definedName>
    <definedName name="_14.">#REF!</definedName>
    <definedName name="_15." localSheetId="0">VBIWTVABREYNETHMH!#REF!</definedName>
    <definedName name="_15.">#REF!</definedName>
    <definedName name="_2._Registratie_Minuut_Brevet" localSheetId="0">VBIWTVABREYNETHMH!$B$22:$G$22</definedName>
    <definedName name="_2._Registratie_Minuut_Brevet">#REF!</definedName>
    <definedName name="_3._Registratie_aanhangsel" localSheetId="0">VBIWTVABREYNETHMH!$E$23:$G$23</definedName>
    <definedName name="_3._Registratie_aanhangsel">#REF!</definedName>
    <definedName name="_4.Zegels_afschrift_grosse" localSheetId="0">VBIWTVABREYNETHMH!#REF!</definedName>
    <definedName name="_4.Zegels_afschrift_grosse">#REF!</definedName>
    <definedName name="_5._Hypotheek__inschr._overschr._doorh." localSheetId="0">VBIWTVABREYNETHMH!#REF!</definedName>
    <definedName name="_5._Hypotheek__inschr._overschr._doorh.">#REF!</definedName>
    <definedName name="_6._Loon_pandbewaarder" localSheetId="0">VBIWTVABREYNETHMH!#REF!</definedName>
    <definedName name="_6._Loon_pandbewaarder">#REF!</definedName>
    <definedName name="_7._Zegels__bord._aanh." localSheetId="0">VBIWTVABREYNETHMH!#REF!</definedName>
    <definedName name="_7._Zegels__bord._aanh.">#REF!</definedName>
    <definedName name="_8._Opzoekingen" localSheetId="0">VBIWTVABREYNETHMH!#REF!</definedName>
    <definedName name="_8._Opzoekingen">#REF!</definedName>
    <definedName name="_9._Hypothecair_getuigschrift" localSheetId="0">VBIWTVABREYNETHMH!#REF!</definedName>
    <definedName name="_9._Hypothecair_getuigschrift">#REF!</definedName>
    <definedName name="Aard" localSheetId="0">VBIWTVABREYNETHMH!$B$4:$F$4</definedName>
    <definedName name="Aard">#REF!</definedName>
    <definedName name="_xlnm.Print_Area" localSheetId="0">VBIWTVABREYNETHMH!$A$1:$E$93</definedName>
    <definedName name="Datum" localSheetId="0">VBIWTVABREYNETHMH!$B$4:$G$36</definedName>
    <definedName name="Datum">#REF!</definedName>
    <definedName name="gemeentelijke_info">#REF!</definedName>
    <definedName name="Kantoor_van_Notaris_J._SIMONART_te_Leuven" localSheetId="0">VBIWTVABREYNETHMH!#REF!</definedName>
    <definedName name="Kantoor_van_Notaris_J._SIMONART_te_Leuven">#REF!</definedName>
    <definedName name="KOSTENFICHE" localSheetId="0">VBIWTVABREYNETHMH!$A$1:$G$36</definedName>
    <definedName name="KOSTENFICHE">#REF!</definedName>
    <definedName name="Last_Row">IF(Values_Entered,Header_Row+Number_of_Payments,Header_Row)</definedName>
    <definedName name="Naam" localSheetId="0">VBIWTVABREYNETHMH!#REF!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VBIWTVABREYNETHMH!$F$4:$F$38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VBIWTVABREYNETHMH!#REF!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VBIWTVABREYNETHMH!$A$3:$G$36</definedName>
  </definedNames>
  <calcPr calcId="152511"/>
</workbook>
</file>

<file path=xl/calcChain.xml><?xml version="1.0" encoding="utf-8"?>
<calcChain xmlns="http://schemas.openxmlformats.org/spreadsheetml/2006/main">
  <c r="B10" i="1" l="1"/>
  <c r="F272" i="1" s="1"/>
  <c r="D21" i="1"/>
  <c r="D23" i="1"/>
  <c r="E36" i="1"/>
  <c r="C44" i="1"/>
  <c r="C180" i="1" s="1"/>
  <c r="C48" i="1"/>
  <c r="B55" i="1"/>
  <c r="D320" i="1" s="1"/>
  <c r="B56" i="1"/>
  <c r="C60" i="1"/>
  <c r="C61" i="1"/>
  <c r="C64" i="1"/>
  <c r="B77" i="1"/>
  <c r="D109" i="1" s="1"/>
  <c r="H100" i="1"/>
  <c r="I100" i="1"/>
  <c r="J100" i="1"/>
  <c r="B106" i="1"/>
  <c r="C131" i="1"/>
  <c r="D131" i="1"/>
  <c r="C168" i="1"/>
  <c r="F171" i="1" s="1"/>
  <c r="C175" i="1"/>
  <c r="C187" i="1"/>
  <c r="C193" i="1"/>
  <c r="F199" i="1" s="1"/>
  <c r="F196" i="1"/>
  <c r="F194" i="1"/>
  <c r="C200" i="1"/>
  <c r="E201" i="1"/>
  <c r="C213" i="1"/>
  <c r="C231" i="1"/>
  <c r="C232" i="1"/>
  <c r="E332" i="1" s="1"/>
  <c r="C233" i="1"/>
  <c r="F234" i="1" s="1"/>
  <c r="D233" i="1"/>
  <c r="F233" i="1"/>
  <c r="C234" i="1"/>
  <c r="D234" i="1"/>
  <c r="F235" i="1"/>
  <c r="F236" i="1"/>
  <c r="F237" i="1"/>
  <c r="F238" i="1"/>
  <c r="B291" i="1"/>
  <c r="C291" i="1"/>
  <c r="B292" i="1"/>
  <c r="C292" i="1"/>
  <c r="F312" i="1"/>
  <c r="F325" i="1"/>
  <c r="F326" i="1"/>
  <c r="F327" i="1"/>
  <c r="F328" i="1"/>
  <c r="F329" i="1"/>
  <c r="F330" i="1"/>
  <c r="C331" i="1"/>
  <c r="F331" i="1"/>
  <c r="G341" i="1"/>
  <c r="C343" i="1"/>
  <c r="D343" i="1"/>
  <c r="C346" i="1"/>
  <c r="C352" i="1"/>
  <c r="F354" i="1" s="1"/>
  <c r="C360" i="1"/>
  <c r="E360" i="1"/>
  <c r="D112" i="1"/>
  <c r="F200" i="1"/>
  <c r="F197" i="1"/>
  <c r="F195" i="1"/>
  <c r="D143" i="1"/>
  <c r="D144" i="1" s="1"/>
  <c r="D145" i="1" s="1"/>
  <c r="D146" i="1" s="1"/>
  <c r="F314" i="1"/>
  <c r="C314" i="1"/>
  <c r="F198" i="1" l="1"/>
  <c r="E203" i="1" s="1"/>
  <c r="G127" i="1"/>
  <c r="G129" i="1" s="1"/>
  <c r="G131" i="1" s="1"/>
  <c r="C53" i="1" s="1"/>
  <c r="F186" i="1"/>
  <c r="C188" i="1"/>
  <c r="F183" i="1"/>
  <c r="F185" i="1"/>
  <c r="F187" i="1"/>
  <c r="E188" i="1"/>
  <c r="F182" i="1"/>
  <c r="F181" i="1"/>
  <c r="F184" i="1"/>
  <c r="F240" i="1"/>
  <c r="D20" i="1" s="1"/>
  <c r="E26" i="1" s="1"/>
  <c r="F309" i="1"/>
  <c r="F271" i="1"/>
  <c r="C206" i="1"/>
  <c r="H102" i="1"/>
  <c r="C84" i="1" s="1"/>
  <c r="F308" i="1"/>
  <c r="F313" i="1"/>
  <c r="D113" i="1"/>
  <c r="C201" i="1"/>
  <c r="B57" i="1"/>
  <c r="F273" i="1"/>
  <c r="D110" i="1"/>
  <c r="C62" i="1"/>
  <c r="E38" i="1"/>
  <c r="C58" i="1"/>
  <c r="F276" i="1"/>
  <c r="F311" i="1"/>
  <c r="D114" i="1"/>
  <c r="F275" i="1"/>
  <c r="D108" i="1"/>
  <c r="F310" i="1"/>
  <c r="F274" i="1"/>
  <c r="D111" i="1"/>
  <c r="E334" i="1"/>
  <c r="F270" i="1"/>
  <c r="C86" i="1"/>
  <c r="F87" i="1" s="1"/>
  <c r="F173" i="1"/>
  <c r="F172" i="1"/>
  <c r="E176" i="1"/>
  <c r="C176" i="1"/>
  <c r="F353" i="1"/>
  <c r="F175" i="1"/>
  <c r="F174" i="1"/>
  <c r="F357" i="1"/>
  <c r="F355" i="1"/>
  <c r="F170" i="1"/>
  <c r="F358" i="1"/>
  <c r="F359" i="1"/>
  <c r="F356" i="1"/>
  <c r="F169" i="1"/>
  <c r="I116" i="1" l="1"/>
  <c r="I117" i="1" s="1"/>
  <c r="F81" i="1" s="1"/>
  <c r="F86" i="1" s="1"/>
  <c r="F88" i="1" s="1"/>
  <c r="F90" i="1"/>
  <c r="A347" i="1"/>
  <c r="E190" i="1"/>
  <c r="F316" i="1"/>
  <c r="E19" i="1" s="1"/>
  <c r="E178" i="1"/>
  <c r="F52" i="1" s="1"/>
  <c r="F66" i="1" s="1"/>
  <c r="A135" i="1"/>
  <c r="C66" i="1" s="1"/>
  <c r="F67" i="1" s="1"/>
  <c r="F211" i="1"/>
  <c r="F212" i="1"/>
  <c r="F213" i="1"/>
  <c r="F207" i="1"/>
  <c r="C214" i="1"/>
  <c r="F210" i="1"/>
  <c r="E214" i="1"/>
  <c r="F208" i="1"/>
  <c r="F209" i="1"/>
  <c r="F278" i="1"/>
  <c r="E362" i="1"/>
  <c r="F68" i="1" l="1"/>
  <c r="E216" i="1"/>
  <c r="F53" i="1"/>
  <c r="F70" i="1" s="1"/>
  <c r="F72" i="1" s="1"/>
  <c r="E27" i="1"/>
  <c r="E29" i="1" s="1"/>
  <c r="F92" i="1"/>
</calcChain>
</file>

<file path=xl/comments1.xml><?xml version="1.0" encoding="utf-8"?>
<comments xmlns="http://schemas.openxmlformats.org/spreadsheetml/2006/main">
  <authors>
    <author>Jo Hermans</author>
    <author>licentie</author>
  </authors>
  <commentList>
    <comment ref="D22" authorId="0" shapeId="0">
      <text>
        <r>
          <rPr>
            <b/>
            <sz val="9"/>
            <color indexed="81"/>
            <rFont val="Tahoma"/>
            <family val="2"/>
          </rPr>
          <t>Le montant réel des droits d'enregistrement des annexes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4" authorId="1" shapeId="0">
      <text>
        <r>
          <rPr>
            <b/>
            <sz val="10"/>
            <color indexed="81"/>
            <rFont val="Tahoma"/>
            <family val="2"/>
          </rPr>
          <t>Le montant réel des droits d'enregistrement des annexes</t>
        </r>
      </text>
    </comment>
    <comment ref="C83" authorId="0" shapeId="0">
      <text>
        <r>
          <rPr>
            <b/>
            <sz val="9"/>
            <color indexed="81"/>
            <rFont val="Tahoma"/>
            <family val="2"/>
          </rPr>
          <t>Le montant réel des droits d'enregistrement des annexes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<sst xmlns="http://schemas.openxmlformats.org/spreadsheetml/2006/main" count="208" uniqueCount="126">
  <si>
    <t>Dossier</t>
  </si>
  <si>
    <t>Prijs</t>
  </si>
  <si>
    <t>------------------------------------------------------------------------------------------------</t>
  </si>
  <si>
    <t>Ereloon</t>
  </si>
  <si>
    <t>BTW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</si>
  <si>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</si>
  <si>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</si>
  <si>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</si>
  <si>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</si>
  <si>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</si>
  <si>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</si>
  <si>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</si>
  <si>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</si>
  <si>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</si>
  <si>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Arlon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</si>
  <si>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</si>
  <si>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</si>
  <si>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</si>
  <si>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</si>
  <si>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</si>
  <si>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</si>
  <si>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</si>
  <si>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</si>
  <si>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</si>
  <si>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</si>
  <si>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</si>
  <si>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</si>
  <si>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</si>
  <si>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</si>
  <si>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</si>
  <si>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</si>
  <si>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</si>
  <si>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</si>
  <si>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</si>
  <si>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</si>
  <si>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</si>
  <si>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</si>
  <si>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</si>
  <si>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</si>
  <si>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</si>
  <si>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</si>
  <si>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</si>
  <si>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Waterloo</t>
  </si>
  <si>
    <t>Wavre</t>
  </si>
  <si>
    <t>Donceel</t>
  </si>
  <si>
    <t>Genappe</t>
  </si>
  <si>
    <t>Perwez</t>
  </si>
  <si>
    <t>Profondeville</t>
  </si>
  <si>
    <t>Sainte-Ode</t>
  </si>
  <si>
    <t>Silly</t>
  </si>
  <si>
    <t>Client</t>
  </si>
  <si>
    <t>Valeur terrain</t>
  </si>
  <si>
    <t>Constructions</t>
  </si>
  <si>
    <t>Même propriétaire?</t>
  </si>
  <si>
    <t>Prix des constructions finies à l'acte</t>
  </si>
  <si>
    <t>Charges:</t>
  </si>
  <si>
    <t>Base pour honoraires</t>
  </si>
  <si>
    <t>Acompte payé</t>
  </si>
  <si>
    <t>Réduction art. 53?</t>
  </si>
  <si>
    <t>Zone de pression immobilière?</t>
  </si>
  <si>
    <t xml:space="preserve">Crédit Soc. Wall. ou Fam. Nombr.? </t>
  </si>
  <si>
    <t>Crédit social pour au moins 50%?</t>
  </si>
  <si>
    <t>oui</t>
  </si>
  <si>
    <t>non</t>
  </si>
  <si>
    <t>Frais à charge de l'acquéreur</t>
  </si>
  <si>
    <t>Honoraire</t>
  </si>
  <si>
    <t>Enregistrement</t>
  </si>
  <si>
    <t>TVA</t>
  </si>
  <si>
    <t>Enregistrement annexe(s)</t>
  </si>
  <si>
    <t>Transcription (rôles)</t>
  </si>
  <si>
    <t>Frais divers</t>
  </si>
  <si>
    <t>Quote-part acte de base ou acte de lotissement</t>
  </si>
  <si>
    <t>Total frais acquéreur:</t>
  </si>
  <si>
    <t>Frais à charge du vendeur</t>
  </si>
  <si>
    <t>Commission agence immobilière</t>
  </si>
  <si>
    <t>Mesurage</t>
  </si>
  <si>
    <t>Total frais vendeur</t>
  </si>
  <si>
    <t>Total général vendeur:</t>
  </si>
  <si>
    <t>Total général acquéreur:</t>
  </si>
  <si>
    <t>ouilhay</t>
  </si>
  <si>
    <t>Orp-ouiuche</t>
  </si>
  <si>
    <t>P.A.</t>
  </si>
  <si>
    <t>Basis</t>
  </si>
  <si>
    <t>Tarief</t>
  </si>
  <si>
    <t>Ereloon G</t>
  </si>
  <si>
    <t>Lening</t>
  </si>
  <si>
    <t>Hypothecaire volmacht</t>
  </si>
  <si>
    <t>Principal</t>
  </si>
  <si>
    <t>Accessoires</t>
  </si>
  <si>
    <t>Base</t>
  </si>
  <si>
    <t>Droits d'enregistrement</t>
  </si>
  <si>
    <t>(TVA)</t>
  </si>
  <si>
    <t>Droits d'enregistrement des annexes</t>
  </si>
  <si>
    <t>Droits d'écriture</t>
  </si>
  <si>
    <t>Total frais</t>
  </si>
  <si>
    <t>Total</t>
  </si>
  <si>
    <t>Ensemble</t>
  </si>
  <si>
    <t>Total:</t>
  </si>
  <si>
    <t>MANDAT HYPOTHECAIRE ACQUEREUR</t>
  </si>
  <si>
    <t>Combien de bureaux d'hypothèques?</t>
  </si>
  <si>
    <t>Honoraires</t>
  </si>
  <si>
    <t>Frais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</si>
  <si>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</si>
  <si>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</si>
  <si>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</si>
  <si>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</si>
  <si>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</si>
  <si>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</si>
  <si>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</si>
  <si>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VENTE BIEN IMMOBILIER AVEC TVA - WALLONIE + TRANSFERT D'HYPOTHEQUE + MANDAT HYPOTHECAIRE</t>
  </si>
  <si>
    <t>TRANSFERT D'HYPOTHÈQUE</t>
  </si>
  <si>
    <t>ancienne inscription</t>
  </si>
  <si>
    <t>Nouvelle inscription</t>
  </si>
  <si>
    <t>Quantième acte? 1 ou 2</t>
  </si>
  <si>
    <t>droits d'enregistrement acte</t>
  </si>
  <si>
    <t>droits d'enregistrement annexes</t>
  </si>
  <si>
    <t xml:space="preserve">           honor. hypoth. inscription</t>
  </si>
  <si>
    <t xml:space="preserve">           honor. hypoth. mainlevée</t>
  </si>
  <si>
    <t xml:space="preserve">           droits d'inscription</t>
  </si>
  <si>
    <t>provision frais hypothécaires</t>
  </si>
  <si>
    <t>droits d'écriture</t>
  </si>
  <si>
    <t>frais divers</t>
  </si>
  <si>
    <t>renseignements urbanistiques</t>
  </si>
  <si>
    <t>plus TVA</t>
  </si>
  <si>
    <t>Loon hypotheekbewaarder doorhaling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</si>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</sst>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_-* #,##0.00\ [$EUR]_-;\-* #,##0.00\ [$EUR]_-;_-* &quot;-&quot;??\ [$EUR]_-;_-@_-"/>
    <numFmt numFmtId="168" formatCode="#,##0.00\ [$EUR]"/>
    <numFmt numFmtId="169" formatCode="#,##0&quot; BF&quot;;\-#,##0&quot; BF&quot;"/>
    <numFmt numFmtId="170" formatCode="0.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  <numFmt numFmtId="179" formatCode="#,##0.00\ &quot;€&quot;"/>
    <numFmt numFmtId="180" formatCode="#,##0.00_ ;\-#,##0.00\ "/>
    <numFmt numFmtId="181" formatCode="#,##0&quot; Fr&quot;;\-#,##0&quot; Fr&quot;"/>
    <numFmt numFmtId="182" formatCode="0.0000%"/>
  </numFmts>
  <fonts count="24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2"/>
      <name val="Times New Roman"/>
      <family val="1"/>
    </font>
    <font>
      <u/>
      <sz val="10"/>
      <name val="Arial"/>
      <family val="2"/>
    </font>
    <font>
      <b/>
      <sz val="10"/>
      <color indexed="81"/>
      <name val="Tahoma"/>
      <family val="2"/>
    </font>
    <font>
      <sz val="9"/>
      <color indexed="9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1"/>
        <bgColor indexed="2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20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1" fontId="8" fillId="0" borderId="0">
      <protection locked="0"/>
    </xf>
    <xf numFmtId="172" fontId="1" fillId="0" borderId="0" applyFont="0" applyFill="0" applyBorder="0" applyAlignment="0" applyProtection="0"/>
    <xf numFmtId="173" fontId="8" fillId="0" borderId="0">
      <protection locked="0"/>
    </xf>
    <xf numFmtId="174" fontId="1" fillId="0" borderId="0" applyFont="0" applyFill="0" applyBorder="0" applyAlignment="0" applyProtection="0"/>
    <xf numFmtId="175" fontId="8" fillId="0" borderId="0">
      <protection locked="0"/>
    </xf>
    <xf numFmtId="176" fontId="8" fillId="0" borderId="0">
      <protection locked="0"/>
    </xf>
    <xf numFmtId="177" fontId="9" fillId="0" borderId="0">
      <protection locked="0"/>
    </xf>
    <xf numFmtId="177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8" fontId="8" fillId="0" borderId="0">
      <protection locked="0"/>
    </xf>
    <xf numFmtId="0" fontId="10" fillId="0" borderId="0"/>
    <xf numFmtId="0" fontId="20" fillId="0" borderId="0"/>
    <xf numFmtId="0" fontId="1" fillId="0" borderId="0"/>
    <xf numFmtId="0" fontId="20" fillId="0" borderId="0"/>
    <xf numFmtId="177" fontId="8" fillId="0" borderId="1">
      <protection locked="0"/>
    </xf>
    <xf numFmtId="0" fontId="21" fillId="0" borderId="30" applyNumberFormat="0" applyFill="0" applyAlignment="0" applyProtection="0"/>
  </cellStyleXfs>
  <cellXfs count="233">
    <xf numFmtId="0" fontId="0" fillId="0" borderId="0" xfId="0"/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7" fontId="1" fillId="2" borderId="0" xfId="13" applyNumberFormat="1" applyFill="1" applyBorder="1" applyAlignment="1" applyProtection="1">
      <protection hidden="1"/>
    </xf>
    <xf numFmtId="166" fontId="1" fillId="2" borderId="2" xfId="13" applyNumberFormat="1" applyFon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2" fillId="2" borderId="3" xfId="13" applyFont="1" applyFill="1" applyBorder="1" applyAlignment="1" applyProtection="1">
      <alignment horizontal="left"/>
      <protection hidden="1"/>
    </xf>
    <xf numFmtId="167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7" fontId="1" fillId="2" borderId="0" xfId="13" applyNumberFormat="1" applyFill="1" applyBorder="1" applyProtection="1"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7" fontId="1" fillId="2" borderId="0" xfId="13" applyNumberFormat="1" applyFill="1" applyProtection="1">
      <protection hidden="1"/>
    </xf>
    <xf numFmtId="0" fontId="1" fillId="2" borderId="4" xfId="13" applyFill="1" applyBorder="1" applyAlignment="1" applyProtection="1">
      <alignment horizontal="left"/>
      <protection hidden="1"/>
    </xf>
    <xf numFmtId="0" fontId="1" fillId="2" borderId="5" xfId="13" applyFill="1" applyBorder="1" applyAlignment="1" applyProtection="1">
      <alignment horizontal="left"/>
      <protection hidden="1"/>
    </xf>
    <xf numFmtId="166" fontId="1" fillId="2" borderId="3" xfId="13" applyNumberFormat="1" applyFill="1" applyBorder="1" applyAlignment="1" applyProtection="1"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7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6" xfId="13" applyNumberFormat="1" applyFont="1" applyFill="1" applyBorder="1" applyProtection="1">
      <protection hidden="1"/>
    </xf>
    <xf numFmtId="169" fontId="5" fillId="2" borderId="7" xfId="13" applyNumberFormat="1" applyFont="1" applyFill="1" applyBorder="1" applyAlignment="1" applyProtection="1">
      <alignment horizontal="center"/>
      <protection hidden="1"/>
    </xf>
    <xf numFmtId="0" fontId="5" fillId="2" borderId="7" xfId="13" applyFont="1" applyFill="1" applyBorder="1" applyAlignment="1" applyProtection="1">
      <alignment horizontal="center"/>
      <protection hidden="1"/>
    </xf>
    <xf numFmtId="0" fontId="5" fillId="2" borderId="8" xfId="13" applyFont="1" applyFill="1" applyBorder="1" applyAlignment="1" applyProtection="1">
      <alignment horizontal="center"/>
      <protection hidden="1"/>
    </xf>
    <xf numFmtId="168" fontId="6" fillId="2" borderId="7" xfId="13" applyNumberFormat="1" applyFont="1" applyFill="1" applyBorder="1" applyProtection="1">
      <protection hidden="1"/>
    </xf>
    <xf numFmtId="169" fontId="6" fillId="2" borderId="7" xfId="13" applyNumberFormat="1" applyFont="1" applyFill="1" applyBorder="1" applyProtection="1">
      <protection hidden="1"/>
    </xf>
    <xf numFmtId="170" fontId="6" fillId="2" borderId="7" xfId="13" applyNumberFormat="1" applyFont="1" applyFill="1" applyBorder="1" applyProtection="1">
      <protection hidden="1"/>
    </xf>
    <xf numFmtId="170" fontId="6" fillId="2" borderId="8" xfId="13" applyNumberFormat="1" applyFont="1" applyFill="1" applyBorder="1" applyProtection="1">
      <protection hidden="1"/>
    </xf>
    <xf numFmtId="0" fontId="6" fillId="2" borderId="9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10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9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10" xfId="13" applyFont="1" applyFill="1" applyBorder="1" applyProtection="1">
      <protection hidden="1"/>
    </xf>
    <xf numFmtId="168" fontId="5" fillId="2" borderId="7" xfId="13" applyNumberFormat="1" applyFont="1" applyFill="1" applyBorder="1" applyProtection="1">
      <protection hidden="1"/>
    </xf>
    <xf numFmtId="0" fontId="14" fillId="3" borderId="11" xfId="13" applyFont="1" applyFill="1" applyBorder="1" applyAlignment="1" applyProtection="1">
      <alignment horizontal="left"/>
      <protection hidden="1"/>
    </xf>
    <xf numFmtId="0" fontId="2" fillId="4" borderId="0" xfId="13" applyNumberFormat="1" applyFont="1" applyFill="1" applyBorder="1" applyAlignment="1" applyProtection="1">
      <alignment horizontal="left"/>
      <protection locked="0" hidden="1"/>
    </xf>
    <xf numFmtId="0" fontId="1" fillId="4" borderId="0" xfId="13" applyFont="1" applyFill="1" applyBorder="1" applyAlignment="1" applyProtection="1">
      <alignment horizontal="left"/>
      <protection locked="0" hidden="1"/>
    </xf>
    <xf numFmtId="0" fontId="1" fillId="4" borderId="0" xfId="13" applyFill="1" applyBorder="1" applyAlignment="1" applyProtection="1">
      <alignment horizontal="center"/>
      <protection locked="0" hidden="1"/>
    </xf>
    <xf numFmtId="0" fontId="1" fillId="5" borderId="12" xfId="13" applyFont="1" applyFill="1" applyBorder="1" applyProtection="1">
      <protection hidden="1"/>
    </xf>
    <xf numFmtId="0" fontId="1" fillId="6" borderId="12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0" fontId="0" fillId="2" borderId="0" xfId="0" applyFill="1" applyProtection="1">
      <protection hidden="1"/>
    </xf>
    <xf numFmtId="3" fontId="1" fillId="2" borderId="0" xfId="0" applyNumberFormat="1" applyFont="1" applyFill="1" applyProtection="1">
      <protection hidden="1"/>
    </xf>
    <xf numFmtId="0" fontId="15" fillId="2" borderId="0" xfId="0" applyFont="1" applyFill="1" applyProtection="1">
      <protection hidden="1"/>
    </xf>
    <xf numFmtId="180" fontId="0" fillId="2" borderId="0" xfId="0" applyNumberFormat="1" applyFill="1" applyBorder="1" applyAlignment="1" applyProtection="1">
      <alignment horizontal="right"/>
      <protection hidden="1"/>
    </xf>
    <xf numFmtId="4" fontId="1" fillId="2" borderId="0" xfId="0" applyNumberFormat="1" applyFont="1" applyFill="1" applyProtection="1">
      <protection hidden="1"/>
    </xf>
    <xf numFmtId="167" fontId="0" fillId="2" borderId="0" xfId="0" applyNumberFormat="1" applyFill="1" applyBorder="1" applyAlignment="1" applyProtection="1">
      <alignment horizontal="left"/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169" fontId="5" fillId="2" borderId="7" xfId="0" applyNumberFormat="1" applyFont="1" applyFill="1" applyBorder="1" applyAlignment="1" applyProtection="1">
      <alignment horizontal="center"/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168" fontId="6" fillId="2" borderId="7" xfId="0" applyNumberFormat="1" applyFont="1" applyFill="1" applyBorder="1" applyProtection="1">
      <protection hidden="1"/>
    </xf>
    <xf numFmtId="169" fontId="6" fillId="2" borderId="7" xfId="0" applyNumberFormat="1" applyFont="1" applyFill="1" applyBorder="1" applyProtection="1">
      <protection hidden="1"/>
    </xf>
    <xf numFmtId="170" fontId="6" fillId="2" borderId="7" xfId="0" applyNumberFormat="1" applyFont="1" applyFill="1" applyBorder="1" applyProtection="1">
      <protection hidden="1"/>
    </xf>
    <xf numFmtId="170" fontId="6" fillId="2" borderId="8" xfId="0" applyNumberFormat="1" applyFont="1" applyFill="1" applyBorder="1" applyProtection="1">
      <protection hidden="1"/>
    </xf>
    <xf numFmtId="0" fontId="6" fillId="2" borderId="9" xfId="0" applyFont="1" applyFill="1" applyBorder="1" applyProtection="1">
      <protection hidden="1"/>
    </xf>
    <xf numFmtId="0" fontId="6" fillId="2" borderId="0" xfId="0" applyFont="1" applyFill="1" applyBorder="1" applyProtection="1">
      <protection hidden="1"/>
    </xf>
    <xf numFmtId="0" fontId="7" fillId="2" borderId="10" xfId="0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169" fontId="5" fillId="2" borderId="0" xfId="0" applyNumberFormat="1" applyFont="1" applyFill="1" applyBorder="1" applyAlignment="1" applyProtection="1">
      <alignment horizontal="center"/>
      <protection hidden="1"/>
    </xf>
    <xf numFmtId="0" fontId="6" fillId="2" borderId="10" xfId="0" applyFont="1" applyFill="1" applyBorder="1" applyProtection="1">
      <protection hidden="1"/>
    </xf>
    <xf numFmtId="168" fontId="5" fillId="2" borderId="7" xfId="0" applyNumberFormat="1" applyFont="1" applyFill="1" applyBorder="1" applyProtection="1">
      <protection hidden="1"/>
    </xf>
    <xf numFmtId="4" fontId="1" fillId="7" borderId="0" xfId="0" applyNumberFormat="1" applyFont="1" applyFill="1" applyProtection="1">
      <protection hidden="1"/>
    </xf>
    <xf numFmtId="0" fontId="0" fillId="7" borderId="0" xfId="0" applyFill="1" applyProtection="1">
      <protection hidden="1"/>
    </xf>
    <xf numFmtId="0" fontId="15" fillId="7" borderId="0" xfId="0" applyFont="1" applyFill="1" applyProtection="1">
      <protection hidden="1"/>
    </xf>
    <xf numFmtId="0" fontId="13" fillId="3" borderId="11" xfId="0" applyFont="1" applyFill="1" applyBorder="1" applyAlignment="1" applyProtection="1">
      <alignment horizontal="left"/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79" fontId="1" fillId="8" borderId="0" xfId="13" applyNumberFormat="1" applyFont="1" applyFill="1" applyBorder="1" applyAlignment="1" applyProtection="1">
      <alignment horizontal="right"/>
      <protection locked="0" hidden="1"/>
    </xf>
    <xf numFmtId="179" fontId="1" fillId="9" borderId="0" xfId="13" applyNumberFormat="1" applyFont="1" applyFill="1" applyBorder="1" applyAlignment="1" applyProtection="1">
      <alignment horizontal="center"/>
      <protection locked="0" hidden="1"/>
    </xf>
    <xf numFmtId="179" fontId="1" fillId="5" borderId="0" xfId="13" applyNumberFormat="1" applyFill="1" applyBorder="1" applyAlignment="1" applyProtection="1">
      <protection locked="0" hidden="1"/>
    </xf>
    <xf numFmtId="179" fontId="1" fillId="10" borderId="0" xfId="13" applyNumberFormat="1" applyFill="1" applyBorder="1" applyAlignment="1" applyProtection="1">
      <protection locked="0" hidden="1"/>
    </xf>
    <xf numFmtId="179" fontId="1" fillId="11" borderId="0" xfId="13" applyNumberFormat="1" applyFont="1" applyFill="1" applyBorder="1" applyAlignment="1" applyProtection="1">
      <alignment horizontal="right"/>
      <protection hidden="1"/>
    </xf>
    <xf numFmtId="0" fontId="0" fillId="12" borderId="0" xfId="0" applyFill="1" applyBorder="1" applyAlignment="1" applyProtection="1">
      <alignment horizontal="center"/>
      <protection locked="0" hidden="1"/>
    </xf>
    <xf numFmtId="0" fontId="1" fillId="12" borderId="0" xfId="13" applyFont="1" applyFill="1" applyBorder="1" applyAlignment="1" applyProtection="1">
      <alignment horizontal="center"/>
      <protection locked="0" hidden="1"/>
    </xf>
    <xf numFmtId="0" fontId="2" fillId="13" borderId="13" xfId="0" applyFont="1" applyFill="1" applyBorder="1" applyAlignment="1" applyProtection="1">
      <alignment horizontal="left"/>
      <protection hidden="1"/>
    </xf>
    <xf numFmtId="166" fontId="1" fillId="11" borderId="12" xfId="0" applyNumberFormat="1" applyFont="1" applyFill="1" applyBorder="1" applyAlignment="1" applyProtection="1">
      <alignment horizontal="left"/>
      <protection hidden="1"/>
    </xf>
    <xf numFmtId="0" fontId="11" fillId="2" borderId="0" xfId="0" applyFont="1" applyFill="1" applyBorder="1" applyAlignment="1" applyProtection="1">
      <alignment horizontal="left"/>
      <protection hidden="1"/>
    </xf>
    <xf numFmtId="0" fontId="1" fillId="11" borderId="12" xfId="0" applyFont="1" applyFill="1" applyBorder="1" applyAlignment="1" applyProtection="1">
      <alignment horizontal="left"/>
      <protection hidden="1"/>
    </xf>
    <xf numFmtId="164" fontId="1" fillId="2" borderId="0" xfId="13" applyNumberFormat="1" applyFill="1" applyBorder="1" applyAlignment="1" applyProtection="1">
      <alignment horizontal="right"/>
      <protection hidden="1"/>
    </xf>
    <xf numFmtId="164" fontId="1" fillId="4" borderId="0" xfId="13" applyNumberFormat="1" applyFill="1" applyBorder="1" applyAlignment="1" applyProtection="1">
      <alignment horizontal="right"/>
      <protection locked="0" hidden="1"/>
    </xf>
    <xf numFmtId="164" fontId="1" fillId="4" borderId="0" xfId="13" applyNumberFormat="1" applyFill="1" applyBorder="1" applyAlignment="1" applyProtection="1">
      <alignment horizontal="right"/>
      <protection locked="0"/>
    </xf>
    <xf numFmtId="164" fontId="11" fillId="4" borderId="0" xfId="0" applyNumberFormat="1" applyFont="1" applyFill="1" applyBorder="1" applyAlignment="1" applyProtection="1">
      <alignment horizontal="right"/>
      <protection locked="0"/>
    </xf>
    <xf numFmtId="179" fontId="1" fillId="11" borderId="12" xfId="13" applyNumberFormat="1" applyFill="1" applyBorder="1" applyAlignment="1" applyProtection="1">
      <alignment horizontal="right"/>
      <protection hidden="1"/>
    </xf>
    <xf numFmtId="179" fontId="1" fillId="2" borderId="0" xfId="13" applyNumberFormat="1" applyFill="1" applyBorder="1" applyAlignment="1" applyProtection="1">
      <alignment horizontal="right"/>
      <protection hidden="1"/>
    </xf>
    <xf numFmtId="179" fontId="1" fillId="5" borderId="12" xfId="13" applyNumberFormat="1" applyFill="1" applyBorder="1" applyAlignment="1" applyProtection="1">
      <alignment horizontal="right"/>
      <protection hidden="1"/>
    </xf>
    <xf numFmtId="179" fontId="1" fillId="13" borderId="13" xfId="13" applyNumberFormat="1" applyFill="1" applyBorder="1" applyAlignment="1" applyProtection="1">
      <alignment horizontal="right"/>
      <protection hidden="1"/>
    </xf>
    <xf numFmtId="179" fontId="1" fillId="2" borderId="0" xfId="13" applyNumberFormat="1" applyFill="1" applyAlignment="1" applyProtection="1">
      <alignment horizontal="right"/>
      <protection hidden="1"/>
    </xf>
    <xf numFmtId="179" fontId="1" fillId="6" borderId="12" xfId="13" applyNumberFormat="1" applyFill="1" applyBorder="1" applyAlignment="1" applyProtection="1">
      <alignment horizontal="right"/>
      <protection hidden="1"/>
    </xf>
    <xf numFmtId="179" fontId="1" fillId="14" borderId="13" xfId="13" applyNumberFormat="1" applyFill="1" applyBorder="1" applyAlignment="1" applyProtection="1">
      <alignment horizontal="right"/>
      <protection hidden="1"/>
    </xf>
    <xf numFmtId="0" fontId="1" fillId="13" borderId="12" xfId="0" applyFont="1" applyFill="1" applyBorder="1" applyAlignment="1" applyProtection="1">
      <alignment horizontal="left"/>
      <protection hidden="1"/>
    </xf>
    <xf numFmtId="0" fontId="2" fillId="14" borderId="13" xfId="0" applyFont="1" applyFill="1" applyBorder="1" applyAlignment="1" applyProtection="1">
      <alignment horizontal="left"/>
      <protection hidden="1"/>
    </xf>
    <xf numFmtId="0" fontId="1" fillId="3" borderId="11" xfId="13" applyNumberFormat="1" applyFill="1" applyBorder="1" applyAlignment="1" applyProtection="1">
      <protection hidden="1"/>
    </xf>
    <xf numFmtId="166" fontId="1" fillId="3" borderId="11" xfId="13" applyNumberFormat="1" applyFill="1" applyBorder="1" applyAlignment="1" applyProtection="1">
      <protection hidden="1"/>
    </xf>
    <xf numFmtId="0" fontId="1" fillId="0" borderId="0" xfId="13" applyProtection="1">
      <protection hidden="1"/>
    </xf>
    <xf numFmtId="164" fontId="1" fillId="0" borderId="0" xfId="13" applyNumberFormat="1" applyProtection="1">
      <protection hidden="1"/>
    </xf>
    <xf numFmtId="170" fontId="6" fillId="15" borderId="0" xfId="13" applyNumberFormat="1" applyFont="1" applyFill="1" applyBorder="1" applyProtection="1">
      <protection hidden="1"/>
    </xf>
    <xf numFmtId="179" fontId="6" fillId="15" borderId="0" xfId="13" applyNumberFormat="1" applyFont="1" applyFill="1" applyBorder="1" applyProtection="1">
      <protection hidden="1"/>
    </xf>
    <xf numFmtId="167" fontId="1" fillId="0" borderId="0" xfId="13" applyNumberFormat="1" applyProtection="1">
      <protection hidden="1"/>
    </xf>
    <xf numFmtId="181" fontId="6" fillId="15" borderId="0" xfId="13" applyNumberFormat="1" applyFont="1" applyFill="1" applyBorder="1" applyProtection="1">
      <protection hidden="1"/>
    </xf>
    <xf numFmtId="0" fontId="1" fillId="7" borderId="0" xfId="13" applyFill="1" applyBorder="1" applyProtection="1">
      <protection hidden="1"/>
    </xf>
    <xf numFmtId="0" fontId="6" fillId="15" borderId="0" xfId="13" applyFont="1" applyFill="1" applyBorder="1" applyProtection="1">
      <protection hidden="1"/>
    </xf>
    <xf numFmtId="168" fontId="5" fillId="15" borderId="0" xfId="13" applyNumberFormat="1" applyFont="1" applyFill="1" applyBorder="1" applyProtection="1">
      <protection hidden="1"/>
    </xf>
    <xf numFmtId="3" fontId="1" fillId="7" borderId="0" xfId="0" applyNumberFormat="1" applyFont="1" applyFill="1" applyProtection="1">
      <protection hidden="1"/>
    </xf>
    <xf numFmtId="3" fontId="3" fillId="7" borderId="0" xfId="9" applyNumberFormat="1" applyFill="1" applyAlignment="1" applyProtection="1">
      <protection hidden="1"/>
    </xf>
    <xf numFmtId="167" fontId="1" fillId="7" borderId="0" xfId="0" applyNumberFormat="1" applyFont="1" applyFill="1" applyProtection="1">
      <protection hidden="1"/>
    </xf>
    <xf numFmtId="0" fontId="1" fillId="7" borderId="0" xfId="13" applyFill="1" applyProtection="1">
      <protection hidden="1"/>
    </xf>
    <xf numFmtId="179" fontId="1" fillId="10" borderId="0" xfId="13" applyNumberFormat="1" applyFill="1" applyBorder="1" applyAlignment="1" applyProtection="1">
      <alignment horizontal="right"/>
      <protection locked="0" hidden="1"/>
    </xf>
    <xf numFmtId="179" fontId="1" fillId="10" borderId="14" xfId="13" applyNumberFormat="1" applyFill="1" applyBorder="1" applyAlignment="1" applyProtection="1">
      <protection hidden="1"/>
    </xf>
    <xf numFmtId="179" fontId="1" fillId="10" borderId="0" xfId="13" applyNumberFormat="1" applyFill="1" applyBorder="1" applyAlignment="1" applyProtection="1">
      <alignment horizontal="right"/>
      <protection hidden="1"/>
    </xf>
    <xf numFmtId="179" fontId="1" fillId="12" borderId="14" xfId="13" applyNumberFormat="1" applyFill="1" applyBorder="1" applyAlignment="1" applyProtection="1">
      <protection hidden="1"/>
    </xf>
    <xf numFmtId="179" fontId="1" fillId="12" borderId="0" xfId="13" applyNumberFormat="1" applyFill="1" applyBorder="1" applyAlignment="1" applyProtection="1">
      <alignment horizontal="right"/>
      <protection hidden="1"/>
    </xf>
    <xf numFmtId="179" fontId="1" fillId="10" borderId="0" xfId="13" applyNumberFormat="1" applyFont="1" applyFill="1" applyBorder="1" applyAlignment="1" applyProtection="1">
      <alignment horizontal="right"/>
      <protection locked="0" hidden="1"/>
    </xf>
    <xf numFmtId="179" fontId="1" fillId="16" borderId="0" xfId="13" applyNumberFormat="1" applyFont="1" applyFill="1" applyBorder="1" applyAlignment="1" applyProtection="1">
      <alignment horizontal="right"/>
      <protection hidden="1"/>
    </xf>
    <xf numFmtId="179" fontId="1" fillId="16" borderId="14" xfId="13" applyNumberFormat="1" applyFill="1" applyBorder="1" applyAlignment="1" applyProtection="1">
      <protection hidden="1"/>
    </xf>
    <xf numFmtId="179" fontId="1" fillId="8" borderId="14" xfId="13" applyNumberFormat="1" applyFill="1" applyBorder="1" applyAlignment="1" applyProtection="1">
      <protection hidden="1"/>
    </xf>
    <xf numFmtId="0" fontId="2" fillId="4" borderId="0" xfId="0" applyFont="1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left"/>
      <protection hidden="1"/>
    </xf>
    <xf numFmtId="167" fontId="2" fillId="4" borderId="0" xfId="0" applyNumberFormat="1" applyFont="1" applyFill="1" applyBorder="1" applyAlignment="1" applyProtection="1">
      <protection hidden="1"/>
    </xf>
    <xf numFmtId="166" fontId="0" fillId="4" borderId="0" xfId="0" applyNumberFormat="1" applyFill="1" applyBorder="1" applyAlignment="1" applyProtection="1">
      <protection hidden="1"/>
    </xf>
    <xf numFmtId="167" fontId="0" fillId="4" borderId="0" xfId="0" applyNumberFormat="1" applyFill="1" applyBorder="1" applyAlignment="1" applyProtection="1">
      <protection hidden="1"/>
    </xf>
    <xf numFmtId="179" fontId="0" fillId="4" borderId="0" xfId="0" applyNumberFormat="1" applyFill="1" applyBorder="1" applyAlignment="1" applyProtection="1">
      <alignment horizontal="left"/>
      <protection hidden="1"/>
    </xf>
    <xf numFmtId="165" fontId="2" fillId="4" borderId="0" xfId="0" applyNumberFormat="1" applyFont="1" applyFill="1" applyBorder="1" applyAlignment="1" applyProtection="1">
      <alignment horizontal="left"/>
      <protection hidden="1"/>
    </xf>
    <xf numFmtId="0" fontId="1" fillId="4" borderId="0" xfId="13" applyFill="1" applyProtection="1">
      <protection hidden="1"/>
    </xf>
    <xf numFmtId="165" fontId="0" fillId="4" borderId="0" xfId="0" applyNumberFormat="1" applyFill="1" applyBorder="1" applyAlignment="1" applyProtection="1">
      <alignment horizontal="left"/>
      <protection hidden="1"/>
    </xf>
    <xf numFmtId="0" fontId="1" fillId="3" borderId="0" xfId="13" applyFill="1"/>
    <xf numFmtId="0" fontId="2" fillId="17" borderId="0" xfId="13" applyFont="1" applyFill="1" applyBorder="1" applyAlignment="1" applyProtection="1">
      <alignment horizontal="left"/>
      <protection hidden="1"/>
    </xf>
    <xf numFmtId="0" fontId="16" fillId="18" borderId="15" xfId="13" applyFont="1" applyFill="1" applyBorder="1" applyAlignment="1" applyProtection="1">
      <alignment horizontal="left"/>
      <protection hidden="1"/>
    </xf>
    <xf numFmtId="179" fontId="1" fillId="18" borderId="16" xfId="13" applyNumberFormat="1" applyFill="1" applyBorder="1" applyAlignment="1" applyProtection="1">
      <protection locked="0" hidden="1"/>
    </xf>
    <xf numFmtId="179" fontId="1" fillId="18" borderId="0" xfId="13" applyNumberFormat="1" applyFill="1" applyBorder="1" applyAlignment="1" applyProtection="1">
      <protection locked="0" hidden="1"/>
    </xf>
    <xf numFmtId="179" fontId="1" fillId="19" borderId="0" xfId="13" applyNumberFormat="1" applyFill="1" applyBorder="1" applyAlignment="1" applyProtection="1">
      <protection hidden="1"/>
    </xf>
    <xf numFmtId="0" fontId="16" fillId="4" borderId="17" xfId="13" applyFont="1" applyFill="1" applyBorder="1" applyAlignment="1" applyProtection="1">
      <alignment horizontal="left"/>
      <protection hidden="1"/>
    </xf>
    <xf numFmtId="179" fontId="1" fillId="4" borderId="0" xfId="13" applyNumberFormat="1" applyFill="1" applyBorder="1" applyAlignment="1" applyProtection="1">
      <protection locked="0" hidden="1"/>
    </xf>
    <xf numFmtId="179" fontId="1" fillId="6" borderId="0" xfId="13" applyNumberFormat="1" applyFill="1" applyBorder="1" applyAlignment="1" applyProtection="1">
      <protection hidden="1"/>
    </xf>
    <xf numFmtId="0" fontId="1" fillId="10" borderId="0" xfId="13" applyFill="1" applyBorder="1" applyAlignment="1" applyProtection="1">
      <alignment horizontal="center"/>
      <protection locked="0" hidden="1"/>
    </xf>
    <xf numFmtId="164" fontId="1" fillId="5" borderId="0" xfId="13" applyNumberFormat="1" applyFill="1" applyBorder="1" applyAlignment="1" applyProtection="1">
      <alignment horizontal="right"/>
      <protection hidden="1"/>
    </xf>
    <xf numFmtId="179" fontId="1" fillId="20" borderId="14" xfId="13" applyNumberFormat="1" applyFill="1" applyBorder="1" applyProtection="1">
      <protection hidden="1"/>
    </xf>
    <xf numFmtId="179" fontId="2" fillId="11" borderId="18" xfId="13" applyNumberFormat="1" applyFont="1" applyFill="1" applyBorder="1" applyProtection="1">
      <protection hidden="1"/>
    </xf>
    <xf numFmtId="0" fontId="18" fillId="21" borderId="19" xfId="13" applyFont="1" applyFill="1" applyBorder="1" applyAlignment="1" applyProtection="1">
      <alignment horizontal="left"/>
      <protection hidden="1"/>
    </xf>
    <xf numFmtId="0" fontId="18" fillId="21" borderId="20" xfId="13" applyFont="1" applyFill="1" applyBorder="1" applyAlignment="1" applyProtection="1">
      <alignment horizontal="right"/>
      <protection hidden="1"/>
    </xf>
    <xf numFmtId="0" fontId="18" fillId="21" borderId="21" xfId="13" applyFont="1" applyFill="1" applyBorder="1" applyAlignment="1" applyProtection="1">
      <alignment horizontal="right"/>
      <protection hidden="1"/>
    </xf>
    <xf numFmtId="0" fontId="1" fillId="7" borderId="22" xfId="13" applyFill="1" applyBorder="1" applyAlignment="1" applyProtection="1">
      <protection hidden="1"/>
    </xf>
    <xf numFmtId="0" fontId="1" fillId="7" borderId="0" xfId="13" applyFill="1" applyBorder="1" applyAlignment="1" applyProtection="1">
      <protection hidden="1"/>
    </xf>
    <xf numFmtId="0" fontId="1" fillId="7" borderId="23" xfId="13" applyFill="1" applyBorder="1" applyAlignment="1" applyProtection="1">
      <protection hidden="1"/>
    </xf>
    <xf numFmtId="0" fontId="1" fillId="7" borderId="24" xfId="13" applyFill="1" applyBorder="1" applyAlignment="1" applyProtection="1">
      <protection hidden="1"/>
    </xf>
    <xf numFmtId="0" fontId="1" fillId="7" borderId="25" xfId="13" applyFill="1" applyBorder="1" applyAlignment="1" applyProtection="1">
      <protection hidden="1"/>
    </xf>
    <xf numFmtId="0" fontId="1" fillId="7" borderId="26" xfId="13" applyFill="1" applyBorder="1" applyAlignment="1" applyProtection="1">
      <protection hidden="1"/>
    </xf>
    <xf numFmtId="167" fontId="1" fillId="7" borderId="0" xfId="13" applyNumberFormat="1" applyFill="1" applyProtection="1">
      <protection hidden="1"/>
    </xf>
    <xf numFmtId="179" fontId="1" fillId="7" borderId="0" xfId="13" applyNumberFormat="1" applyFill="1" applyProtection="1">
      <protection hidden="1"/>
    </xf>
    <xf numFmtId="166" fontId="1" fillId="7" borderId="0" xfId="13" applyNumberFormat="1" applyFill="1" applyProtection="1">
      <protection hidden="1"/>
    </xf>
    <xf numFmtId="0" fontId="5" fillId="15" borderId="7" xfId="13" applyFont="1" applyFill="1" applyBorder="1" applyAlignment="1" applyProtection="1">
      <alignment horizontal="left"/>
      <protection hidden="1"/>
    </xf>
    <xf numFmtId="181" fontId="6" fillId="15" borderId="7" xfId="13" applyNumberFormat="1" applyFont="1" applyFill="1" applyBorder="1" applyProtection="1">
      <protection hidden="1"/>
    </xf>
    <xf numFmtId="169" fontId="6" fillId="15" borderId="0" xfId="13" applyNumberFormat="1" applyFont="1" applyFill="1" applyProtection="1">
      <protection hidden="1"/>
    </xf>
    <xf numFmtId="0" fontId="6" fillId="15" borderId="0" xfId="13" applyFont="1" applyFill="1" applyProtection="1">
      <protection hidden="1"/>
    </xf>
    <xf numFmtId="168" fontId="6" fillId="15" borderId="7" xfId="13" applyNumberFormat="1" applyFont="1" applyFill="1" applyBorder="1" applyProtection="1">
      <protection hidden="1"/>
    </xf>
    <xf numFmtId="169" fontId="6" fillId="15" borderId="7" xfId="13" applyNumberFormat="1" applyFont="1" applyFill="1" applyBorder="1" applyProtection="1">
      <protection hidden="1"/>
    </xf>
    <xf numFmtId="170" fontId="6" fillId="15" borderId="7" xfId="13" applyNumberFormat="1" applyFont="1" applyFill="1" applyBorder="1" applyProtection="1">
      <protection hidden="1"/>
    </xf>
    <xf numFmtId="170" fontId="6" fillId="15" borderId="8" xfId="13" applyNumberFormat="1" applyFont="1" applyFill="1" applyBorder="1" applyProtection="1">
      <protection hidden="1"/>
    </xf>
    <xf numFmtId="182" fontId="6" fillId="15" borderId="7" xfId="13" applyNumberFormat="1" applyFont="1" applyFill="1" applyBorder="1" applyProtection="1">
      <protection hidden="1"/>
    </xf>
    <xf numFmtId="169" fontId="5" fillId="15" borderId="7" xfId="13" applyNumberFormat="1" applyFont="1" applyFill="1" applyBorder="1" applyAlignment="1" applyProtection="1">
      <alignment horizontal="center"/>
      <protection hidden="1"/>
    </xf>
    <xf numFmtId="169" fontId="5" fillId="15" borderId="0" xfId="13" applyNumberFormat="1" applyFont="1" applyFill="1" applyBorder="1" applyAlignment="1" applyProtection="1">
      <alignment horizontal="center"/>
      <protection hidden="1"/>
    </xf>
    <xf numFmtId="168" fontId="5" fillId="15" borderId="7" xfId="13" applyNumberFormat="1" applyFont="1" applyFill="1" applyBorder="1" applyProtection="1">
      <protection hidden="1"/>
    </xf>
    <xf numFmtId="0" fontId="2" fillId="17" borderId="0" xfId="0" applyFont="1" applyFill="1" applyBorder="1" applyAlignment="1" applyProtection="1">
      <alignment horizontal="left"/>
      <protection hidden="1"/>
    </xf>
    <xf numFmtId="166" fontId="1" fillId="2" borderId="16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right"/>
      <protection hidden="1"/>
    </xf>
    <xf numFmtId="0" fontId="1" fillId="2" borderId="17" xfId="13" applyFill="1" applyBorder="1" applyAlignment="1" applyProtection="1">
      <alignment horizontal="left"/>
      <protection hidden="1"/>
    </xf>
    <xf numFmtId="0" fontId="16" fillId="2" borderId="17" xfId="13" applyFont="1" applyFill="1" applyBorder="1" applyAlignment="1" applyProtection="1">
      <alignment horizontal="left"/>
      <protection hidden="1"/>
    </xf>
    <xf numFmtId="0" fontId="1" fillId="2" borderId="17" xfId="13" applyFont="1" applyFill="1" applyBorder="1" applyAlignment="1" applyProtection="1">
      <alignment horizontal="left"/>
      <protection hidden="1"/>
    </xf>
    <xf numFmtId="0" fontId="2" fillId="2" borderId="17" xfId="13" quotePrefix="1" applyFont="1" applyFill="1" applyBorder="1" applyAlignment="1" applyProtection="1">
      <alignment horizontal="left"/>
      <protection hidden="1"/>
    </xf>
    <xf numFmtId="0" fontId="1" fillId="2" borderId="17" xfId="13" applyFill="1" applyBorder="1" applyProtection="1">
      <protection hidden="1"/>
    </xf>
    <xf numFmtId="0" fontId="1" fillId="2" borderId="27" xfId="13" applyFill="1" applyBorder="1" applyProtection="1">
      <protection hidden="1"/>
    </xf>
    <xf numFmtId="0" fontId="1" fillId="2" borderId="28" xfId="13" applyFill="1" applyBorder="1" applyProtection="1">
      <protection hidden="1"/>
    </xf>
    <xf numFmtId="179" fontId="1" fillId="2" borderId="0" xfId="13" applyNumberFormat="1" applyFill="1" applyBorder="1" applyAlignment="1" applyProtection="1">
      <protection hidden="1"/>
    </xf>
    <xf numFmtId="179" fontId="1" fillId="2" borderId="0" xfId="13" applyNumberFormat="1" applyFill="1" applyBorder="1"/>
    <xf numFmtId="179" fontId="2" fillId="2" borderId="0" xfId="13" applyNumberFormat="1" applyFont="1" applyFill="1" applyBorder="1" applyAlignment="1" applyProtection="1">
      <alignment horizontal="left"/>
      <protection hidden="1"/>
    </xf>
    <xf numFmtId="179" fontId="1" fillId="2" borderId="0" xfId="13" applyNumberFormat="1" applyFill="1" applyBorder="1" applyAlignment="1" applyProtection="1">
      <alignment horizontal="left"/>
      <protection hidden="1"/>
    </xf>
    <xf numFmtId="166" fontId="1" fillId="2" borderId="29" xfId="13" applyNumberFormat="1" applyFill="1" applyBorder="1" applyAlignment="1" applyProtection="1">
      <protection hidden="1"/>
    </xf>
    <xf numFmtId="0" fontId="1" fillId="2" borderId="14" xfId="13" applyFill="1" applyBorder="1"/>
    <xf numFmtId="166" fontId="1" fillId="2" borderId="14" xfId="13" applyNumberFormat="1" applyFill="1" applyBorder="1" applyAlignment="1" applyProtection="1">
      <protection hidden="1"/>
    </xf>
    <xf numFmtId="166" fontId="2" fillId="2" borderId="28" xfId="13" applyNumberFormat="1" applyFont="1" applyFill="1" applyBorder="1" applyAlignment="1" applyProtection="1">
      <protection hidden="1"/>
    </xf>
    <xf numFmtId="179" fontId="1" fillId="2" borderId="14" xfId="13" applyNumberFormat="1" applyFill="1" applyBorder="1" applyAlignment="1" applyProtection="1">
      <protection hidden="1"/>
    </xf>
    <xf numFmtId="179" fontId="1" fillId="2" borderId="14" xfId="13" applyNumberFormat="1" applyFill="1" applyBorder="1" applyProtection="1">
      <protection hidden="1"/>
    </xf>
    <xf numFmtId="167" fontId="2" fillId="2" borderId="0" xfId="0" applyNumberFormat="1" applyFont="1" applyFill="1" applyBorder="1" applyAlignment="1" applyProtection="1">
      <protection hidden="1"/>
    </xf>
    <xf numFmtId="166" fontId="11" fillId="2" borderId="0" xfId="0" applyNumberFormat="1" applyFont="1" applyFill="1" applyBorder="1" applyAlignment="1" applyProtection="1">
      <protection hidden="1"/>
    </xf>
    <xf numFmtId="165" fontId="11" fillId="2" borderId="0" xfId="0" applyNumberFormat="1" applyFont="1" applyFill="1" applyBorder="1" applyAlignment="1" applyProtection="1">
      <alignment horizontal="left"/>
      <protection hidden="1"/>
    </xf>
    <xf numFmtId="166" fontId="1" fillId="2" borderId="0" xfId="13" applyNumberFormat="1" applyFont="1" applyFill="1" applyBorder="1" applyAlignment="1"/>
    <xf numFmtId="0" fontId="1" fillId="2" borderId="0" xfId="13" applyFont="1" applyFill="1" applyBorder="1" applyAlignment="1">
      <alignment horizontal="left"/>
    </xf>
    <xf numFmtId="0" fontId="1" fillId="2" borderId="0" xfId="13" applyFont="1" applyFill="1" applyBorder="1"/>
    <xf numFmtId="166" fontId="1" fillId="2" borderId="15" xfId="13" applyNumberFormat="1" applyFont="1" applyFill="1" applyBorder="1" applyAlignment="1"/>
    <xf numFmtId="0" fontId="11" fillId="2" borderId="16" xfId="0" applyFont="1" applyFill="1" applyBorder="1" applyAlignment="1" applyProtection="1">
      <alignment horizontal="left"/>
      <protection hidden="1"/>
    </xf>
    <xf numFmtId="167" fontId="2" fillId="2" borderId="16" xfId="0" applyNumberFormat="1" applyFont="1" applyFill="1" applyBorder="1" applyAlignment="1" applyProtection="1">
      <protection hidden="1"/>
    </xf>
    <xf numFmtId="166" fontId="11" fillId="2" borderId="16" xfId="0" applyNumberFormat="1" applyFont="1" applyFill="1" applyBorder="1" applyAlignment="1" applyProtection="1">
      <protection hidden="1"/>
    </xf>
    <xf numFmtId="167" fontId="11" fillId="2" borderId="29" xfId="0" applyNumberFormat="1" applyFont="1" applyFill="1" applyBorder="1" applyAlignment="1" applyProtection="1">
      <protection hidden="1"/>
    </xf>
    <xf numFmtId="166" fontId="1" fillId="2" borderId="17" xfId="13" applyNumberFormat="1" applyFont="1" applyFill="1" applyBorder="1" applyAlignment="1"/>
    <xf numFmtId="167" fontId="11" fillId="2" borderId="14" xfId="0" applyNumberFormat="1" applyFont="1" applyFill="1" applyBorder="1" applyAlignment="1" applyProtection="1">
      <protection hidden="1"/>
    </xf>
    <xf numFmtId="0" fontId="2" fillId="2" borderId="17" xfId="13" applyFont="1" applyFill="1" applyBorder="1" applyAlignment="1" applyProtection="1">
      <alignment horizontal="left"/>
      <protection hidden="1"/>
    </xf>
    <xf numFmtId="0" fontId="1" fillId="2" borderId="17" xfId="13" applyFont="1" applyFill="1" applyBorder="1" applyAlignment="1">
      <alignment horizontal="left"/>
    </xf>
    <xf numFmtId="165" fontId="11" fillId="2" borderId="14" xfId="0" applyNumberFormat="1" applyFont="1" applyFill="1" applyBorder="1" applyAlignment="1" applyProtection="1">
      <protection hidden="1"/>
    </xf>
    <xf numFmtId="0" fontId="2" fillId="2" borderId="17" xfId="0" applyFont="1" applyFill="1" applyBorder="1" applyAlignment="1" applyProtection="1">
      <alignment horizontal="left"/>
      <protection hidden="1"/>
    </xf>
    <xf numFmtId="0" fontId="2" fillId="2" borderId="27" xfId="0" applyFont="1" applyFill="1" applyBorder="1" applyAlignment="1" applyProtection="1">
      <alignment horizontal="left"/>
      <protection hidden="1"/>
    </xf>
    <xf numFmtId="0" fontId="11" fillId="2" borderId="28" xfId="0" applyFont="1" applyFill="1" applyBorder="1" applyAlignment="1" applyProtection="1">
      <alignment horizontal="left"/>
      <protection hidden="1"/>
    </xf>
    <xf numFmtId="167" fontId="2" fillId="2" borderId="28" xfId="0" applyNumberFormat="1" applyFont="1" applyFill="1" applyBorder="1" applyAlignment="1" applyProtection="1">
      <protection hidden="1"/>
    </xf>
    <xf numFmtId="0" fontId="1" fillId="2" borderId="28" xfId="13" applyFont="1" applyFill="1" applyBorder="1"/>
    <xf numFmtId="165" fontId="11" fillId="10" borderId="0" xfId="0" applyNumberFormat="1" applyFont="1" applyFill="1" applyBorder="1" applyAlignment="1" applyProtection="1">
      <alignment horizontal="left"/>
      <protection hidden="1"/>
    </xf>
    <xf numFmtId="165" fontId="11" fillId="4" borderId="0" xfId="0" applyNumberFormat="1" applyFont="1" applyFill="1" applyBorder="1" applyAlignment="1" applyProtection="1">
      <alignment horizontal="left"/>
      <protection hidden="1"/>
    </xf>
    <xf numFmtId="165" fontId="11" fillId="10" borderId="14" xfId="0" applyNumberFormat="1" applyFont="1" applyFill="1" applyBorder="1" applyAlignment="1" applyProtection="1">
      <protection hidden="1"/>
    </xf>
    <xf numFmtId="165" fontId="11" fillId="16" borderId="0" xfId="0" applyNumberFormat="1" applyFont="1" applyFill="1" applyBorder="1" applyAlignment="1" applyProtection="1">
      <alignment horizontal="left"/>
      <protection hidden="1"/>
    </xf>
    <xf numFmtId="165" fontId="11" fillId="16" borderId="14" xfId="0" applyNumberFormat="1" applyFont="1" applyFill="1" applyBorder="1" applyAlignment="1" applyProtection="1">
      <protection hidden="1"/>
    </xf>
    <xf numFmtId="165" fontId="11" fillId="8" borderId="14" xfId="0" applyNumberFormat="1" applyFont="1" applyFill="1" applyBorder="1" applyAlignment="1" applyProtection="1">
      <protection hidden="1"/>
    </xf>
    <xf numFmtId="165" fontId="11" fillId="20" borderId="14" xfId="0" applyNumberFormat="1" applyFont="1" applyFill="1" applyBorder="1" applyAlignment="1" applyProtection="1">
      <protection hidden="1"/>
    </xf>
    <xf numFmtId="165" fontId="19" fillId="13" borderId="18" xfId="0" applyNumberFormat="1" applyFont="1" applyFill="1" applyBorder="1" applyAlignment="1" applyProtection="1">
      <protection hidden="1"/>
    </xf>
    <xf numFmtId="165" fontId="11" fillId="10" borderId="16" xfId="0" applyNumberFormat="1" applyFont="1" applyFill="1" applyBorder="1" applyAlignment="1" applyProtection="1">
      <alignment horizontal="left"/>
      <protection locked="0" hidden="1"/>
    </xf>
    <xf numFmtId="165" fontId="11" fillId="10" borderId="0" xfId="0" applyNumberFormat="1" applyFont="1" applyFill="1" applyBorder="1" applyAlignment="1" applyProtection="1">
      <alignment horizontal="left"/>
      <protection locked="0" hidden="1"/>
    </xf>
    <xf numFmtId="0" fontId="11" fillId="4" borderId="0" xfId="0" applyFont="1" applyFill="1" applyBorder="1" applyAlignment="1" applyProtection="1">
      <alignment horizontal="center"/>
      <protection locked="0" hidden="1"/>
    </xf>
    <xf numFmtId="165" fontId="11" fillId="4" borderId="0" xfId="0" applyNumberFormat="1" applyFont="1" applyFill="1" applyBorder="1" applyAlignment="1" applyProtection="1">
      <alignment horizontal="left"/>
      <protection locked="0" hidden="1"/>
    </xf>
    <xf numFmtId="165" fontId="11" fillId="12" borderId="0" xfId="0" applyNumberFormat="1" applyFont="1" applyFill="1" applyBorder="1" applyAlignment="1" applyProtection="1">
      <alignment horizontal="left"/>
      <protection locked="0" hidden="1"/>
    </xf>
    <xf numFmtId="164" fontId="1" fillId="22" borderId="0" xfId="13" applyNumberFormat="1" applyFill="1" applyBorder="1" applyAlignment="1" applyProtection="1">
      <alignment horizontal="right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VBIWTVABREYNETHMHAK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VBIWTVABREYNETHMHAV.xlsx" TargetMode="External"/><Relationship Id="rId1" Type="http://schemas.openxmlformats.org/officeDocument/2006/relationships/hyperlink" Target="VBIWTVABREYNETHM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WTVABREYNETHMHDAC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412"/>
  <sheetViews>
    <sheetView tabSelected="1" zoomScaleNormal="100" workbookViewId="0">
      <selection activeCell="B3" sqref="B3"/>
    </sheetView>
  </sheetViews>
  <sheetFormatPr defaultRowHeight="12.75"/>
  <cols>
    <col min="1" max="1" width="43.7109375" style="1" customWidth="1"/>
    <col min="2" max="2" width="16.85546875" style="1" customWidth="1"/>
    <col min="3" max="3" width="18.28515625" style="1" customWidth="1"/>
    <col min="4" max="4" width="15.42578125" style="1" customWidth="1"/>
    <col min="5" max="5" width="16.7109375" style="1" customWidth="1"/>
    <col min="6" max="6" width="15" style="1" customWidth="1"/>
    <col min="7" max="7" width="15.85546875" style="1" bestFit="1" customWidth="1"/>
    <col min="8" max="16" width="9.140625" style="1"/>
    <col min="17" max="17" width="12.140625" style="1" bestFit="1" customWidth="1"/>
    <col min="18" max="16384" width="9.140625" style="1"/>
  </cols>
  <sheetData>
    <row r="1" spans="1:9" ht="27.75" customHeight="1" thickTop="1">
      <c r="A1" s="82" t="s">
        <v>109</v>
      </c>
      <c r="B1" s="50"/>
      <c r="C1" s="50"/>
      <c r="D1" s="50"/>
      <c r="E1" s="108"/>
      <c r="F1" s="109"/>
      <c r="G1" s="109"/>
      <c r="H1" s="141"/>
      <c r="I1" s="141"/>
    </row>
    <row r="2" spans="1:9">
      <c r="A2" s="2"/>
      <c r="B2" s="2"/>
      <c r="C2" s="2"/>
      <c r="D2" s="2"/>
      <c r="E2" s="3"/>
      <c r="F2" s="3"/>
      <c r="G2" s="3"/>
    </row>
    <row r="3" spans="1:9">
      <c r="A3" s="2" t="s">
        <v>0</v>
      </c>
      <c r="B3" s="51"/>
      <c r="C3" s="2"/>
      <c r="D3" s="2"/>
      <c r="E3" s="3"/>
      <c r="F3" s="3"/>
      <c r="G3" s="4"/>
    </row>
    <row r="4" spans="1:9">
      <c r="A4" s="83" t="s">
        <v>50</v>
      </c>
      <c r="B4" s="52"/>
      <c r="C4" s="5"/>
      <c r="E4" s="6"/>
      <c r="F4" s="3"/>
    </row>
    <row r="5" spans="1:9">
      <c r="A5" s="2" t="s">
        <v>51</v>
      </c>
      <c r="B5" s="84">
        <v>0</v>
      </c>
      <c r="C5" s="5"/>
      <c r="E5" s="6"/>
      <c r="F5" s="3"/>
    </row>
    <row r="6" spans="1:9">
      <c r="A6" s="2" t="s">
        <v>52</v>
      </c>
      <c r="B6" s="84">
        <v>0</v>
      </c>
      <c r="C6" s="5"/>
      <c r="E6" s="6"/>
      <c r="F6" s="3"/>
    </row>
    <row r="7" spans="1:9">
      <c r="A7" s="2" t="s">
        <v>53</v>
      </c>
      <c r="B7" s="85" t="s">
        <v>62</v>
      </c>
      <c r="C7" s="5"/>
      <c r="E7" s="6"/>
      <c r="F7" s="3"/>
    </row>
    <row r="8" spans="1:9">
      <c r="A8" s="10" t="s">
        <v>54</v>
      </c>
      <c r="B8" s="86">
        <v>0</v>
      </c>
      <c r="C8" s="5"/>
      <c r="D8" s="3"/>
      <c r="E8" s="7"/>
      <c r="F8" s="3"/>
    </row>
    <row r="9" spans="1:9">
      <c r="A9" s="10" t="s">
        <v>55</v>
      </c>
      <c r="B9" s="87">
        <v>0</v>
      </c>
      <c r="C9" s="5"/>
      <c r="D9" s="3"/>
      <c r="E9" s="7"/>
      <c r="F9" s="3"/>
    </row>
    <row r="10" spans="1:9">
      <c r="A10" s="8" t="s">
        <v>56</v>
      </c>
      <c r="B10" s="88">
        <f>IF(B8&lt;B6,B6/2+B5+B9,B6+B5+B9)</f>
        <v>0</v>
      </c>
      <c r="C10" s="9"/>
      <c r="D10" s="3"/>
      <c r="E10" s="7"/>
      <c r="F10" s="3"/>
    </row>
    <row r="11" spans="1:9" ht="15">
      <c r="A11" s="15" t="s">
        <v>57</v>
      </c>
      <c r="B11" s="86">
        <v>0</v>
      </c>
      <c r="C11" s="5"/>
      <c r="D11" s="3"/>
      <c r="E11" s="7"/>
      <c r="F11" s="3"/>
    </row>
    <row r="12" spans="1:9" ht="15">
      <c r="A12" s="14" t="s">
        <v>58</v>
      </c>
      <c r="B12" s="89" t="s">
        <v>63</v>
      </c>
      <c r="D12" s="3"/>
      <c r="E12" s="7"/>
      <c r="F12" s="3"/>
    </row>
    <row r="13" spans="1:9" ht="15">
      <c r="A13" s="14" t="s">
        <v>59</v>
      </c>
      <c r="B13" s="89" t="s">
        <v>81</v>
      </c>
      <c r="E13" s="6"/>
      <c r="F13" s="3"/>
    </row>
    <row r="14" spans="1:9" ht="15">
      <c r="A14" s="14" t="s">
        <v>60</v>
      </c>
      <c r="B14" s="89" t="s">
        <v>63</v>
      </c>
      <c r="D14" s="5"/>
      <c r="E14" s="10"/>
      <c r="F14" s="3"/>
      <c r="G14" s="7"/>
    </row>
    <row r="15" spans="1:9">
      <c r="A15" s="9" t="s">
        <v>61</v>
      </c>
      <c r="B15" s="90" t="s">
        <v>63</v>
      </c>
      <c r="E15" s="6"/>
      <c r="F15" s="3"/>
      <c r="G15" s="3"/>
    </row>
    <row r="16" spans="1:9" ht="13.5" thickBot="1">
      <c r="A16" s="11" t="s">
        <v>2</v>
      </c>
      <c r="B16" s="2"/>
      <c r="C16" s="2"/>
      <c r="D16" s="2"/>
      <c r="E16" s="3"/>
      <c r="F16" s="3"/>
      <c r="G16" s="3"/>
    </row>
    <row r="17" spans="1:7" ht="14.25" thickTop="1" thickBot="1">
      <c r="A17" s="91" t="s">
        <v>64</v>
      </c>
      <c r="B17" s="12"/>
      <c r="C17" s="2"/>
      <c r="D17" s="2"/>
      <c r="E17" s="3"/>
      <c r="F17" s="3"/>
      <c r="G17" s="3"/>
    </row>
    <row r="18" spans="1:7" ht="14.25" thickTop="1" thickBot="1">
      <c r="A18" s="2"/>
      <c r="B18" s="2"/>
      <c r="C18" s="2"/>
      <c r="D18" s="2"/>
      <c r="E18" s="3"/>
      <c r="F18" s="3"/>
      <c r="G18" s="3"/>
    </row>
    <row r="19" spans="1:7" ht="14.25" thickTop="1" thickBot="1">
      <c r="A19" s="92" t="s">
        <v>65</v>
      </c>
      <c r="B19" s="2"/>
      <c r="C19" s="2"/>
      <c r="E19" s="99">
        <f>IF(AND(B12="oui",B15="oui"),F316-250,F316)</f>
        <v>0</v>
      </c>
      <c r="F19" s="6"/>
    </row>
    <row r="20" spans="1:7" ht="13.5" thickTop="1">
      <c r="A20" s="14" t="s">
        <v>66</v>
      </c>
      <c r="B20" s="5"/>
      <c r="C20" s="5"/>
      <c r="D20" s="95">
        <f>IF(B7="oui",0,F240)</f>
        <v>0</v>
      </c>
      <c r="E20" s="100"/>
      <c r="F20" s="10"/>
      <c r="G20" s="7"/>
    </row>
    <row r="21" spans="1:7">
      <c r="A21" s="9" t="s">
        <v>67</v>
      </c>
      <c r="B21" s="9"/>
      <c r="C21" s="5"/>
      <c r="D21" s="95">
        <f>IF(B7="oui",(B5+B8)*21%,B8*21%)</f>
        <v>0</v>
      </c>
      <c r="E21" s="100"/>
      <c r="F21" s="10"/>
      <c r="G21" s="7"/>
    </row>
    <row r="22" spans="1:7">
      <c r="A22" s="93" t="s">
        <v>68</v>
      </c>
      <c r="B22" s="5"/>
      <c r="C22" s="5"/>
      <c r="D22" s="96">
        <v>0</v>
      </c>
      <c r="E22" s="100"/>
      <c r="F22" s="3"/>
      <c r="G22" s="3"/>
    </row>
    <row r="23" spans="1:7">
      <c r="A23" s="14" t="s">
        <v>69</v>
      </c>
      <c r="B23" s="53">
        <v>0</v>
      </c>
      <c r="C23" s="5"/>
      <c r="D23" s="95">
        <f>B23*30</f>
        <v>0</v>
      </c>
      <c r="E23" s="100"/>
      <c r="F23" s="3"/>
      <c r="G23" s="3"/>
    </row>
    <row r="24" spans="1:7">
      <c r="A24" s="14" t="s">
        <v>70</v>
      </c>
      <c r="B24" s="5"/>
      <c r="C24" s="5"/>
      <c r="D24" s="97">
        <v>770</v>
      </c>
      <c r="E24" s="100"/>
      <c r="F24" s="3"/>
      <c r="G24" s="3"/>
    </row>
    <row r="25" spans="1:7" ht="15.75" thickBot="1">
      <c r="A25" s="14" t="s">
        <v>71</v>
      </c>
      <c r="B25" s="15"/>
      <c r="C25" s="15"/>
      <c r="D25" s="98">
        <v>0</v>
      </c>
      <c r="E25" s="100"/>
      <c r="F25" s="3"/>
      <c r="G25" s="3"/>
    </row>
    <row r="26" spans="1:7" ht="14.25" thickTop="1" thickBot="1">
      <c r="A26" s="94" t="s">
        <v>72</v>
      </c>
      <c r="B26" s="5"/>
      <c r="C26" s="5"/>
      <c r="E26" s="99">
        <f>SUM(D20:D25)</f>
        <v>770</v>
      </c>
      <c r="F26" s="3"/>
      <c r="G26" s="3"/>
    </row>
    <row r="27" spans="1:7" ht="14.25" thickTop="1" thickBot="1">
      <c r="B27" s="5"/>
      <c r="C27" s="5"/>
      <c r="D27" s="54" t="s">
        <v>4</v>
      </c>
      <c r="E27" s="101">
        <f>(E19+D24)*21%</f>
        <v>161.69999999999999</v>
      </c>
      <c r="F27" s="3"/>
      <c r="G27" s="3"/>
    </row>
    <row r="28" spans="1:7" ht="14.25" thickTop="1" thickBot="1">
      <c r="A28" s="16"/>
      <c r="B28" s="5"/>
      <c r="C28" s="5"/>
      <c r="D28" s="17"/>
      <c r="E28" s="100"/>
      <c r="F28" s="3"/>
      <c r="G28" s="3"/>
    </row>
    <row r="29" spans="1:7" ht="14.25" thickTop="1" thickBot="1">
      <c r="A29" s="106" t="s">
        <v>78</v>
      </c>
      <c r="B29" s="19"/>
      <c r="C29" s="5"/>
      <c r="D29" s="20"/>
      <c r="E29" s="102">
        <f>SUM(E19:E27)</f>
        <v>931.7</v>
      </c>
      <c r="F29" s="3"/>
      <c r="G29" s="3"/>
    </row>
    <row r="30" spans="1:7" ht="14.25" thickTop="1" thickBot="1">
      <c r="A30" s="9"/>
      <c r="B30" s="5"/>
      <c r="C30" s="5"/>
      <c r="D30" s="20"/>
      <c r="E30" s="103"/>
      <c r="F30" s="3"/>
      <c r="G30" s="3"/>
    </row>
    <row r="31" spans="1:7" ht="14.25" thickTop="1" thickBot="1">
      <c r="A31" s="107" t="s">
        <v>73</v>
      </c>
      <c r="B31" s="19"/>
      <c r="C31" s="5"/>
      <c r="D31" s="13"/>
      <c r="E31" s="100"/>
      <c r="F31" s="3"/>
      <c r="G31" s="3"/>
    </row>
    <row r="32" spans="1:7" ht="13.5" thickTop="1">
      <c r="A32" s="9"/>
      <c r="B32" s="5"/>
      <c r="C32" s="5"/>
      <c r="D32" s="13"/>
      <c r="E32" s="100"/>
      <c r="F32" s="3"/>
      <c r="G32" s="3"/>
    </row>
    <row r="33" spans="1:7">
      <c r="A33" s="14" t="s">
        <v>74</v>
      </c>
      <c r="B33" s="5"/>
      <c r="C33" s="5"/>
      <c r="D33" s="96">
        <v>0</v>
      </c>
      <c r="E33" s="100"/>
      <c r="F33" s="3"/>
      <c r="G33" s="3"/>
    </row>
    <row r="34" spans="1:7">
      <c r="A34" s="14" t="s">
        <v>75</v>
      </c>
      <c r="B34" s="5"/>
      <c r="C34" s="5"/>
      <c r="D34" s="96">
        <v>0</v>
      </c>
      <c r="E34" s="100"/>
      <c r="F34" s="3"/>
      <c r="G34" s="3"/>
    </row>
    <row r="35" spans="1:7" ht="13.5" thickBot="1">
      <c r="A35" s="14"/>
      <c r="B35" s="5"/>
      <c r="C35" s="5"/>
      <c r="D35" s="232"/>
      <c r="E35" s="100"/>
      <c r="F35" s="3"/>
      <c r="G35" s="3"/>
    </row>
    <row r="36" spans="1:7" ht="14.25" thickTop="1" thickBot="1">
      <c r="A36" s="55" t="s">
        <v>76</v>
      </c>
      <c r="B36" s="5"/>
      <c r="C36" s="5"/>
      <c r="D36" s="16"/>
      <c r="E36" s="104">
        <f>SUM(D33:D35)</f>
        <v>0</v>
      </c>
      <c r="F36" s="3"/>
      <c r="G36" s="7"/>
    </row>
    <row r="37" spans="1:7" ht="14.25" thickTop="1" thickBot="1">
      <c r="A37" s="22"/>
      <c r="B37" s="5"/>
      <c r="C37" s="5"/>
      <c r="D37" s="17"/>
      <c r="E37" s="100"/>
      <c r="F37" s="3"/>
      <c r="G37" s="7"/>
    </row>
    <row r="38" spans="1:7" ht="14.25" thickTop="1" thickBot="1">
      <c r="A38" s="107" t="s">
        <v>77</v>
      </c>
      <c r="B38" s="19"/>
      <c r="C38" s="5"/>
      <c r="D38" s="23"/>
      <c r="E38" s="105">
        <f>SUM(E36:E36)</f>
        <v>0</v>
      </c>
      <c r="F38" s="24"/>
      <c r="G38" s="7"/>
    </row>
    <row r="39" spans="1:7" ht="13.5" thickTop="1">
      <c r="A39" s="83"/>
      <c r="B39" s="5"/>
      <c r="C39" s="5"/>
      <c r="D39" s="5"/>
      <c r="E39" s="100"/>
      <c r="F39" s="3"/>
      <c r="G39" s="7"/>
    </row>
    <row r="40" spans="1:7">
      <c r="A40" s="142" t="s">
        <v>110</v>
      </c>
      <c r="B40" s="2"/>
      <c r="C40" s="2"/>
      <c r="D40" s="2"/>
      <c r="E40" s="4"/>
      <c r="F40" s="3"/>
      <c r="G40" s="6"/>
    </row>
    <row r="41" spans="1:7" ht="13.5" thickBot="1">
      <c r="A41" s="2"/>
      <c r="B41" s="2"/>
      <c r="C41" s="2"/>
      <c r="D41" s="2"/>
      <c r="E41" s="4"/>
      <c r="F41" s="3"/>
      <c r="G41" s="6"/>
    </row>
    <row r="42" spans="1:7" ht="13.5" thickTop="1">
      <c r="A42" s="143" t="s">
        <v>111</v>
      </c>
      <c r="B42" s="179" t="s">
        <v>87</v>
      </c>
      <c r="C42" s="144">
        <v>0</v>
      </c>
      <c r="D42" s="179"/>
      <c r="E42" s="179"/>
      <c r="F42" s="192"/>
      <c r="G42" s="4"/>
    </row>
    <row r="43" spans="1:7">
      <c r="A43" s="181"/>
      <c r="B43" s="3" t="s">
        <v>88</v>
      </c>
      <c r="C43" s="145">
        <v>0</v>
      </c>
      <c r="D43" s="16"/>
      <c r="E43" s="16"/>
      <c r="F43" s="193"/>
      <c r="G43" s="4"/>
    </row>
    <row r="44" spans="1:7">
      <c r="A44" s="181"/>
      <c r="B44" s="3" t="s">
        <v>89</v>
      </c>
      <c r="C44" s="146">
        <f>SUM(C42:C43)</f>
        <v>0</v>
      </c>
      <c r="D44" s="16"/>
      <c r="E44" s="16"/>
      <c r="F44" s="193"/>
      <c r="G44" s="3"/>
    </row>
    <row r="45" spans="1:7">
      <c r="A45" s="181"/>
      <c r="B45" s="3"/>
      <c r="C45" s="188"/>
      <c r="D45" s="16"/>
      <c r="E45" s="16"/>
      <c r="F45" s="193"/>
      <c r="G45" s="16"/>
    </row>
    <row r="46" spans="1:7">
      <c r="A46" s="147" t="s">
        <v>112</v>
      </c>
      <c r="B46" s="3" t="s">
        <v>87</v>
      </c>
      <c r="C46" s="148">
        <v>0</v>
      </c>
      <c r="D46" s="16"/>
      <c r="E46" s="16"/>
      <c r="F46" s="193"/>
      <c r="G46" s="16"/>
    </row>
    <row r="47" spans="1:7">
      <c r="A47" s="182"/>
      <c r="B47" s="3" t="s">
        <v>88</v>
      </c>
      <c r="C47" s="148">
        <v>0</v>
      </c>
      <c r="D47" s="16"/>
      <c r="E47" s="16"/>
      <c r="F47" s="193"/>
      <c r="G47" s="16"/>
    </row>
    <row r="48" spans="1:7">
      <c r="A48" s="182"/>
      <c r="B48" s="3" t="s">
        <v>89</v>
      </c>
      <c r="C48" s="149">
        <f>SUM(C46:C47)</f>
        <v>0</v>
      </c>
      <c r="D48" s="16"/>
      <c r="E48" s="16"/>
      <c r="F48" s="193"/>
      <c r="G48" s="16"/>
    </row>
    <row r="49" spans="1:7">
      <c r="A49" s="183"/>
      <c r="B49" s="180"/>
      <c r="C49" s="189"/>
      <c r="D49" s="16"/>
      <c r="E49" s="16"/>
      <c r="F49" s="193"/>
      <c r="G49" s="3"/>
    </row>
    <row r="50" spans="1:7">
      <c r="A50" s="183" t="s">
        <v>113</v>
      </c>
      <c r="B50" s="150">
        <v>2</v>
      </c>
      <c r="C50" s="189"/>
      <c r="D50" s="16"/>
      <c r="E50" s="3"/>
      <c r="F50" s="194"/>
    </row>
    <row r="51" spans="1:7">
      <c r="A51" s="184" t="s">
        <v>2</v>
      </c>
      <c r="B51" s="2"/>
      <c r="C51" s="190"/>
      <c r="D51" s="3"/>
      <c r="E51" s="3"/>
      <c r="F51" s="194"/>
    </row>
    <row r="52" spans="1:7">
      <c r="A52" s="181"/>
      <c r="B52" s="5"/>
      <c r="C52" s="191"/>
      <c r="D52" s="3"/>
      <c r="E52" s="3" t="s">
        <v>100</v>
      </c>
      <c r="F52" s="124">
        <f>IF(C48&gt;C44,E190+(E203-E216),E178)</f>
        <v>0</v>
      </c>
    </row>
    <row r="53" spans="1:7">
      <c r="A53" s="183" t="s">
        <v>114</v>
      </c>
      <c r="B53" s="5"/>
      <c r="C53" s="125">
        <f>G131</f>
        <v>75</v>
      </c>
      <c r="D53" s="3"/>
      <c r="E53" s="10" t="s">
        <v>91</v>
      </c>
      <c r="F53" s="126">
        <f>F52*21/100</f>
        <v>0</v>
      </c>
    </row>
    <row r="54" spans="1:7">
      <c r="A54" s="183" t="s">
        <v>115</v>
      </c>
      <c r="B54" s="5"/>
      <c r="C54" s="123">
        <v>0</v>
      </c>
      <c r="D54" s="3"/>
      <c r="E54" s="3"/>
      <c r="F54" s="196"/>
    </row>
    <row r="55" spans="1:7">
      <c r="A55" s="183" t="s">
        <v>116</v>
      </c>
      <c r="B55" s="151">
        <f>(A125+ROUNDDOWN((C42+C43-1)/C126,0)*A126)</f>
        <v>67.31</v>
      </c>
      <c r="C55" s="100"/>
      <c r="D55" s="3"/>
      <c r="E55" s="3"/>
      <c r="F55" s="196"/>
    </row>
    <row r="56" spans="1:7">
      <c r="A56" s="183" t="s">
        <v>117</v>
      </c>
      <c r="B56" s="151">
        <f>(A138+ROUNDDOWN((C46+C47-1)/C139,0)*A139)</f>
        <v>117.11</v>
      </c>
      <c r="C56" s="100"/>
      <c r="D56" s="3"/>
      <c r="E56" s="3"/>
      <c r="F56" s="196"/>
    </row>
    <row r="57" spans="1:7">
      <c r="A57" s="183" t="s">
        <v>118</v>
      </c>
      <c r="B57" s="151">
        <f>IF(C48&gt;C44,(C48-C44)*0.3%,0)</f>
        <v>0</v>
      </c>
      <c r="C57" s="100"/>
      <c r="D57" s="3"/>
      <c r="E57" s="3"/>
      <c r="F57" s="196"/>
    </row>
    <row r="58" spans="1:7">
      <c r="A58" s="183" t="s">
        <v>119</v>
      </c>
      <c r="B58" s="5"/>
      <c r="C58" s="125">
        <f>D146+B57</f>
        <v>220</v>
      </c>
      <c r="D58" s="3"/>
      <c r="E58" s="3"/>
      <c r="F58" s="196"/>
    </row>
    <row r="59" spans="1:7">
      <c r="A59" s="183" t="s">
        <v>120</v>
      </c>
      <c r="B59" s="5"/>
      <c r="C59" s="125">
        <v>0</v>
      </c>
      <c r="D59" s="3"/>
      <c r="E59" s="3"/>
      <c r="F59" s="196"/>
    </row>
    <row r="60" spans="1:7">
      <c r="A60" s="181"/>
      <c r="B60" s="10" t="s">
        <v>91</v>
      </c>
      <c r="C60" s="127">
        <f>C59*21/100</f>
        <v>0</v>
      </c>
      <c r="D60" s="3"/>
      <c r="E60" s="3"/>
      <c r="F60" s="196"/>
    </row>
    <row r="61" spans="1:7">
      <c r="A61" s="183" t="s">
        <v>121</v>
      </c>
      <c r="B61" s="5"/>
      <c r="C61" s="128">
        <f>IF(B50=1,770,710)</f>
        <v>710</v>
      </c>
      <c r="D61" s="3"/>
      <c r="E61" s="3"/>
      <c r="F61" s="196"/>
    </row>
    <row r="62" spans="1:7">
      <c r="A62" s="181"/>
      <c r="B62" s="10" t="s">
        <v>91</v>
      </c>
      <c r="C62" s="127">
        <f>C61*21/100</f>
        <v>149.1</v>
      </c>
      <c r="D62" s="3"/>
      <c r="E62" s="3"/>
      <c r="F62" s="196"/>
    </row>
    <row r="63" spans="1:7">
      <c r="A63" s="183" t="s">
        <v>122</v>
      </c>
      <c r="B63" s="9"/>
      <c r="C63" s="123">
        <v>0</v>
      </c>
      <c r="D63" s="3"/>
      <c r="E63" s="3"/>
      <c r="F63" s="196"/>
    </row>
    <row r="64" spans="1:7">
      <c r="A64" s="181"/>
      <c r="B64" s="10" t="s">
        <v>91</v>
      </c>
      <c r="C64" s="127">
        <f>C63*21/100</f>
        <v>0</v>
      </c>
      <c r="D64" s="3"/>
      <c r="E64" s="3"/>
      <c r="F64" s="196"/>
    </row>
    <row r="65" spans="1:7">
      <c r="A65" s="181"/>
      <c r="B65" s="5"/>
      <c r="C65" s="100"/>
      <c r="D65" s="3"/>
      <c r="E65" s="3"/>
      <c r="F65" s="196"/>
    </row>
    <row r="66" spans="1:7">
      <c r="A66" s="181"/>
      <c r="B66" s="5" t="s">
        <v>94</v>
      </c>
      <c r="C66" s="129">
        <f>A135</f>
        <v>1004.9999999999999</v>
      </c>
      <c r="D66" s="3"/>
      <c r="E66" s="3" t="s">
        <v>95</v>
      </c>
      <c r="F66" s="130">
        <f>F52</f>
        <v>0</v>
      </c>
    </row>
    <row r="67" spans="1:7">
      <c r="A67" s="181"/>
      <c r="B67" s="5"/>
      <c r="C67" s="5"/>
      <c r="D67" s="3"/>
      <c r="E67" s="3" t="s">
        <v>94</v>
      </c>
      <c r="F67" s="130">
        <f>C66</f>
        <v>1004.9999999999999</v>
      </c>
    </row>
    <row r="68" spans="1:7">
      <c r="A68" s="181"/>
      <c r="B68" s="5"/>
      <c r="C68" s="5"/>
      <c r="D68" s="3"/>
      <c r="E68" s="3" t="s">
        <v>96</v>
      </c>
      <c r="F68" s="131">
        <f>SUM(F66+C66)</f>
        <v>1004.9999999999999</v>
      </c>
    </row>
    <row r="69" spans="1:7">
      <c r="A69" s="185"/>
      <c r="B69" s="6"/>
      <c r="C69" s="6"/>
      <c r="D69" s="6"/>
      <c r="E69" s="6"/>
      <c r="F69" s="197"/>
    </row>
    <row r="70" spans="1:7">
      <c r="A70" s="185"/>
      <c r="B70" s="6"/>
      <c r="C70" s="6"/>
      <c r="D70" s="6"/>
      <c r="E70" s="10" t="s">
        <v>123</v>
      </c>
      <c r="F70" s="152">
        <f>C60+C62+C64+F53</f>
        <v>149.1</v>
      </c>
    </row>
    <row r="71" spans="1:7" ht="13.5" thickBot="1">
      <c r="A71" s="185"/>
      <c r="B71" s="6"/>
      <c r="C71" s="6"/>
      <c r="D71" s="6"/>
      <c r="E71" s="6"/>
      <c r="F71" s="197"/>
    </row>
    <row r="72" spans="1:7" ht="14.25" thickTop="1" thickBot="1">
      <c r="A72" s="186"/>
      <c r="B72" s="187"/>
      <c r="C72" s="187"/>
      <c r="D72" s="187"/>
      <c r="E72" s="195" t="s">
        <v>97</v>
      </c>
      <c r="F72" s="153">
        <f>SUM(F68:F70)</f>
        <v>1154.0999999999999</v>
      </c>
    </row>
    <row r="73" spans="1:7" ht="13.5" thickTop="1">
      <c r="A73" s="6"/>
      <c r="B73" s="6"/>
      <c r="C73" s="6"/>
      <c r="D73" s="6"/>
      <c r="E73" s="6"/>
      <c r="F73" s="6"/>
      <c r="G73" s="6"/>
    </row>
    <row r="74" spans="1:7" ht="13.5" thickBot="1">
      <c r="A74" s="178" t="s">
        <v>98</v>
      </c>
      <c r="B74" s="93"/>
      <c r="C74" s="93"/>
      <c r="D74" s="93"/>
      <c r="E74" s="198"/>
      <c r="F74" s="199"/>
      <c r="G74" s="6"/>
    </row>
    <row r="75" spans="1:7" ht="13.5" thickTop="1">
      <c r="A75" s="204" t="s">
        <v>87</v>
      </c>
      <c r="B75" s="227">
        <v>0</v>
      </c>
      <c r="C75" s="205"/>
      <c r="D75" s="206"/>
      <c r="E75" s="207"/>
      <c r="F75" s="208"/>
      <c r="G75" s="6"/>
    </row>
    <row r="76" spans="1:7">
      <c r="A76" s="209" t="s">
        <v>88</v>
      </c>
      <c r="B76" s="228">
        <v>0</v>
      </c>
      <c r="C76" s="93"/>
      <c r="D76" s="198"/>
      <c r="E76" s="199"/>
      <c r="F76" s="210"/>
      <c r="G76" s="6"/>
    </row>
    <row r="77" spans="1:7">
      <c r="A77" s="209" t="s">
        <v>89</v>
      </c>
      <c r="B77" s="220">
        <f>SUM(B75:B76)</f>
        <v>0</v>
      </c>
      <c r="C77" s="93"/>
      <c r="D77" s="198"/>
      <c r="E77" s="199"/>
      <c r="F77" s="210"/>
      <c r="G77" s="6"/>
    </row>
    <row r="78" spans="1:7">
      <c r="A78" s="211"/>
      <c r="B78" s="93"/>
      <c r="C78" s="93"/>
      <c r="D78" s="198"/>
      <c r="E78" s="199"/>
      <c r="F78" s="210"/>
      <c r="G78" s="6"/>
    </row>
    <row r="79" spans="1:7">
      <c r="A79" s="212" t="s">
        <v>99</v>
      </c>
      <c r="B79" s="229">
        <v>1</v>
      </c>
      <c r="C79" s="93"/>
      <c r="D79" s="198"/>
      <c r="E79" s="199"/>
      <c r="F79" s="210"/>
      <c r="G79" s="6"/>
    </row>
    <row r="80" spans="1:7">
      <c r="A80" s="184" t="s">
        <v>2</v>
      </c>
      <c r="B80" s="93"/>
      <c r="C80" s="93"/>
      <c r="D80" s="198"/>
      <c r="E80" s="199"/>
      <c r="F80" s="210"/>
      <c r="G80" s="6"/>
    </row>
    <row r="81" spans="1:23">
      <c r="A81" s="212" t="s">
        <v>93</v>
      </c>
      <c r="B81" s="93"/>
      <c r="C81" s="219">
        <v>50</v>
      </c>
      <c r="D81" s="198"/>
      <c r="E81" s="201" t="s">
        <v>100</v>
      </c>
      <c r="F81" s="221">
        <f>I117</f>
        <v>0</v>
      </c>
      <c r="G81" s="6"/>
    </row>
    <row r="82" spans="1:23">
      <c r="A82" s="212" t="s">
        <v>90</v>
      </c>
      <c r="B82" s="93"/>
      <c r="C82" s="219">
        <v>50</v>
      </c>
      <c r="D82" s="198"/>
      <c r="E82" s="10"/>
      <c r="F82" s="213"/>
      <c r="G82" s="6"/>
    </row>
    <row r="83" spans="1:23">
      <c r="A83" s="212" t="s">
        <v>92</v>
      </c>
      <c r="B83" s="93"/>
      <c r="C83" s="230">
        <v>0</v>
      </c>
      <c r="D83" s="198"/>
      <c r="E83" s="10"/>
      <c r="F83" s="213"/>
      <c r="G83" s="6"/>
    </row>
    <row r="84" spans="1:23">
      <c r="A84" s="212" t="s">
        <v>70</v>
      </c>
      <c r="B84" s="93"/>
      <c r="C84" s="231">
        <f>H102</f>
        <v>185</v>
      </c>
      <c r="D84" s="198"/>
      <c r="E84" s="10"/>
      <c r="F84" s="213"/>
      <c r="G84" s="6"/>
    </row>
    <row r="85" spans="1:23">
      <c r="A85" s="214"/>
      <c r="B85" s="93"/>
      <c r="C85" s="200"/>
      <c r="D85" s="198"/>
      <c r="E85" s="10"/>
      <c r="F85" s="213"/>
      <c r="G85" s="6"/>
    </row>
    <row r="86" spans="1:23">
      <c r="A86" s="214"/>
      <c r="B86" s="202" t="s">
        <v>94</v>
      </c>
      <c r="C86" s="222">
        <f>SUM(C81:C84)</f>
        <v>285</v>
      </c>
      <c r="D86" s="198"/>
      <c r="E86" s="201" t="s">
        <v>95</v>
      </c>
      <c r="F86" s="223">
        <f>F81</f>
        <v>0</v>
      </c>
      <c r="G86" s="6"/>
    </row>
    <row r="87" spans="1:23">
      <c r="A87" s="214"/>
      <c r="B87" s="93"/>
      <c r="C87" s="93"/>
      <c r="D87" s="198"/>
      <c r="E87" s="201" t="s">
        <v>101</v>
      </c>
      <c r="F87" s="223">
        <f>C86</f>
        <v>285</v>
      </c>
      <c r="G87" s="6"/>
    </row>
    <row r="88" spans="1:23">
      <c r="A88" s="214"/>
      <c r="B88" s="93"/>
      <c r="C88" s="93"/>
      <c r="D88" s="198"/>
      <c r="E88" s="201" t="s">
        <v>96</v>
      </c>
      <c r="F88" s="224">
        <f>SUM(F86+C86)</f>
        <v>285</v>
      </c>
      <c r="G88" s="6"/>
    </row>
    <row r="89" spans="1:23">
      <c r="A89" s="214"/>
      <c r="B89" s="93"/>
      <c r="C89" s="93"/>
      <c r="D89" s="198"/>
      <c r="E89" s="203"/>
      <c r="F89" s="213"/>
      <c r="G89" s="6"/>
    </row>
    <row r="90" spans="1:23">
      <c r="A90" s="214"/>
      <c r="B90" s="93"/>
      <c r="C90" s="93"/>
      <c r="D90" s="198"/>
      <c r="E90" s="203" t="s">
        <v>67</v>
      </c>
      <c r="F90" s="225">
        <f>(C81+C84+F81)*21%</f>
        <v>49.35</v>
      </c>
      <c r="G90" s="6"/>
    </row>
    <row r="91" spans="1:23" ht="13.5" thickBot="1">
      <c r="A91" s="214"/>
      <c r="B91" s="93"/>
      <c r="C91" s="93"/>
      <c r="D91" s="198"/>
      <c r="E91" s="203"/>
      <c r="F91" s="213"/>
      <c r="G91" s="6"/>
    </row>
    <row r="92" spans="1:23" ht="14.25" thickTop="1" thickBot="1">
      <c r="A92" s="215"/>
      <c r="B92" s="216"/>
      <c r="C92" s="216"/>
      <c r="D92" s="217"/>
      <c r="E92" s="218" t="s">
        <v>95</v>
      </c>
      <c r="F92" s="226">
        <f>SUM(F88:F90)</f>
        <v>334.35</v>
      </c>
      <c r="G92" s="6"/>
    </row>
    <row r="93" spans="1:23" ht="13.5" thickTop="1">
      <c r="A93" s="6"/>
      <c r="B93" s="6"/>
      <c r="C93" s="6"/>
      <c r="D93" s="6"/>
      <c r="E93" s="6"/>
      <c r="F93" s="6"/>
      <c r="G93" s="6"/>
    </row>
    <row r="94" spans="1:23">
      <c r="A94" s="6"/>
      <c r="B94" s="26" t="s">
        <v>7</v>
      </c>
      <c r="D94" s="56" t="s">
        <v>8</v>
      </c>
      <c r="E94" s="6"/>
    </row>
    <row r="95" spans="1:23">
      <c r="A95" s="6"/>
      <c r="B95" s="6"/>
      <c r="D95" s="20"/>
      <c r="E95" s="6"/>
      <c r="F95" s="21"/>
      <c r="G95" s="6"/>
    </row>
    <row r="96" spans="1:23">
      <c r="A96" s="6"/>
      <c r="B96" s="25" t="s">
        <v>5</v>
      </c>
      <c r="D96" s="25" t="s">
        <v>6</v>
      </c>
      <c r="E96" s="6"/>
      <c r="F96" s="20"/>
      <c r="G96" s="18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</row>
    <row r="97" spans="1:23">
      <c r="A97" s="6"/>
      <c r="B97" s="28"/>
      <c r="C97" s="28"/>
      <c r="D97" s="28"/>
      <c r="E97" s="6"/>
      <c r="F97" s="29"/>
      <c r="G97" s="28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</row>
    <row r="98" spans="1:23" ht="14.25">
      <c r="B98" s="27"/>
      <c r="C98" s="25" t="s">
        <v>125</v>
      </c>
      <c r="D98" s="30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</row>
    <row r="99" spans="1:23" ht="14.25" hidden="1">
      <c r="B99" s="27"/>
      <c r="C99" s="25"/>
      <c r="D99" s="30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</row>
    <row r="100" spans="1:23" ht="15" hidden="1">
      <c r="A100" s="119"/>
      <c r="B100" s="120"/>
      <c r="C100" s="120"/>
      <c r="D100" s="80"/>
      <c r="E100" s="121"/>
      <c r="F100" s="119"/>
      <c r="G100" s="119"/>
      <c r="H100" s="119">
        <f>IF(B79=1,185,0)</f>
        <v>185</v>
      </c>
      <c r="I100" s="119">
        <f>IF(B79=2,385,0)</f>
        <v>0</v>
      </c>
      <c r="J100" s="119">
        <f>IF(B79&gt;2,(385+(B79-2)*200),0)</f>
        <v>0</v>
      </c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</row>
    <row r="101" spans="1:23" ht="15" hidden="1">
      <c r="A101" s="119"/>
      <c r="B101" s="120"/>
      <c r="C101" s="120"/>
      <c r="D101" s="80"/>
      <c r="E101" s="121"/>
      <c r="F101" s="119"/>
      <c r="G101" s="119"/>
      <c r="H101" s="119"/>
      <c r="I101" s="119"/>
      <c r="J101" s="119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</row>
    <row r="102" spans="1:23" ht="15" hidden="1">
      <c r="A102" s="119"/>
      <c r="B102" s="120"/>
      <c r="C102" s="120"/>
      <c r="D102" s="80"/>
      <c r="E102" s="121"/>
      <c r="F102" s="119"/>
      <c r="G102" s="119"/>
      <c r="H102" s="119">
        <f>SUM(H100:J100)</f>
        <v>185</v>
      </c>
      <c r="I102" s="119"/>
      <c r="J102" s="119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</row>
    <row r="103" spans="1:23" ht="15" hidden="1">
      <c r="A103" s="119"/>
      <c r="B103" s="120"/>
      <c r="C103" s="120"/>
      <c r="D103" s="80"/>
      <c r="E103" s="121"/>
      <c r="F103" s="119"/>
      <c r="G103" s="119"/>
      <c r="H103" s="119"/>
      <c r="I103" s="119"/>
      <c r="J103" s="119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</row>
    <row r="104" spans="1:23" ht="15" hidden="1">
      <c r="A104" s="119"/>
      <c r="B104" s="120"/>
      <c r="C104" s="120"/>
      <c r="D104" s="80"/>
      <c r="E104" s="121"/>
      <c r="F104" s="119"/>
      <c r="G104" s="119"/>
      <c r="H104" s="119"/>
      <c r="I104" s="119"/>
      <c r="J104" s="119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</row>
    <row r="105" spans="1:23" ht="15" hidden="1">
      <c r="A105" s="119"/>
      <c r="B105" s="120"/>
      <c r="C105" s="120"/>
      <c r="D105" s="80"/>
      <c r="E105" s="121"/>
      <c r="F105" s="119"/>
      <c r="G105" s="119"/>
      <c r="H105" s="119"/>
      <c r="I105" s="119"/>
      <c r="J105" s="119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</row>
    <row r="106" spans="1:23" hidden="1">
      <c r="A106" s="119" t="s">
        <v>82</v>
      </c>
      <c r="B106" s="119" t="str">
        <f>A77</f>
        <v>Base</v>
      </c>
      <c r="C106" s="119"/>
      <c r="D106" s="119"/>
      <c r="F106" s="119"/>
      <c r="G106" s="119"/>
      <c r="H106" s="119"/>
      <c r="I106" s="119"/>
      <c r="J106" s="119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</row>
    <row r="107" spans="1:23" hidden="1">
      <c r="A107" s="119" t="s">
        <v>11</v>
      </c>
      <c r="B107" s="119" t="s">
        <v>11</v>
      </c>
      <c r="C107" s="119" t="s">
        <v>83</v>
      </c>
      <c r="D107" s="119" t="s">
        <v>84</v>
      </c>
      <c r="F107" s="119"/>
      <c r="G107" s="119"/>
      <c r="H107" s="119"/>
      <c r="I107" s="119"/>
      <c r="J107" s="119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</row>
    <row r="108" spans="1:23" hidden="1">
      <c r="A108" s="119">
        <v>0</v>
      </c>
      <c r="B108" s="119">
        <v>7500</v>
      </c>
      <c r="C108" s="119">
        <v>1.4250000000000001E-2</v>
      </c>
      <c r="D108" s="79">
        <f>IF(B77&lt;B108,B77*C108,B108*C108)</f>
        <v>0</v>
      </c>
      <c r="F108" s="119"/>
      <c r="G108" s="119"/>
      <c r="H108" s="119"/>
      <c r="I108" s="119"/>
      <c r="J108" s="119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</row>
    <row r="109" spans="1:23" hidden="1">
      <c r="A109" s="119">
        <v>7500</v>
      </c>
      <c r="B109" s="119">
        <v>17500</v>
      </c>
      <c r="C109" s="119">
        <v>1.14E-2</v>
      </c>
      <c r="D109" s="79" t="str">
        <f>IF(B77&lt;=A109," ",IF(B77&lt;B109,(B77-B108)*C109,(B109-A109)*C109))</f>
        <v xml:space="preserve"> </v>
      </c>
      <c r="F109" s="119"/>
      <c r="G109" s="119"/>
      <c r="H109" s="119"/>
      <c r="I109" s="119"/>
      <c r="J109" s="119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</row>
    <row r="110" spans="1:23" hidden="1">
      <c r="A110" s="119">
        <v>17500</v>
      </c>
      <c r="B110" s="119">
        <v>30000</v>
      </c>
      <c r="C110" s="119">
        <v>6.8399999999999997E-3</v>
      </c>
      <c r="D110" s="79" t="str">
        <f>IF(B77&lt;=A110," ",IF(B77&lt;B110,(B77-B109)*C110,(B110-A110)*C110))</f>
        <v xml:space="preserve"> </v>
      </c>
      <c r="F110" s="119"/>
      <c r="G110" s="119"/>
      <c r="H110" s="119"/>
      <c r="I110" s="119"/>
      <c r="J110" s="119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</row>
    <row r="111" spans="1:23" hidden="1">
      <c r="A111" s="119">
        <v>30000</v>
      </c>
      <c r="B111" s="119">
        <v>45495</v>
      </c>
      <c r="C111" s="119">
        <v>5.7000000000000002E-3</v>
      </c>
      <c r="D111" s="79" t="str">
        <f>IF(B77&lt;=A111," ",IF(B77&lt;B111,(B77-B110)*C111,(B111-A111)*C111))</f>
        <v xml:space="preserve"> </v>
      </c>
      <c r="F111" s="119"/>
      <c r="G111" s="119"/>
      <c r="H111" s="119"/>
      <c r="I111" s="119"/>
      <c r="J111" s="119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</row>
    <row r="112" spans="1:23" hidden="1">
      <c r="A112" s="119">
        <v>45495</v>
      </c>
      <c r="B112" s="119">
        <v>64095</v>
      </c>
      <c r="C112" s="119">
        <v>4.5599999999999998E-3</v>
      </c>
      <c r="D112" s="79" t="str">
        <f>IF(B77&lt;=A112," ",IF(B77&lt;B112,(B77-B111)*C112,(B112-A112)*C112))</f>
        <v xml:space="preserve"> </v>
      </c>
      <c r="F112" s="119"/>
      <c r="G112" s="119"/>
      <c r="H112" s="119"/>
      <c r="I112" s="119"/>
      <c r="J112" s="119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</row>
    <row r="113" spans="1:23" hidden="1">
      <c r="A113" s="119">
        <v>64095</v>
      </c>
      <c r="B113" s="119">
        <v>250095</v>
      </c>
      <c r="C113" s="119">
        <v>2.2799999999999999E-3</v>
      </c>
      <c r="D113" s="79" t="str">
        <f>IF(B77&lt;=A113," ",IF(B77&lt;B113,(B77-B112)*C113,(B113-A113)*C113))</f>
        <v xml:space="preserve"> </v>
      </c>
      <c r="F113" s="119"/>
      <c r="G113" s="119"/>
      <c r="H113" s="119"/>
      <c r="I113" s="119"/>
      <c r="J113" s="119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</row>
    <row r="114" spans="1:23" hidden="1">
      <c r="A114" s="119">
        <v>250095</v>
      </c>
      <c r="B114" s="119">
        <v>99999999999</v>
      </c>
      <c r="C114" s="119">
        <v>4.5600000000000003E-4</v>
      </c>
      <c r="D114" s="79" t="str">
        <f>IF(B77&lt;=A114," ",IF(B77&lt;B114,(B77-B113)*C114,(B114-A114)*C114))</f>
        <v xml:space="preserve"> </v>
      </c>
      <c r="F114" s="119"/>
      <c r="G114" s="119"/>
      <c r="H114" s="119"/>
      <c r="I114" s="119"/>
      <c r="J114" s="119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</row>
    <row r="115" spans="1:23" hidden="1">
      <c r="A115" s="119"/>
      <c r="B115" s="119"/>
      <c r="C115" s="119"/>
      <c r="D115" s="119"/>
      <c r="E115" s="119"/>
      <c r="F115" s="119"/>
      <c r="G115" s="119"/>
      <c r="H115" s="119"/>
      <c r="I115" s="119"/>
      <c r="J115" s="119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</row>
    <row r="116" spans="1:23" hidden="1">
      <c r="A116" s="119" t="s">
        <v>13</v>
      </c>
      <c r="B116" s="119"/>
      <c r="C116" s="119"/>
      <c r="D116" s="119"/>
      <c r="E116" s="119"/>
      <c r="F116" s="119"/>
      <c r="G116" s="119"/>
      <c r="H116" s="119" t="s">
        <v>85</v>
      </c>
      <c r="I116" s="79">
        <f>SUM(D108:D115)</f>
        <v>0</v>
      </c>
      <c r="J116" s="119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</row>
    <row r="117" spans="1:23" hidden="1">
      <c r="A117" s="119"/>
      <c r="B117" s="119"/>
      <c r="C117" s="119"/>
      <c r="D117" s="119"/>
      <c r="E117" s="119"/>
      <c r="F117" s="119"/>
      <c r="G117" s="119"/>
      <c r="H117" s="119" t="s">
        <v>86</v>
      </c>
      <c r="I117" s="79">
        <f>I116/4</f>
        <v>0</v>
      </c>
      <c r="J117" s="119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</row>
    <row r="118" spans="1:23" ht="14.25" hidden="1">
      <c r="B118" s="27"/>
      <c r="C118" s="25"/>
      <c r="D118" s="30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</row>
    <row r="119" spans="1:23" ht="14.25" hidden="1">
      <c r="B119" s="27"/>
      <c r="C119" s="25"/>
      <c r="D119" s="30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</row>
    <row r="120" spans="1:23" ht="14.25" hidden="1">
      <c r="B120" s="27"/>
      <c r="C120" s="25"/>
      <c r="D120" s="30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</row>
    <row r="121" spans="1:23" ht="14.25" hidden="1">
      <c r="B121" s="27"/>
      <c r="C121" s="25"/>
      <c r="D121" s="30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</row>
    <row r="122" spans="1:23" ht="14.25" hidden="1">
      <c r="B122" s="27"/>
      <c r="C122" s="25"/>
      <c r="D122" s="30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</row>
    <row r="123" spans="1:23" ht="15" hidden="1" thickBot="1">
      <c r="B123" s="27"/>
      <c r="C123" s="25"/>
      <c r="D123" s="30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</row>
    <row r="124" spans="1:23" hidden="1">
      <c r="A124" s="154" t="s">
        <v>102</v>
      </c>
      <c r="B124" s="155"/>
      <c r="C124" s="155"/>
      <c r="D124" s="156"/>
      <c r="E124" s="122"/>
      <c r="F124" s="122" t="s">
        <v>103</v>
      </c>
      <c r="G124" s="122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</row>
    <row r="125" spans="1:23" hidden="1">
      <c r="A125" s="157">
        <v>67.31</v>
      </c>
      <c r="B125" s="158" t="s">
        <v>104</v>
      </c>
      <c r="C125" s="158">
        <v>25000</v>
      </c>
      <c r="D125" s="159"/>
      <c r="E125" s="122"/>
      <c r="F125" s="122"/>
      <c r="G125" s="122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</row>
    <row r="126" spans="1:23" ht="13.5" hidden="1" thickBot="1">
      <c r="A126" s="160">
        <v>23.56</v>
      </c>
      <c r="B126" s="161" t="s">
        <v>105</v>
      </c>
      <c r="C126" s="161">
        <v>25000</v>
      </c>
      <c r="D126" s="162" t="s">
        <v>106</v>
      </c>
      <c r="E126" s="122"/>
      <c r="F126" s="122"/>
      <c r="G126" s="122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</row>
    <row r="127" spans="1:23" hidden="1">
      <c r="A127" s="122"/>
      <c r="B127" s="122"/>
      <c r="C127" s="122"/>
      <c r="D127" s="122"/>
      <c r="E127" s="122"/>
      <c r="F127" s="122"/>
      <c r="G127" s="163">
        <f>C48-C44</f>
        <v>0</v>
      </c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</row>
    <row r="128" spans="1:23" hidden="1">
      <c r="A128" s="122"/>
      <c r="B128" s="122"/>
      <c r="C128" s="122"/>
      <c r="D128" s="122"/>
      <c r="E128" s="122"/>
      <c r="F128" s="122"/>
      <c r="G128" s="122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</row>
    <row r="129" spans="1:23" hidden="1">
      <c r="A129" s="122"/>
      <c r="B129" s="122"/>
      <c r="C129" s="122"/>
      <c r="D129" s="122"/>
      <c r="E129" s="122"/>
      <c r="F129" s="122"/>
      <c r="G129" s="164">
        <f>IF(G127&gt;0,G127*0.01,75)</f>
        <v>75</v>
      </c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</row>
    <row r="130" spans="1:23" hidden="1">
      <c r="A130" s="122" t="s">
        <v>107</v>
      </c>
      <c r="B130" s="122"/>
      <c r="C130" s="122" t="s">
        <v>11</v>
      </c>
      <c r="D130" s="122" t="s">
        <v>108</v>
      </c>
      <c r="E130" s="122"/>
      <c r="F130" s="122"/>
      <c r="G130" s="164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</row>
    <row r="131" spans="1:23" hidden="1">
      <c r="A131" s="122"/>
      <c r="B131" s="122"/>
      <c r="C131" s="163">
        <f>C54</f>
        <v>0</v>
      </c>
      <c r="D131" s="122">
        <f>IF(C54=0,575,550)</f>
        <v>575</v>
      </c>
      <c r="E131" s="122"/>
      <c r="F131" s="122"/>
      <c r="G131" s="164">
        <f>IF(G129&lt;75,75,G129)</f>
        <v>75</v>
      </c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</row>
    <row r="132" spans="1:23" hidden="1">
      <c r="A132" s="122"/>
      <c r="B132" s="122"/>
      <c r="C132" s="122"/>
      <c r="D132" s="122"/>
      <c r="E132" s="122"/>
      <c r="F132" s="122"/>
      <c r="G132" s="122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</row>
    <row r="133" spans="1:23" hidden="1">
      <c r="A133" s="122"/>
      <c r="B133" s="122"/>
      <c r="C133" s="122"/>
      <c r="D133" s="122"/>
      <c r="E133" s="122"/>
      <c r="F133" s="122"/>
      <c r="G133" s="122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</row>
    <row r="134" spans="1:23" hidden="1">
      <c r="A134" s="122"/>
      <c r="B134" s="122"/>
      <c r="C134" s="122"/>
      <c r="D134" s="122"/>
      <c r="E134" s="122"/>
      <c r="F134" s="122"/>
      <c r="G134" s="122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</row>
    <row r="135" spans="1:23" hidden="1">
      <c r="A135" s="165">
        <f>SUM(C52:C64)-C60-C62-C64</f>
        <v>1004.9999999999999</v>
      </c>
      <c r="B135" s="122"/>
      <c r="C135" s="122"/>
      <c r="D135" s="122"/>
      <c r="E135" s="122"/>
      <c r="F135" s="122"/>
      <c r="G135" s="122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</row>
    <row r="136" spans="1:23" ht="13.5" hidden="1" thickBot="1">
      <c r="A136" s="122"/>
      <c r="B136" s="122"/>
      <c r="C136" s="122"/>
      <c r="D136" s="122"/>
      <c r="E136" s="122"/>
      <c r="F136" s="122"/>
      <c r="G136" s="122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</row>
    <row r="137" spans="1:23" hidden="1">
      <c r="A137" s="154" t="s">
        <v>124</v>
      </c>
      <c r="B137" s="155"/>
      <c r="C137" s="155"/>
      <c r="D137" s="156"/>
      <c r="E137" s="122"/>
      <c r="F137" s="122"/>
      <c r="G137" s="122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</row>
    <row r="138" spans="1:23" hidden="1">
      <c r="A138" s="157">
        <v>117.11</v>
      </c>
      <c r="B138" s="158" t="s">
        <v>104</v>
      </c>
      <c r="C138" s="158">
        <v>25000</v>
      </c>
      <c r="D138" s="159"/>
      <c r="E138" s="122"/>
      <c r="F138" s="122"/>
      <c r="G138" s="122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</row>
    <row r="139" spans="1:23" ht="13.5" hidden="1" thickBot="1">
      <c r="A139" s="160">
        <v>23.56</v>
      </c>
      <c r="B139" s="161" t="s">
        <v>105</v>
      </c>
      <c r="C139" s="161">
        <v>25000</v>
      </c>
      <c r="D139" s="162" t="s">
        <v>106</v>
      </c>
      <c r="E139" s="122"/>
      <c r="F139" s="122"/>
      <c r="G139" s="122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</row>
    <row r="140" spans="1:23" hidden="1">
      <c r="A140" s="122"/>
      <c r="B140" s="122"/>
      <c r="C140" s="122"/>
      <c r="D140" s="122"/>
      <c r="E140" s="122"/>
      <c r="F140" s="122"/>
      <c r="G140" s="122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</row>
    <row r="141" spans="1:23" hidden="1">
      <c r="A141" s="122"/>
      <c r="B141" s="122"/>
      <c r="C141" s="122"/>
      <c r="D141" s="122"/>
      <c r="E141" s="122"/>
      <c r="F141" s="122"/>
      <c r="G141" s="122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</row>
    <row r="142" spans="1:23" hidden="1">
      <c r="A142" s="122"/>
      <c r="B142" s="122"/>
      <c r="C142" s="122"/>
      <c r="D142" s="122"/>
      <c r="E142" s="122"/>
      <c r="F142" s="122"/>
      <c r="G142" s="122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</row>
    <row r="143" spans="1:23" hidden="1">
      <c r="A143" s="122"/>
      <c r="B143" s="122"/>
      <c r="C143" s="122"/>
      <c r="D143" s="163">
        <f>ROUNDUP(B55+B56,-2)</f>
        <v>200</v>
      </c>
      <c r="E143" s="122"/>
      <c r="F143" s="122"/>
      <c r="G143" s="122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</row>
    <row r="144" spans="1:23" hidden="1">
      <c r="A144" s="122"/>
      <c r="B144" s="122"/>
      <c r="C144" s="122"/>
      <c r="D144" s="122">
        <f>IF((D143-B55-B56)&gt;90,D143-50,D143)</f>
        <v>200</v>
      </c>
      <c r="E144" s="122"/>
      <c r="F144" s="122"/>
      <c r="G144" s="122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</row>
    <row r="145" spans="1:23" hidden="1">
      <c r="A145" s="122"/>
      <c r="B145" s="122"/>
      <c r="C145" s="122"/>
      <c r="D145" s="122">
        <f>IF((D144-B55-B56)&lt;30,(B55+B56+30),D144)</f>
        <v>214.42000000000002</v>
      </c>
      <c r="E145" s="122"/>
      <c r="F145" s="122"/>
      <c r="G145" s="122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</row>
    <row r="146" spans="1:23" hidden="1">
      <c r="A146" s="122"/>
      <c r="B146" s="122"/>
      <c r="C146" s="122"/>
      <c r="D146" s="122">
        <f>ROUNDUP(D145,-1)</f>
        <v>220</v>
      </c>
      <c r="E146" s="122"/>
      <c r="F146" s="122"/>
      <c r="G146" s="122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</row>
    <row r="147" spans="1:23" ht="14.25" hidden="1">
      <c r="B147" s="27"/>
      <c r="C147" s="25"/>
      <c r="D147" s="30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</row>
    <row r="148" spans="1:23" ht="14.25" hidden="1">
      <c r="B148" s="27"/>
      <c r="C148" s="25"/>
      <c r="D148" s="30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</row>
    <row r="149" spans="1:23" ht="14.25" hidden="1">
      <c r="B149" s="27"/>
      <c r="C149" s="25"/>
      <c r="D149" s="30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</row>
    <row r="150" spans="1:23" ht="14.25" hidden="1">
      <c r="B150" s="27"/>
      <c r="C150" s="25"/>
      <c r="D150" s="30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</row>
    <row r="151" spans="1:23" ht="14.25" hidden="1">
      <c r="B151" s="27"/>
      <c r="C151" s="25"/>
      <c r="D151" s="30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</row>
    <row r="152" spans="1:23" ht="14.25" hidden="1">
      <c r="B152" s="27"/>
      <c r="C152" s="25"/>
      <c r="D152" s="30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</row>
    <row r="153" spans="1:23" ht="14.25" hidden="1">
      <c r="B153" s="27"/>
      <c r="C153" s="25"/>
      <c r="D153" s="30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</row>
    <row r="154" spans="1:23" ht="14.25" hidden="1">
      <c r="B154" s="27"/>
      <c r="C154" s="25"/>
      <c r="D154" s="30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</row>
    <row r="155" spans="1:23" ht="14.25" hidden="1">
      <c r="B155" s="27"/>
      <c r="C155" s="25"/>
      <c r="D155" s="30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</row>
    <row r="156" spans="1:23" ht="14.25" hidden="1">
      <c r="B156" s="27"/>
      <c r="C156" s="25"/>
      <c r="D156" s="30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</row>
    <row r="157" spans="1:23" ht="14.25" hidden="1">
      <c r="B157" s="27"/>
      <c r="C157" s="25"/>
      <c r="D157" s="30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</row>
    <row r="158" spans="1:23" ht="14.25" hidden="1">
      <c r="B158" s="27"/>
      <c r="C158" s="25"/>
      <c r="D158" s="30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</row>
    <row r="159" spans="1:23" ht="14.25" hidden="1">
      <c r="B159" s="27"/>
      <c r="C159" s="25"/>
      <c r="D159" s="30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</row>
    <row r="160" spans="1:23" ht="14.25" hidden="1">
      <c r="B160" s="27"/>
      <c r="C160" s="25"/>
      <c r="D160" s="30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</row>
    <row r="161" spans="1:23" ht="14.25" hidden="1">
      <c r="B161" s="27"/>
      <c r="C161" s="25"/>
      <c r="D161" s="30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</row>
    <row r="162" spans="1:23" ht="14.25" hidden="1">
      <c r="B162" s="27"/>
      <c r="C162" s="25"/>
      <c r="D162" s="30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</row>
    <row r="163" spans="1:23" ht="14.25" hidden="1">
      <c r="B163" s="27"/>
      <c r="C163" s="25"/>
      <c r="D163" s="30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</row>
    <row r="164" spans="1:23" ht="14.25" hidden="1">
      <c r="B164" s="27"/>
      <c r="C164" s="25"/>
      <c r="D164" s="30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</row>
    <row r="165" spans="1:23" ht="14.25" hidden="1">
      <c r="B165" s="27"/>
      <c r="C165" s="25"/>
      <c r="D165" s="30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</row>
    <row r="166" spans="1:23" ht="14.25" hidden="1">
      <c r="B166" s="27"/>
      <c r="C166" s="25"/>
      <c r="D166" s="30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</row>
    <row r="167" spans="1:23" ht="14.25" hidden="1">
      <c r="B167" s="27"/>
      <c r="C167" s="25"/>
      <c r="D167" s="30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</row>
    <row r="168" spans="1:23" ht="15" hidden="1">
      <c r="A168" s="166" t="s">
        <v>82</v>
      </c>
      <c r="B168" s="166"/>
      <c r="C168" s="167">
        <f>C48</f>
        <v>0</v>
      </c>
      <c r="D168" s="168"/>
      <c r="E168" s="169"/>
      <c r="F168" s="122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</row>
    <row r="169" spans="1:23" ht="15" hidden="1">
      <c r="A169" s="170">
        <v>0</v>
      </c>
      <c r="B169" s="171"/>
      <c r="C169" s="170">
        <v>7500</v>
      </c>
      <c r="D169" s="172">
        <v>8.5500000000000003E-3</v>
      </c>
      <c r="E169" s="173"/>
      <c r="F169" s="170">
        <f>IF(C168&lt;C169,C168*D169,C169*D169)</f>
        <v>0</v>
      </c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</row>
    <row r="170" spans="1:23" ht="15" hidden="1">
      <c r="A170" s="170">
        <v>7500</v>
      </c>
      <c r="B170" s="171"/>
      <c r="C170" s="170">
        <v>17500</v>
      </c>
      <c r="D170" s="172">
        <v>6.8399999999999997E-3</v>
      </c>
      <c r="E170" s="173"/>
      <c r="F170" s="171" t="str">
        <f>IF(C168&lt;=A170," ",IF(C168&lt;C170,(C168-C169)*D170,(C170-A170)*D170))</f>
        <v xml:space="preserve"> </v>
      </c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</row>
    <row r="171" spans="1:23" ht="15" hidden="1">
      <c r="A171" s="170">
        <v>17500</v>
      </c>
      <c r="B171" s="171"/>
      <c r="C171" s="170">
        <v>30000</v>
      </c>
      <c r="D171" s="172">
        <v>4.5599999999999998E-3</v>
      </c>
      <c r="E171" s="173"/>
      <c r="F171" s="171" t="str">
        <f>IF(C168&lt;=A171," ",IF(C168&lt;C171,(C168-C170)*D171,(C171-A171)*D171))</f>
        <v xml:space="preserve"> </v>
      </c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</row>
    <row r="172" spans="1:23" ht="15" hidden="1">
      <c r="A172" s="170">
        <v>30000</v>
      </c>
      <c r="B172" s="171"/>
      <c r="C172" s="170">
        <v>45495</v>
      </c>
      <c r="D172" s="172">
        <v>3.4199999999999999E-3</v>
      </c>
      <c r="E172" s="173"/>
      <c r="F172" s="171" t="str">
        <f>IF(C168&lt;=A172," ",IF(C168&lt;C172,(C168-C171)*D172,(C172-A172)*D172))</f>
        <v xml:space="preserve"> </v>
      </c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</row>
    <row r="173" spans="1:23" ht="15" hidden="1">
      <c r="A173" s="170">
        <v>45495</v>
      </c>
      <c r="B173" s="171"/>
      <c r="C173" s="170">
        <v>64095</v>
      </c>
      <c r="D173" s="172">
        <v>2.2799999999999999E-3</v>
      </c>
      <c r="E173" s="173"/>
      <c r="F173" s="171" t="str">
        <f>IF(C168&lt;=A173," ",IF(C168&lt;C173,(C168-C172)*D173,(C173-A173)*D173))</f>
        <v xml:space="preserve"> </v>
      </c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</row>
    <row r="174" spans="1:23" ht="15" hidden="1">
      <c r="A174" s="170">
        <v>64095</v>
      </c>
      <c r="B174" s="171"/>
      <c r="C174" s="170">
        <v>250095</v>
      </c>
      <c r="D174" s="172">
        <v>1.14E-3</v>
      </c>
      <c r="E174" s="173"/>
      <c r="F174" s="171" t="str">
        <f>IF(C168&lt;=A174," ",IF(C168&lt;C174,(C168-C173)*D174,(C174-A174)*D174))</f>
        <v xml:space="preserve"> </v>
      </c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</row>
    <row r="175" spans="1:23" ht="15" hidden="1">
      <c r="A175" s="170">
        <v>250095</v>
      </c>
      <c r="B175" s="171"/>
      <c r="C175" s="170">
        <f>$D$8</f>
        <v>0</v>
      </c>
      <c r="D175" s="174">
        <v>3.4200000000000002E-4</v>
      </c>
      <c r="E175" s="173"/>
      <c r="F175" s="171" t="str">
        <f>IF(C168&lt;=A175," ",IF(C168&lt;C175,(C168-C174)*D175,(C175-A175)*D175))</f>
        <v xml:space="preserve"> </v>
      </c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</row>
    <row r="176" spans="1:23" ht="15" hidden="1">
      <c r="A176" s="167">
        <v>10075000</v>
      </c>
      <c r="B176" s="167"/>
      <c r="C176" s="167">
        <f>C168</f>
        <v>0</v>
      </c>
      <c r="D176" s="174">
        <v>4.5600000000000003E-4</v>
      </c>
      <c r="E176" s="167" t="str">
        <f>IF(C168&lt;=A176," E90",IF(C168&lt;C176,(C168-C175)*D176,(C176-A176)*D176))</f>
        <v xml:space="preserve"> E90</v>
      </c>
      <c r="F176" s="122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</row>
    <row r="177" spans="1:23" ht="15" hidden="1">
      <c r="A177" s="169"/>
      <c r="B177" s="169"/>
      <c r="C177" s="169"/>
      <c r="D177" s="169"/>
      <c r="E177" s="169"/>
      <c r="F177" s="122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</row>
    <row r="178" spans="1:23" ht="15" hidden="1">
      <c r="A178" s="175" t="s">
        <v>13</v>
      </c>
      <c r="B178" s="176"/>
      <c r="C178" s="169"/>
      <c r="D178" s="169"/>
      <c r="E178" s="177">
        <f>SUM(F169:F176)</f>
        <v>0</v>
      </c>
      <c r="F178" s="122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</row>
    <row r="179" spans="1:23" ht="15" hidden="1">
      <c r="A179" s="176"/>
      <c r="B179" s="176"/>
      <c r="C179" s="169"/>
      <c r="D179" s="169"/>
      <c r="E179" s="118"/>
      <c r="F179" s="122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</row>
    <row r="180" spans="1:23" ht="15" hidden="1">
      <c r="A180" s="166" t="s">
        <v>82</v>
      </c>
      <c r="B180" s="166"/>
      <c r="C180" s="167">
        <f>C44</f>
        <v>0</v>
      </c>
      <c r="D180" s="168"/>
      <c r="E180" s="169"/>
      <c r="F180" s="122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</row>
    <row r="181" spans="1:23" ht="15" hidden="1">
      <c r="A181" s="170">
        <v>0</v>
      </c>
      <c r="B181" s="171"/>
      <c r="C181" s="170">
        <v>7500</v>
      </c>
      <c r="D181" s="172">
        <v>8.5500000000000003E-3</v>
      </c>
      <c r="E181" s="173"/>
      <c r="F181" s="170">
        <f>IF(C180&lt;C181,C180*D181,C181*D181)</f>
        <v>0</v>
      </c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</row>
    <row r="182" spans="1:23" ht="15" hidden="1">
      <c r="A182" s="170">
        <v>7500</v>
      </c>
      <c r="B182" s="171"/>
      <c r="C182" s="170">
        <v>17500</v>
      </c>
      <c r="D182" s="172">
        <v>6.8399999999999997E-3</v>
      </c>
      <c r="E182" s="173"/>
      <c r="F182" s="171" t="str">
        <f>IF(C180&lt;=A182," ",IF(C180&lt;C182,(C180-C181)*D182,(C182-A182)*D182))</f>
        <v xml:space="preserve"> </v>
      </c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</row>
    <row r="183" spans="1:23" ht="15" hidden="1">
      <c r="A183" s="170">
        <v>17500</v>
      </c>
      <c r="B183" s="171"/>
      <c r="C183" s="170">
        <v>30000</v>
      </c>
      <c r="D183" s="172">
        <v>4.5599999999999998E-3</v>
      </c>
      <c r="E183" s="173"/>
      <c r="F183" s="171" t="str">
        <f>IF(C180&lt;=A183," ",IF(C180&lt;C183,(C180-C182)*D183,(C183-A183)*D183))</f>
        <v xml:space="preserve"> </v>
      </c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</row>
    <row r="184" spans="1:23" ht="15" hidden="1">
      <c r="A184" s="170">
        <v>30000</v>
      </c>
      <c r="B184" s="171"/>
      <c r="C184" s="170">
        <v>45495</v>
      </c>
      <c r="D184" s="172">
        <v>3.4199999999999999E-3</v>
      </c>
      <c r="E184" s="173"/>
      <c r="F184" s="171" t="str">
        <f>IF(C180&lt;=A184," ",IF(C180&lt;C184,(C180-C183)*D184,(C184-A184)*D184))</f>
        <v xml:space="preserve"> </v>
      </c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</row>
    <row r="185" spans="1:23" ht="15" hidden="1">
      <c r="A185" s="170">
        <v>45495</v>
      </c>
      <c r="B185" s="171"/>
      <c r="C185" s="170">
        <v>64095</v>
      </c>
      <c r="D185" s="172">
        <v>2.2799999999999999E-3</v>
      </c>
      <c r="E185" s="173"/>
      <c r="F185" s="171" t="str">
        <f>IF(C180&lt;=A185," ",IF(C180&lt;C185,(C180-C184)*D185,(C185-A185)*D185))</f>
        <v xml:space="preserve"> </v>
      </c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</row>
    <row r="186" spans="1:23" ht="15" hidden="1">
      <c r="A186" s="170">
        <v>64095</v>
      </c>
      <c r="B186" s="171"/>
      <c r="C186" s="170">
        <v>250095</v>
      </c>
      <c r="D186" s="172">
        <v>1.14E-3</v>
      </c>
      <c r="E186" s="173"/>
      <c r="F186" s="171" t="str">
        <f>IF(C180&lt;=A186," ",IF(C180&lt;C186,(C180-C185)*D186,(C186-A186)*D186))</f>
        <v xml:space="preserve"> </v>
      </c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</row>
    <row r="187" spans="1:23" ht="15" hidden="1">
      <c r="A187" s="170">
        <v>250095</v>
      </c>
      <c r="B187" s="171"/>
      <c r="C187" s="170">
        <f>$D$8</f>
        <v>0</v>
      </c>
      <c r="D187" s="174">
        <v>3.4200000000000002E-4</v>
      </c>
      <c r="E187" s="173"/>
      <c r="F187" s="171" t="str">
        <f>IF(C180&lt;=A187," ",IF(C180&lt;C187,(C180-C186)*D187,(C187-A187)*D187))</f>
        <v xml:space="preserve"> </v>
      </c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</row>
    <row r="188" spans="1:23" ht="15" hidden="1">
      <c r="A188" s="167">
        <v>10075000</v>
      </c>
      <c r="B188" s="167"/>
      <c r="C188" s="167">
        <f>C180</f>
        <v>0</v>
      </c>
      <c r="D188" s="174">
        <v>4.5600000000000003E-4</v>
      </c>
      <c r="E188" s="167" t="str">
        <f>IF(C180&lt;=A188," E90",IF(C180&lt;C188,(C180-C187)*D188,(C188-A188)*D188))</f>
        <v xml:space="preserve"> E90</v>
      </c>
      <c r="F188" s="122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</row>
    <row r="189" spans="1:23" ht="15" hidden="1">
      <c r="A189" s="169"/>
      <c r="B189" s="169"/>
      <c r="C189" s="169"/>
      <c r="D189" s="169"/>
      <c r="E189" s="169"/>
      <c r="F189" s="122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</row>
    <row r="190" spans="1:23" ht="15" hidden="1">
      <c r="A190" s="175" t="s">
        <v>13</v>
      </c>
      <c r="B190" s="176"/>
      <c r="C190" s="169"/>
      <c r="D190" s="169"/>
      <c r="E190" s="177">
        <f>SUM(F181:F188)</f>
        <v>0</v>
      </c>
      <c r="F190" s="122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</row>
    <row r="191" spans="1:23" hidden="1">
      <c r="A191" s="122"/>
      <c r="B191" s="122"/>
      <c r="C191" s="122"/>
      <c r="D191" s="122"/>
      <c r="E191" s="122"/>
      <c r="F191" s="122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</row>
    <row r="192" spans="1:23" hidden="1">
      <c r="A192" s="122"/>
      <c r="B192" s="122"/>
      <c r="C192" s="122"/>
      <c r="D192" s="122"/>
      <c r="E192" s="122"/>
      <c r="F192" s="122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</row>
    <row r="193" spans="1:23" ht="15" hidden="1">
      <c r="A193" s="166" t="s">
        <v>82</v>
      </c>
      <c r="B193" s="166"/>
      <c r="C193" s="167">
        <f>C48</f>
        <v>0</v>
      </c>
      <c r="D193" s="168"/>
      <c r="E193" s="169"/>
      <c r="F193" s="122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</row>
    <row r="194" spans="1:23" ht="15" hidden="1">
      <c r="A194" s="170">
        <v>0</v>
      </c>
      <c r="B194" s="171"/>
      <c r="C194" s="170">
        <v>7500</v>
      </c>
      <c r="D194" s="172">
        <v>1.7100000000000001E-2</v>
      </c>
      <c r="E194" s="173"/>
      <c r="F194" s="170">
        <f>IF(C193&lt;C194,C193*D194,C194*D194)</f>
        <v>0</v>
      </c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</row>
    <row r="195" spans="1:23" ht="15" hidden="1">
      <c r="A195" s="170">
        <v>7500</v>
      </c>
      <c r="B195" s="171"/>
      <c r="C195" s="170">
        <v>17500</v>
      </c>
      <c r="D195" s="172">
        <v>1.3679999999999999E-2</v>
      </c>
      <c r="E195" s="173"/>
      <c r="F195" s="171" t="str">
        <f>IF(C193&lt;=A195," ",IF(C193&lt;C195,(C193-C194)*D195,(C195-A195)*D195))</f>
        <v xml:space="preserve"> </v>
      </c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</row>
    <row r="196" spans="1:23" ht="15" hidden="1">
      <c r="A196" s="170">
        <v>17500</v>
      </c>
      <c r="B196" s="171"/>
      <c r="C196" s="170">
        <v>30000</v>
      </c>
      <c r="D196" s="172">
        <v>9.1199999999999996E-3</v>
      </c>
      <c r="E196" s="173"/>
      <c r="F196" s="171" t="str">
        <f>IF(C193&lt;=A196," ",IF(C193&lt;C196,(C193-C195)*D196,(C196-A196)*D196))</f>
        <v xml:space="preserve"> </v>
      </c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</row>
    <row r="197" spans="1:23" ht="15" hidden="1">
      <c r="A197" s="170">
        <v>30000</v>
      </c>
      <c r="B197" s="171"/>
      <c r="C197" s="170">
        <v>45495</v>
      </c>
      <c r="D197" s="172">
        <v>6.8399999999999997E-3</v>
      </c>
      <c r="E197" s="173"/>
      <c r="F197" s="171" t="str">
        <f>IF(C193&lt;=A197," ",IF(C193&lt;C197,(C193-C196)*D197,(C197-A197)*D197))</f>
        <v xml:space="preserve"> </v>
      </c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</row>
    <row r="198" spans="1:23" ht="15" hidden="1">
      <c r="A198" s="170">
        <v>45495</v>
      </c>
      <c r="B198" s="171"/>
      <c r="C198" s="170">
        <v>64095</v>
      </c>
      <c r="D198" s="172">
        <v>4.5599999999999998E-3</v>
      </c>
      <c r="E198" s="173"/>
      <c r="F198" s="171" t="str">
        <f>IF(C193&lt;=A198," ",IF(C193&lt;C198,(C193-C197)*D198,(C198-A198)*D198))</f>
        <v xml:space="preserve"> </v>
      </c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</row>
    <row r="199" spans="1:23" ht="15" hidden="1">
      <c r="A199" s="170">
        <v>64095</v>
      </c>
      <c r="B199" s="171"/>
      <c r="C199" s="170">
        <v>250095</v>
      </c>
      <c r="D199" s="172">
        <v>2.2799999999999999E-3</v>
      </c>
      <c r="E199" s="173"/>
      <c r="F199" s="171" t="str">
        <f>IF(C193&lt;=A199," ",IF(C193&lt;C199,(C193-C198)*D199,(C199-A199)*D199))</f>
        <v xml:space="preserve"> </v>
      </c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</row>
    <row r="200" spans="1:23" ht="15" hidden="1">
      <c r="A200" s="170">
        <v>250095</v>
      </c>
      <c r="B200" s="171"/>
      <c r="C200" s="170">
        <f>$D$8</f>
        <v>0</v>
      </c>
      <c r="D200" s="174">
        <v>4.5600000000000003E-4</v>
      </c>
      <c r="E200" s="173"/>
      <c r="F200" s="171" t="str">
        <f>IF(C193&lt;=A200," ",IF(C193&lt;C200,(C193-C199)*D200,(C200-A200)*D200))</f>
        <v xml:space="preserve"> </v>
      </c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</row>
    <row r="201" spans="1:23" ht="15" hidden="1">
      <c r="A201" s="167">
        <v>10075000</v>
      </c>
      <c r="B201" s="167"/>
      <c r="C201" s="167">
        <f>C193</f>
        <v>0</v>
      </c>
      <c r="D201" s="174">
        <v>4.5600000000000003E-4</v>
      </c>
      <c r="E201" s="167" t="str">
        <f>IF(C193&lt;=A201," E90",IF(C193&lt;C201,(C193-C200)*D201,(C201-A201)*D201))</f>
        <v xml:space="preserve"> E90</v>
      </c>
      <c r="F201" s="122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</row>
    <row r="202" spans="1:23" ht="15" hidden="1">
      <c r="A202" s="169"/>
      <c r="B202" s="169"/>
      <c r="C202" s="169"/>
      <c r="D202" s="169"/>
      <c r="E202" s="169"/>
      <c r="F202" s="122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</row>
    <row r="203" spans="1:23" ht="15" hidden="1">
      <c r="A203" s="175" t="s">
        <v>13</v>
      </c>
      <c r="B203" s="176"/>
      <c r="C203" s="169"/>
      <c r="D203" s="169"/>
      <c r="E203" s="177">
        <f>SUM(F194:F201)</f>
        <v>0</v>
      </c>
      <c r="F203" s="122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</row>
    <row r="204" spans="1:23" hidden="1">
      <c r="A204" s="122"/>
      <c r="B204" s="122"/>
      <c r="C204" s="122"/>
      <c r="D204" s="122"/>
      <c r="E204" s="122"/>
      <c r="F204" s="122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</row>
    <row r="205" spans="1:23" hidden="1">
      <c r="A205" s="122"/>
      <c r="B205" s="122"/>
      <c r="C205" s="122"/>
      <c r="D205" s="122"/>
      <c r="E205" s="122"/>
      <c r="F205" s="122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</row>
    <row r="206" spans="1:23" ht="15" hidden="1">
      <c r="A206" s="166" t="s">
        <v>82</v>
      </c>
      <c r="B206" s="166"/>
      <c r="C206" s="167">
        <f>C44</f>
        <v>0</v>
      </c>
      <c r="D206" s="168"/>
      <c r="E206" s="169"/>
      <c r="F206" s="122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</row>
    <row r="207" spans="1:23" ht="15" hidden="1">
      <c r="A207" s="170">
        <v>0</v>
      </c>
      <c r="B207" s="171"/>
      <c r="C207" s="170">
        <v>7500</v>
      </c>
      <c r="D207" s="172">
        <v>1.7100000000000001E-2</v>
      </c>
      <c r="E207" s="173"/>
      <c r="F207" s="170">
        <f>IF(C206&lt;C207,C206*D207,C207*D207)</f>
        <v>0</v>
      </c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</row>
    <row r="208" spans="1:23" ht="15" hidden="1">
      <c r="A208" s="170">
        <v>7500</v>
      </c>
      <c r="B208" s="171"/>
      <c r="C208" s="170">
        <v>17500</v>
      </c>
      <c r="D208" s="172">
        <v>1.3679999999999999E-2</v>
      </c>
      <c r="E208" s="173"/>
      <c r="F208" s="171" t="str">
        <f>IF(C206&lt;=A208," ",IF(C206&lt;C208,(C206-C207)*D208,(C208-A208)*D208))</f>
        <v xml:space="preserve"> </v>
      </c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</row>
    <row r="209" spans="1:23" ht="15" hidden="1">
      <c r="A209" s="170">
        <v>17500</v>
      </c>
      <c r="B209" s="171"/>
      <c r="C209" s="170">
        <v>30000</v>
      </c>
      <c r="D209" s="172">
        <v>9.1199999999999996E-3</v>
      </c>
      <c r="E209" s="173"/>
      <c r="F209" s="171" t="str">
        <f>IF(C206&lt;=A209," ",IF(C206&lt;C209,(C206-C208)*D209,(C209-A209)*D209))</f>
        <v xml:space="preserve"> </v>
      </c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</row>
    <row r="210" spans="1:23" ht="15" hidden="1">
      <c r="A210" s="170">
        <v>30000</v>
      </c>
      <c r="B210" s="171"/>
      <c r="C210" s="170">
        <v>45495</v>
      </c>
      <c r="D210" s="172">
        <v>6.8399999999999997E-3</v>
      </c>
      <c r="E210" s="173"/>
      <c r="F210" s="171" t="str">
        <f>IF(C206&lt;=A210," ",IF(C206&lt;C210,(C206-C209)*D210,(C210-A210)*D210))</f>
        <v xml:space="preserve"> </v>
      </c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</row>
    <row r="211" spans="1:23" ht="15" hidden="1">
      <c r="A211" s="170">
        <v>45495</v>
      </c>
      <c r="B211" s="171"/>
      <c r="C211" s="170">
        <v>64095</v>
      </c>
      <c r="D211" s="172">
        <v>4.5599999999999998E-3</v>
      </c>
      <c r="E211" s="173"/>
      <c r="F211" s="171" t="str">
        <f>IF(C206&lt;=A211," ",IF(C206&lt;C211,(C206-C210)*D211,(C211-A211)*D211))</f>
        <v xml:space="preserve"> </v>
      </c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</row>
    <row r="212" spans="1:23" ht="15" hidden="1">
      <c r="A212" s="170">
        <v>64095</v>
      </c>
      <c r="B212" s="171"/>
      <c r="C212" s="170">
        <v>250095</v>
      </c>
      <c r="D212" s="172">
        <v>2.2799999999999999E-3</v>
      </c>
      <c r="E212" s="173"/>
      <c r="F212" s="171" t="str">
        <f>IF(C206&lt;=A212," ",IF(C206&lt;C212,(C206-C211)*D212,(C212-A212)*D212))</f>
        <v xml:space="preserve"> </v>
      </c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</row>
    <row r="213" spans="1:23" ht="15" hidden="1">
      <c r="A213" s="170">
        <v>250095</v>
      </c>
      <c r="B213" s="171"/>
      <c r="C213" s="170">
        <f>$D$8</f>
        <v>0</v>
      </c>
      <c r="D213" s="174">
        <v>4.5600000000000003E-4</v>
      </c>
      <c r="E213" s="173"/>
      <c r="F213" s="171" t="str">
        <f>IF(C206&lt;=A213," ",IF(C206&lt;C213,(C206-C212)*D213,(C213-A213)*D213))</f>
        <v xml:space="preserve"> </v>
      </c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</row>
    <row r="214" spans="1:23" ht="15" hidden="1">
      <c r="A214" s="167">
        <v>10075000</v>
      </c>
      <c r="B214" s="167"/>
      <c r="C214" s="167">
        <f>C206</f>
        <v>0</v>
      </c>
      <c r="D214" s="174">
        <v>4.5600000000000003E-4</v>
      </c>
      <c r="E214" s="167" t="str">
        <f>IF(C206&lt;=A214," E90",IF(C206&lt;C214,(C206-C213)*D214,(C214-A214)*D214))</f>
        <v xml:space="preserve"> E90</v>
      </c>
      <c r="F214" s="122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</row>
    <row r="215" spans="1:23" ht="15" hidden="1">
      <c r="A215" s="169"/>
      <c r="B215" s="169"/>
      <c r="C215" s="169"/>
      <c r="D215" s="169"/>
      <c r="E215" s="169"/>
      <c r="F215" s="122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</row>
    <row r="216" spans="1:23" ht="15" hidden="1">
      <c r="A216" s="175" t="s">
        <v>13</v>
      </c>
      <c r="B216" s="176"/>
      <c r="C216" s="169"/>
      <c r="D216" s="169"/>
      <c r="E216" s="177">
        <f>SUM(F207:F214)</f>
        <v>0</v>
      </c>
      <c r="F216" s="122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</row>
    <row r="217" spans="1:23" ht="14.25" hidden="1">
      <c r="B217" s="27"/>
      <c r="C217" s="25"/>
      <c r="D217" s="30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</row>
    <row r="218" spans="1:23" ht="14.25" hidden="1">
      <c r="B218" s="27"/>
      <c r="C218" s="25"/>
      <c r="D218" s="30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</row>
    <row r="219" spans="1:23" ht="14.25" hidden="1">
      <c r="B219" s="27"/>
      <c r="C219" s="25"/>
      <c r="D219" s="30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</row>
    <row r="220" spans="1:23" ht="14.25" hidden="1">
      <c r="B220" s="27"/>
      <c r="C220" s="25"/>
      <c r="D220" s="30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</row>
    <row r="221" spans="1:23" ht="14.25" hidden="1">
      <c r="B221" s="27"/>
      <c r="C221" s="25"/>
      <c r="D221" s="30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</row>
    <row r="222" spans="1:23" ht="14.25" hidden="1">
      <c r="B222" s="27"/>
      <c r="C222" s="25"/>
      <c r="D222" s="30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</row>
    <row r="223" spans="1:23" ht="14.25" hidden="1">
      <c r="B223" s="27"/>
      <c r="C223" s="25"/>
      <c r="D223" s="30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</row>
    <row r="224" spans="1:23" ht="14.25" hidden="1">
      <c r="B224" s="27"/>
      <c r="C224" s="25"/>
      <c r="D224" s="30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</row>
    <row r="225" spans="1:23" ht="14.25" hidden="1">
      <c r="B225" s="27"/>
      <c r="C225" s="25"/>
      <c r="D225" s="30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</row>
    <row r="226" spans="1:23" ht="14.25" hidden="1">
      <c r="B226" s="27"/>
      <c r="C226" s="30"/>
      <c r="D226" s="30"/>
      <c r="E226" s="25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</row>
    <row r="227" spans="1:23" ht="14.25" hidden="1">
      <c r="B227" s="27"/>
      <c r="D227" s="30"/>
      <c r="E227" s="25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</row>
    <row r="228" spans="1:23" ht="15" hidden="1">
      <c r="A228" s="80" t="s">
        <v>81</v>
      </c>
      <c r="B228" s="58"/>
      <c r="C228" s="58" t="s">
        <v>62</v>
      </c>
      <c r="D228" s="58" t="s">
        <v>62</v>
      </c>
      <c r="E228" s="58" t="s">
        <v>62</v>
      </c>
      <c r="F228" s="58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</row>
    <row r="229" spans="1:23" ht="15.75" hidden="1">
      <c r="A229" s="81" t="s">
        <v>14</v>
      </c>
      <c r="B229" s="59"/>
      <c r="C229" s="58" t="s">
        <v>63</v>
      </c>
      <c r="D229" s="58" t="s">
        <v>63</v>
      </c>
      <c r="E229" s="58" t="s">
        <v>63</v>
      </c>
      <c r="F229" s="58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</row>
    <row r="230" spans="1:23" ht="15.75" hidden="1">
      <c r="A230" s="81" t="s">
        <v>15</v>
      </c>
      <c r="B230" s="59"/>
      <c r="C230" s="58"/>
      <c r="D230" s="58"/>
      <c r="E230" s="58"/>
      <c r="F230" s="58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</row>
    <row r="231" spans="1:23" ht="15.75" hidden="1">
      <c r="A231" s="81" t="s">
        <v>16</v>
      </c>
      <c r="B231" s="59"/>
      <c r="C231" s="60">
        <f>B5*12.5/100</f>
        <v>0</v>
      </c>
      <c r="D231" s="58"/>
      <c r="E231" s="58"/>
      <c r="F231" s="58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</row>
    <row r="232" spans="1:23" ht="15.75" hidden="1">
      <c r="A232" s="81" t="s">
        <v>17</v>
      </c>
      <c r="B232" s="59"/>
      <c r="C232" s="61">
        <f>B5*10%</f>
        <v>0</v>
      </c>
      <c r="D232" s="58"/>
      <c r="E232" s="58"/>
      <c r="F232" s="58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</row>
    <row r="233" spans="1:23" ht="15.75" hidden="1">
      <c r="A233" s="81" t="s">
        <v>18</v>
      </c>
      <c r="B233" s="59"/>
      <c r="C233" s="79">
        <f>IF(B5&gt;150000,9000+(B5-150000)*12.5%,B5*6%)</f>
        <v>0</v>
      </c>
      <c r="D233" s="79">
        <f>IF(B5&gt;160000,9600+(B5-160000)*12.5%,B5*6%)</f>
        <v>0</v>
      </c>
      <c r="E233" s="58"/>
      <c r="F233" s="61">
        <f>IF(AND(B12="oui",B13="P.A.",B14="oui"),C234,0)</f>
        <v>0</v>
      </c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</row>
    <row r="234" spans="1:23" ht="15.75" hidden="1">
      <c r="A234" s="81" t="s">
        <v>19</v>
      </c>
      <c r="B234" s="59"/>
      <c r="C234" s="79">
        <f>IF(B5&gt;150000,7500+(B5-150000)*10%,B5*5%)</f>
        <v>0</v>
      </c>
      <c r="D234" s="79">
        <f>IF(B5&gt;160000,8000+(B5-160000)*10%,B5*5%)</f>
        <v>0</v>
      </c>
      <c r="E234" s="58"/>
      <c r="F234" s="61">
        <f>IF(AND(B12="oui",B13="P.A.",B14="non"),C233,0)</f>
        <v>0</v>
      </c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</row>
    <row r="235" spans="1:23" ht="15.75" hidden="1">
      <c r="A235" s="81" t="s">
        <v>20</v>
      </c>
      <c r="B235" s="59"/>
      <c r="C235" s="58"/>
      <c r="D235" s="58"/>
      <c r="E235" s="58"/>
      <c r="F235" s="61">
        <f>IF(AND(B12="non",B14="oui"),C232,0)</f>
        <v>0</v>
      </c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</row>
    <row r="236" spans="1:23" ht="15.75" hidden="1">
      <c r="A236" s="81" t="s">
        <v>21</v>
      </c>
      <c r="B236" s="59"/>
      <c r="C236" s="58"/>
      <c r="D236" s="58"/>
      <c r="E236" s="58"/>
      <c r="F236" s="61">
        <f>IF(AND(B12="non",B14="non"),C231,0)</f>
        <v>0</v>
      </c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</row>
    <row r="237" spans="1:23" ht="15.75" hidden="1">
      <c r="A237" s="81" t="s">
        <v>22</v>
      </c>
      <c r="B237" s="59"/>
      <c r="C237" s="58"/>
      <c r="D237" s="58"/>
      <c r="E237" s="58"/>
      <c r="F237" s="61">
        <f>IF(AND(B12="oui",B13&lt;&gt;"P.A.",B14="oui"),D234,0)</f>
        <v>0</v>
      </c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</row>
    <row r="238" spans="1:23" ht="15.75" hidden="1">
      <c r="A238" s="81" t="s">
        <v>44</v>
      </c>
      <c r="B238" s="59"/>
      <c r="C238" s="58"/>
      <c r="D238" s="58"/>
      <c r="E238" s="58"/>
      <c r="F238" s="61">
        <f>IF(AND(B12="oui",B13&lt;&gt;"P.A.",B14="non"),D233,0)</f>
        <v>0</v>
      </c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</row>
    <row r="239" spans="1:23" ht="15.75" hidden="1">
      <c r="A239" s="81" t="s">
        <v>23</v>
      </c>
      <c r="B239" s="59"/>
      <c r="C239" s="58"/>
      <c r="D239" s="58"/>
      <c r="E239" s="58"/>
      <c r="F239" s="61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</row>
    <row r="240" spans="1:23" ht="15.75" hidden="1">
      <c r="A240" s="81" t="s">
        <v>24</v>
      </c>
      <c r="B240" s="59"/>
      <c r="C240" s="58"/>
      <c r="D240" s="58"/>
      <c r="E240" s="58"/>
      <c r="F240" s="61">
        <f>SUM(F233:F239)</f>
        <v>0</v>
      </c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</row>
    <row r="241" spans="1:23" ht="15.75" hidden="1">
      <c r="A241" s="81" t="s">
        <v>25</v>
      </c>
      <c r="B241" s="59"/>
      <c r="C241" s="58"/>
      <c r="D241" s="58"/>
      <c r="E241" s="58"/>
      <c r="F241" s="58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</row>
    <row r="242" spans="1:23" ht="15.75" hidden="1">
      <c r="A242" s="81" t="s">
        <v>45</v>
      </c>
      <c r="B242" s="59"/>
      <c r="C242" s="58"/>
      <c r="D242" s="58"/>
      <c r="E242" s="58"/>
      <c r="F242" s="58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</row>
    <row r="243" spans="1:23" ht="15.75" hidden="1">
      <c r="A243" s="81" t="s">
        <v>26</v>
      </c>
      <c r="B243" s="59"/>
      <c r="C243" s="58"/>
      <c r="D243" s="58"/>
      <c r="E243" s="58"/>
      <c r="F243" s="58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</row>
    <row r="244" spans="1:23" ht="15.75" hidden="1">
      <c r="A244" s="81" t="s">
        <v>27</v>
      </c>
      <c r="B244" s="59"/>
      <c r="C244" s="58"/>
      <c r="D244" s="58"/>
      <c r="E244" s="58"/>
      <c r="F244" s="58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</row>
    <row r="245" spans="1:23" ht="15.75" hidden="1">
      <c r="A245" s="81" t="s">
        <v>28</v>
      </c>
      <c r="B245" s="59"/>
      <c r="C245" s="58"/>
      <c r="D245" s="58"/>
      <c r="E245" s="58"/>
      <c r="F245" s="58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</row>
    <row r="246" spans="1:23" ht="15.75" hidden="1">
      <c r="A246" s="81" t="s">
        <v>29</v>
      </c>
      <c r="B246" s="58"/>
      <c r="C246" s="58"/>
      <c r="D246" s="58"/>
      <c r="E246" s="58"/>
      <c r="F246" s="58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</row>
    <row r="247" spans="1:23" ht="15.75" hidden="1">
      <c r="A247" s="81" t="s">
        <v>79</v>
      </c>
      <c r="B247" s="58"/>
      <c r="C247" s="58"/>
      <c r="D247" s="58"/>
      <c r="E247" s="58"/>
      <c r="F247" s="58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</row>
    <row r="248" spans="1:23" ht="15.75" hidden="1">
      <c r="A248" s="81" t="s">
        <v>30</v>
      </c>
      <c r="B248" s="58"/>
      <c r="C248" s="58"/>
      <c r="D248" s="58"/>
      <c r="E248" s="58"/>
      <c r="F248" s="58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</row>
    <row r="249" spans="1:23" ht="15.75" hidden="1">
      <c r="A249" s="81" t="s">
        <v>31</v>
      </c>
      <c r="B249" s="58"/>
      <c r="C249" s="58"/>
      <c r="D249" s="58"/>
      <c r="E249" s="58"/>
      <c r="F249" s="58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</row>
    <row r="250" spans="1:23" ht="15.75" hidden="1">
      <c r="A250" s="81" t="s">
        <v>32</v>
      </c>
      <c r="B250" s="58"/>
      <c r="C250" s="58"/>
      <c r="D250" s="58"/>
      <c r="E250" s="58"/>
      <c r="F250" s="58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</row>
    <row r="251" spans="1:23" ht="15.75" hidden="1">
      <c r="A251" s="81" t="s">
        <v>33</v>
      </c>
      <c r="B251" s="58"/>
      <c r="C251" s="58"/>
      <c r="D251" s="58"/>
      <c r="E251" s="58"/>
      <c r="F251" s="58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</row>
    <row r="252" spans="1:23" ht="15.75" hidden="1">
      <c r="A252" s="81" t="s">
        <v>34</v>
      </c>
      <c r="B252" s="58"/>
      <c r="C252" s="58"/>
      <c r="D252" s="58"/>
      <c r="E252" s="58"/>
      <c r="F252" s="58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</row>
    <row r="253" spans="1:23" ht="15.75" hidden="1">
      <c r="A253" s="81" t="s">
        <v>35</v>
      </c>
      <c r="B253" s="62"/>
      <c r="C253" s="58"/>
      <c r="D253" s="58"/>
      <c r="E253" s="58"/>
      <c r="F253" s="58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</row>
    <row r="254" spans="1:23" ht="15.75" hidden="1">
      <c r="A254" s="81" t="s">
        <v>80</v>
      </c>
      <c r="B254" s="62"/>
      <c r="C254" s="58"/>
      <c r="D254" s="58"/>
      <c r="E254" s="58"/>
      <c r="F254" s="58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</row>
    <row r="255" spans="1:23" ht="15.75" hidden="1">
      <c r="A255" s="81" t="s">
        <v>36</v>
      </c>
      <c r="B255" s="58"/>
      <c r="C255" s="58"/>
      <c r="D255" s="58"/>
      <c r="E255" s="58"/>
      <c r="F255" s="58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</row>
    <row r="256" spans="1:23" ht="15.75" hidden="1">
      <c r="A256" s="81" t="s">
        <v>46</v>
      </c>
      <c r="B256" s="58"/>
      <c r="C256" s="58"/>
      <c r="D256" s="58"/>
      <c r="E256" s="58"/>
      <c r="F256" s="58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</row>
    <row r="257" spans="1:23" ht="15.75" hidden="1">
      <c r="A257" s="81" t="s">
        <v>47</v>
      </c>
      <c r="B257" s="58"/>
      <c r="C257" s="58"/>
      <c r="D257" s="58"/>
      <c r="E257" s="58"/>
      <c r="F257" s="58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</row>
    <row r="258" spans="1:23" ht="15.75" hidden="1">
      <c r="A258" s="81" t="s">
        <v>37</v>
      </c>
      <c r="B258" s="63"/>
      <c r="C258" s="58"/>
      <c r="D258" s="58"/>
      <c r="E258" s="64"/>
      <c r="F258" s="64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</row>
    <row r="259" spans="1:23" ht="15.75" hidden="1">
      <c r="A259" s="81" t="s">
        <v>38</v>
      </c>
      <c r="B259" s="57"/>
      <c r="C259" s="57"/>
      <c r="D259" s="57"/>
      <c r="E259" s="64"/>
      <c r="F259" s="64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</row>
    <row r="260" spans="1:23" ht="15.75" hidden="1">
      <c r="A260" s="81" t="s">
        <v>48</v>
      </c>
      <c r="B260" s="57"/>
      <c r="C260" s="57"/>
      <c r="D260" s="57"/>
      <c r="E260" s="57"/>
      <c r="F260" s="5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</row>
    <row r="261" spans="1:23" ht="15.75" hidden="1">
      <c r="A261" s="81" t="s">
        <v>49</v>
      </c>
      <c r="B261" s="57"/>
      <c r="C261" s="57"/>
      <c r="D261" s="57"/>
      <c r="E261" s="57"/>
      <c r="F261" s="5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</row>
    <row r="262" spans="1:23" ht="15.75" hidden="1">
      <c r="A262" s="81" t="s">
        <v>39</v>
      </c>
      <c r="B262" s="57"/>
      <c r="C262" s="57" t="s">
        <v>9</v>
      </c>
      <c r="D262" s="57" t="s">
        <v>10</v>
      </c>
      <c r="E262" s="57"/>
      <c r="F262" s="5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</row>
    <row r="263" spans="1:23" ht="15.75" hidden="1">
      <c r="A263" s="81" t="s">
        <v>40</v>
      </c>
      <c r="B263" s="57"/>
      <c r="C263" s="57"/>
      <c r="D263" s="57">
        <v>525</v>
      </c>
      <c r="E263" s="57"/>
      <c r="F263" s="5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</row>
    <row r="264" spans="1:23" ht="15.75" hidden="1">
      <c r="A264" s="81" t="s">
        <v>41</v>
      </c>
      <c r="B264" s="57"/>
      <c r="C264" s="57"/>
      <c r="D264" s="57">
        <v>100</v>
      </c>
      <c r="E264" s="57"/>
      <c r="F264" s="5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</row>
    <row r="265" spans="1:23" ht="15.75" hidden="1">
      <c r="A265" s="81" t="s">
        <v>42</v>
      </c>
      <c r="B265" s="57"/>
      <c r="C265" s="57"/>
      <c r="D265" s="57">
        <v>675</v>
      </c>
      <c r="E265" s="57"/>
      <c r="F265" s="5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</row>
    <row r="266" spans="1:23" ht="15.75" hidden="1">
      <c r="A266" s="81" t="s">
        <v>43</v>
      </c>
      <c r="B266" s="57"/>
      <c r="C266" s="57"/>
      <c r="D266" s="57"/>
      <c r="E266" s="57"/>
      <c r="F266" s="5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</row>
    <row r="267" spans="1:23" ht="15" hidden="1">
      <c r="A267" s="57"/>
      <c r="B267" s="57"/>
      <c r="C267" s="57"/>
      <c r="D267" s="57"/>
      <c r="E267" s="57"/>
      <c r="F267" s="5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</row>
    <row r="268" spans="1:23" ht="15" hidden="1">
      <c r="A268" s="57"/>
      <c r="B268" s="57"/>
      <c r="C268" s="57"/>
      <c r="D268" s="57"/>
      <c r="E268" s="57"/>
      <c r="F268" s="5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</row>
    <row r="269" spans="1:23" ht="14.25" hidden="1">
      <c r="A269" s="65" t="s">
        <v>11</v>
      </c>
      <c r="B269" s="65"/>
      <c r="C269" s="65" t="s">
        <v>11</v>
      </c>
      <c r="D269" s="66" t="s">
        <v>12</v>
      </c>
      <c r="E269" s="67"/>
      <c r="F269" s="65" t="s">
        <v>3</v>
      </c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</row>
    <row r="270" spans="1:23" ht="15" hidden="1">
      <c r="A270" s="68">
        <v>0</v>
      </c>
      <c r="B270" s="69"/>
      <c r="C270" s="68">
        <v>7500</v>
      </c>
      <c r="D270" s="70">
        <v>4.5600000000000002E-2</v>
      </c>
      <c r="E270" s="71"/>
      <c r="F270" s="68">
        <f>IF(B10&lt;C270,B10*D270,C270*D270)</f>
        <v>0</v>
      </c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</row>
    <row r="271" spans="1:23" ht="15" hidden="1">
      <c r="A271" s="68">
        <v>7500</v>
      </c>
      <c r="B271" s="69"/>
      <c r="C271" s="68">
        <v>17500</v>
      </c>
      <c r="D271" s="70">
        <v>2.8500000000000001E-2</v>
      </c>
      <c r="E271" s="71"/>
      <c r="F271" s="69" t="str">
        <f>IF(B10&lt;=A271," ",IF(B10&lt;C271,(B10-C270)*D271,(C271-A271)*D271))</f>
        <v xml:space="preserve"> </v>
      </c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</row>
    <row r="272" spans="1:23" ht="15" hidden="1">
      <c r="A272" s="68">
        <v>17500</v>
      </c>
      <c r="B272" s="69"/>
      <c r="C272" s="68">
        <v>30000</v>
      </c>
      <c r="D272" s="70">
        <v>2.2800000000000001E-2</v>
      </c>
      <c r="E272" s="71"/>
      <c r="F272" s="69" t="str">
        <f>IF(B10&lt;=A272," ",IF(B10&lt;C272,(B10-C271)*D272,(C272-A272)*D272))</f>
        <v xml:space="preserve"> </v>
      </c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</row>
    <row r="273" spans="1:23" ht="15" hidden="1">
      <c r="A273" s="68">
        <v>30000</v>
      </c>
      <c r="B273" s="69"/>
      <c r="C273" s="68">
        <v>45495</v>
      </c>
      <c r="D273" s="70">
        <v>1.7100000000000001E-2</v>
      </c>
      <c r="E273" s="71"/>
      <c r="F273" s="69" t="str">
        <f>IF(B10&lt;=A273," ",IF(B10&lt;C273,(B10-C272)*D273,(C273-A273)*D273))</f>
        <v xml:space="preserve"> </v>
      </c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</row>
    <row r="274" spans="1:23" ht="15" hidden="1">
      <c r="A274" s="68">
        <v>45495</v>
      </c>
      <c r="B274" s="69"/>
      <c r="C274" s="68">
        <v>64095</v>
      </c>
      <c r="D274" s="70">
        <v>1.14E-2</v>
      </c>
      <c r="E274" s="71"/>
      <c r="F274" s="69" t="str">
        <f>IF(B10&lt;=A274," ",IF(B10&lt;C274,(B10-C273)*D274,(C274-A274)*D274))</f>
        <v xml:space="preserve"> </v>
      </c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</row>
    <row r="275" spans="1:23" ht="15" hidden="1">
      <c r="A275" s="68">
        <v>64095</v>
      </c>
      <c r="B275" s="69"/>
      <c r="C275" s="68">
        <v>250095</v>
      </c>
      <c r="D275" s="70">
        <v>5.7000000000000002E-3</v>
      </c>
      <c r="E275" s="71"/>
      <c r="F275" s="69" t="str">
        <f>IF(B10&lt;=A275," ",IF(B10&lt;C275,(B10-C274)*D275,(C275-A275)*D275))</f>
        <v xml:space="preserve"> </v>
      </c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</row>
    <row r="276" spans="1:23" ht="15" hidden="1">
      <c r="A276" s="68">
        <v>250095</v>
      </c>
      <c r="B276" s="69"/>
      <c r="C276" s="68">
        <v>999999999</v>
      </c>
      <c r="D276" s="70">
        <v>5.6999999999999998E-4</v>
      </c>
      <c r="E276" s="71"/>
      <c r="F276" s="69" t="str">
        <f>IF(B10&lt;=A276," ",IF(B10&lt;C276,(B10-C275)*D276,(C276-A276)*D276))</f>
        <v xml:space="preserve"> </v>
      </c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</row>
    <row r="277" spans="1:23" ht="15" hidden="1">
      <c r="A277" s="72"/>
      <c r="B277" s="73"/>
      <c r="C277" s="73"/>
      <c r="D277" s="74"/>
      <c r="E277" s="75"/>
      <c r="F277" s="75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</row>
    <row r="278" spans="1:23" ht="15" hidden="1">
      <c r="A278" s="65" t="s">
        <v>13</v>
      </c>
      <c r="B278" s="76"/>
      <c r="C278" s="73"/>
      <c r="D278" s="77"/>
      <c r="E278" s="75"/>
      <c r="F278" s="78">
        <f>SUM(F270:F277)</f>
        <v>0</v>
      </c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</row>
    <row r="279" spans="1:23" hidden="1">
      <c r="A279" s="110" t="s">
        <v>102</v>
      </c>
      <c r="B279" s="110"/>
      <c r="C279" s="110"/>
      <c r="D279" s="110"/>
      <c r="E279" s="110"/>
      <c r="F279" s="110" t="s">
        <v>103</v>
      </c>
      <c r="G279" s="110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</row>
    <row r="280" spans="1:23" hidden="1">
      <c r="A280" s="110">
        <v>67.31</v>
      </c>
      <c r="B280" s="110" t="s">
        <v>104</v>
      </c>
      <c r="C280" s="110">
        <v>25000</v>
      </c>
      <c r="D280" s="110"/>
      <c r="E280" s="110"/>
      <c r="F280" s="110"/>
      <c r="G280" s="110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</row>
    <row r="281" spans="1:23" hidden="1">
      <c r="A281" s="110">
        <v>23.56</v>
      </c>
      <c r="B281" s="110" t="s">
        <v>105</v>
      </c>
      <c r="C281" s="110">
        <v>25000</v>
      </c>
      <c r="D281" s="110" t="s">
        <v>106</v>
      </c>
      <c r="E281" s="110"/>
      <c r="F281" s="110"/>
      <c r="G281" s="110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</row>
    <row r="282" spans="1:23" hidden="1"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</row>
    <row r="283" spans="1:23" hidden="1"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</row>
    <row r="284" spans="1:23" hidden="1"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</row>
    <row r="285" spans="1:23" hidden="1"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</row>
    <row r="286" spans="1:23" hidden="1"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</row>
    <row r="287" spans="1:23" hidden="1"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</row>
    <row r="288" spans="1:23" hidden="1">
      <c r="A288" s="31"/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</row>
    <row r="289" spans="1:23" hidden="1">
      <c r="B289" s="27"/>
      <c r="C289" s="27"/>
      <c r="D289" s="27"/>
      <c r="E289" s="27"/>
      <c r="F289" s="27"/>
      <c r="G289" s="27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27"/>
      <c r="V289" s="27"/>
      <c r="W289" s="27"/>
    </row>
    <row r="290" spans="1:23" hidden="1">
      <c r="A290" s="33"/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27"/>
      <c r="V290" s="27"/>
      <c r="W290" s="27"/>
    </row>
    <row r="291" spans="1:23" hidden="1">
      <c r="A291" s="33"/>
      <c r="B291" s="13" t="e">
        <f>IF(#REF!="oui",-1500,0)</f>
        <v>#REF!</v>
      </c>
      <c r="C291" s="32" t="e">
        <f>IF(AND(#REF!="oui",#REF!="oui"),-750,0)</f>
        <v>#REF!</v>
      </c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27"/>
      <c r="V291" s="27"/>
      <c r="W291" s="27"/>
    </row>
    <row r="292" spans="1:23" hidden="1">
      <c r="A292" s="33"/>
      <c r="B292" s="13" t="e">
        <f>IF(#REF!="oui",-750,0)</f>
        <v>#REF!</v>
      </c>
      <c r="C292" s="32" t="e">
        <f>IF(AND(#REF!="non",#REF!="oui"),-1500,0)</f>
        <v>#REF!</v>
      </c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27"/>
      <c r="V292" s="27"/>
      <c r="W292" s="27"/>
    </row>
    <row r="293" spans="1:23" hidden="1">
      <c r="A293" s="33"/>
      <c r="B293" s="32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27"/>
      <c r="V293" s="27"/>
      <c r="W293" s="27"/>
    </row>
    <row r="294" spans="1:23" hidden="1">
      <c r="A294" s="33"/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27"/>
      <c r="V294" s="27"/>
      <c r="W294" s="27"/>
    </row>
    <row r="295" spans="1:23" ht="13.5" hidden="1" thickBot="1">
      <c r="A295" s="33"/>
      <c r="B295" s="32"/>
      <c r="C295" s="32"/>
      <c r="D295" s="32"/>
      <c r="E295" s="32"/>
      <c r="F295" s="32"/>
      <c r="G295" s="32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</row>
    <row r="296" spans="1:23" ht="13.5" hidden="1" thickBot="1">
      <c r="A296" s="6"/>
      <c r="B296" s="34"/>
      <c r="C296" s="28"/>
      <c r="D296" s="28"/>
      <c r="E296" s="28"/>
      <c r="F296" s="28"/>
      <c r="G296" s="28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35"/>
      <c r="U296" s="35"/>
      <c r="V296" s="35"/>
      <c r="W296" s="35"/>
    </row>
    <row r="297" spans="1:23" ht="13.5" hidden="1" thickBot="1">
      <c r="A297" s="6"/>
      <c r="B297" s="6"/>
      <c r="C297" s="6"/>
      <c r="D297" s="6"/>
      <c r="E297" s="35"/>
      <c r="F297" s="35"/>
      <c r="G297" s="35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</row>
    <row r="298" spans="1:23" hidden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</row>
    <row r="299" spans="1:23" hidden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</row>
    <row r="300" spans="1:23" hidden="1">
      <c r="A300" s="6" t="s">
        <v>1</v>
      </c>
      <c r="B300" s="6"/>
      <c r="C300" s="6" t="s">
        <v>9</v>
      </c>
      <c r="D300" s="6" t="s">
        <v>10</v>
      </c>
      <c r="E300" s="6"/>
      <c r="F300" s="58" t="s">
        <v>62</v>
      </c>
      <c r="G300" s="58" t="s">
        <v>62</v>
      </c>
      <c r="H300" s="58" t="s">
        <v>62</v>
      </c>
      <c r="I300" s="58" t="s">
        <v>62</v>
      </c>
      <c r="J300" s="58" t="s">
        <v>62</v>
      </c>
      <c r="K300" s="58" t="s">
        <v>62</v>
      </c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</row>
    <row r="301" spans="1:23" hidden="1">
      <c r="A301" s="6"/>
      <c r="B301" s="6"/>
      <c r="C301" s="6"/>
      <c r="D301" s="6">
        <v>525</v>
      </c>
      <c r="E301" s="6"/>
      <c r="F301" s="58" t="s">
        <v>63</v>
      </c>
      <c r="G301" s="58" t="s">
        <v>63</v>
      </c>
      <c r="H301" s="58" t="s">
        <v>63</v>
      </c>
      <c r="I301" s="58" t="s">
        <v>63</v>
      </c>
      <c r="J301" s="58" t="s">
        <v>63</v>
      </c>
      <c r="K301" s="58" t="s">
        <v>63</v>
      </c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</row>
    <row r="302" spans="1:23" hidden="1">
      <c r="A302" s="6"/>
      <c r="B302" s="6"/>
      <c r="C302" s="6"/>
      <c r="D302" s="6">
        <v>100</v>
      </c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</row>
    <row r="303" spans="1:23" hidden="1">
      <c r="A303" s="6"/>
      <c r="B303" s="6"/>
      <c r="C303" s="6"/>
      <c r="D303" s="6">
        <v>675</v>
      </c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</row>
    <row r="304" spans="1:23" hidden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</row>
    <row r="305" spans="1:23" hidden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</row>
    <row r="306" spans="1:23" hidden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</row>
    <row r="307" spans="1:23" ht="14.25" hidden="1">
      <c r="A307" s="36" t="s">
        <v>11</v>
      </c>
      <c r="B307" s="36"/>
      <c r="C307" s="36" t="s">
        <v>11</v>
      </c>
      <c r="D307" s="37" t="s">
        <v>12</v>
      </c>
      <c r="E307" s="38"/>
      <c r="F307" s="36" t="s">
        <v>3</v>
      </c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</row>
    <row r="308" spans="1:23" ht="15" hidden="1">
      <c r="A308" s="39">
        <v>0</v>
      </c>
      <c r="B308" s="40"/>
      <c r="C308" s="39">
        <v>7500</v>
      </c>
      <c r="D308" s="41">
        <v>4.5600000000000002E-2</v>
      </c>
      <c r="E308" s="42"/>
      <c r="F308" s="39">
        <f>IF($B$10&lt;C308,$B$10*D308,C308*D308)</f>
        <v>0</v>
      </c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</row>
    <row r="309" spans="1:23" ht="15" hidden="1">
      <c r="A309" s="39">
        <v>7500</v>
      </c>
      <c r="B309" s="40"/>
      <c r="C309" s="39">
        <v>17500</v>
      </c>
      <c r="D309" s="41">
        <v>2.8500000000000001E-2</v>
      </c>
      <c r="E309" s="42"/>
      <c r="F309" s="40" t="str">
        <f t="shared" ref="F309:F314" si="0">IF($B$10&lt;=A309," ",IF($B$10&lt;C309,($B$10-C308)*D309,(C309-A309)*D309))</f>
        <v xml:space="preserve"> </v>
      </c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</row>
    <row r="310" spans="1:23" ht="15" hidden="1">
      <c r="A310" s="39">
        <v>17500</v>
      </c>
      <c r="B310" s="40"/>
      <c r="C310" s="39">
        <v>30000</v>
      </c>
      <c r="D310" s="41">
        <v>2.2800000000000001E-2</v>
      </c>
      <c r="E310" s="42"/>
      <c r="F310" s="40" t="str">
        <f t="shared" si="0"/>
        <v xml:space="preserve"> </v>
      </c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</row>
    <row r="311" spans="1:23" ht="15" hidden="1">
      <c r="A311" s="39">
        <v>30000</v>
      </c>
      <c r="B311" s="40"/>
      <c r="C311" s="39">
        <v>45495</v>
      </c>
      <c r="D311" s="41">
        <v>1.7100000000000001E-2</v>
      </c>
      <c r="E311" s="42"/>
      <c r="F311" s="40" t="str">
        <f t="shared" si="0"/>
        <v xml:space="preserve"> </v>
      </c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</row>
    <row r="312" spans="1:23" ht="15" hidden="1">
      <c r="A312" s="39">
        <v>45495</v>
      </c>
      <c r="B312" s="40"/>
      <c r="C312" s="39">
        <v>64095</v>
      </c>
      <c r="D312" s="41">
        <v>1.14E-2</v>
      </c>
      <c r="E312" s="42"/>
      <c r="F312" s="40" t="str">
        <f t="shared" si="0"/>
        <v xml:space="preserve"> </v>
      </c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</row>
    <row r="313" spans="1:23" ht="15" hidden="1">
      <c r="A313" s="39">
        <v>64095</v>
      </c>
      <c r="B313" s="40"/>
      <c r="C313" s="39">
        <v>250095</v>
      </c>
      <c r="D313" s="41">
        <v>5.7000000000000002E-3</v>
      </c>
      <c r="E313" s="42"/>
      <c r="F313" s="40" t="str">
        <f t="shared" si="0"/>
        <v xml:space="preserve"> </v>
      </c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</row>
    <row r="314" spans="1:23" ht="15" hidden="1">
      <c r="A314" s="39">
        <v>250095</v>
      </c>
      <c r="B314" s="40"/>
      <c r="C314" s="39">
        <f>$B$10</f>
        <v>0</v>
      </c>
      <c r="D314" s="41">
        <v>5.6999999999999998E-4</v>
      </c>
      <c r="E314" s="42"/>
      <c r="F314" s="40" t="str">
        <f t="shared" si="0"/>
        <v xml:space="preserve"> </v>
      </c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</row>
    <row r="315" spans="1:23" ht="15" hidden="1">
      <c r="A315" s="43"/>
      <c r="B315" s="44"/>
      <c r="C315" s="44"/>
      <c r="D315" s="45"/>
      <c r="E315" s="46"/>
      <c r="F315" s="4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</row>
    <row r="316" spans="1:23" ht="15" hidden="1">
      <c r="A316" s="36" t="s">
        <v>13</v>
      </c>
      <c r="B316" s="47"/>
      <c r="C316" s="44"/>
      <c r="D316" s="48"/>
      <c r="E316" s="46"/>
      <c r="F316" s="49">
        <f>SUM(F308:F315)</f>
        <v>0</v>
      </c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</row>
    <row r="317" spans="1:23" hidden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</row>
    <row r="318" spans="1:23" hidden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</row>
    <row r="319" spans="1:23" hidden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</row>
    <row r="320" spans="1:23" hidden="1">
      <c r="A320" s="110"/>
      <c r="B320" s="110"/>
      <c r="C320" s="110"/>
      <c r="D320" s="111">
        <f>ROUNDUP(B54+B55,-2)</f>
        <v>100</v>
      </c>
      <c r="E320" s="110"/>
      <c r="F320" s="110"/>
      <c r="G320" s="110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</row>
    <row r="321" spans="1:23" hidden="1">
      <c r="A321" s="110"/>
      <c r="B321" s="110"/>
      <c r="C321" s="110"/>
      <c r="D321" s="110"/>
      <c r="E321" s="110"/>
      <c r="F321" s="110"/>
      <c r="G321" s="110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</row>
    <row r="322" spans="1:23" hidden="1">
      <c r="A322" s="110"/>
      <c r="B322" s="110"/>
      <c r="C322" s="110"/>
      <c r="D322" s="110"/>
      <c r="E322" s="110"/>
      <c r="F322" s="110"/>
      <c r="G322" s="110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</row>
    <row r="323" spans="1:23" hidden="1">
      <c r="A323" s="110"/>
      <c r="B323" s="110"/>
      <c r="C323" s="110"/>
      <c r="D323" s="110"/>
      <c r="E323" s="110"/>
      <c r="F323" s="110"/>
      <c r="G323" s="110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</row>
    <row r="324" spans="1:23" hidden="1">
      <c r="A324" s="110" t="s">
        <v>82</v>
      </c>
      <c r="B324" s="110"/>
      <c r="C324" s="110">
        <v>0</v>
      </c>
      <c r="D324" s="110"/>
      <c r="E324" s="110"/>
      <c r="F324" s="110"/>
      <c r="G324" s="110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</row>
    <row r="325" spans="1:23" ht="15" hidden="1">
      <c r="A325" s="110">
        <v>0</v>
      </c>
      <c r="B325" s="110"/>
      <c r="C325" s="110">
        <v>7500</v>
      </c>
      <c r="D325" s="110">
        <v>1.7100000000000001E-2</v>
      </c>
      <c r="E325" s="112"/>
      <c r="F325" s="113">
        <f>IF(C46&lt;C325,C46*D325,C325*D325)</f>
        <v>0</v>
      </c>
      <c r="G325" s="110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</row>
    <row r="326" spans="1:23" ht="15" hidden="1">
      <c r="A326" s="110">
        <v>7500</v>
      </c>
      <c r="B326" s="110"/>
      <c r="C326" s="110">
        <v>17500</v>
      </c>
      <c r="D326" s="110">
        <v>1.3679999999999999E-2</v>
      </c>
      <c r="E326" s="112"/>
      <c r="F326" s="113" t="str">
        <f>IF(C46&lt;=A326," ",IF(C46&lt;C326,(C46-C325)*D326,(C326-A326)*D326))</f>
        <v xml:space="preserve"> </v>
      </c>
      <c r="G326" s="110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</row>
    <row r="327" spans="1:23" ht="15" hidden="1">
      <c r="A327" s="110">
        <v>17500</v>
      </c>
      <c r="B327" s="110"/>
      <c r="C327" s="110">
        <v>30000</v>
      </c>
      <c r="D327" s="110">
        <v>9.1199999999999996E-3</v>
      </c>
      <c r="E327" s="112"/>
      <c r="F327" s="113" t="str">
        <f>IF(C46&lt;=A327," ",IF(C46&lt;C327,(C46-C326)*D327,(C327-A327)*D327))</f>
        <v xml:space="preserve"> </v>
      </c>
      <c r="G327" s="110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</row>
    <row r="328" spans="1:23" ht="15" hidden="1">
      <c r="A328" s="110">
        <v>30000</v>
      </c>
      <c r="B328" s="110"/>
      <c r="C328" s="110">
        <v>45495</v>
      </c>
      <c r="D328" s="110">
        <v>6.8399999999999997E-3</v>
      </c>
      <c r="E328" s="112"/>
      <c r="F328" s="113" t="str">
        <f>IF(C46&lt;=A328," ",IF(C46&lt;C328,(C46-C327)*D328,(C328-A328)*D328))</f>
        <v xml:space="preserve"> </v>
      </c>
      <c r="G328" s="110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</row>
    <row r="329" spans="1:23" ht="15" hidden="1">
      <c r="A329" s="110">
        <v>45495</v>
      </c>
      <c r="B329" s="110"/>
      <c r="C329" s="110">
        <v>64095</v>
      </c>
      <c r="D329" s="110">
        <v>4.5599999999999998E-3</v>
      </c>
      <c r="E329" s="112"/>
      <c r="F329" s="113" t="str">
        <f>IF(C46&lt;=A329," ",IF(C46&lt;C329,(C46-C328)*D329,(C329-A329)*D329))</f>
        <v xml:space="preserve"> </v>
      </c>
      <c r="G329" s="110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</row>
    <row r="330" spans="1:23" ht="15" hidden="1">
      <c r="A330" s="110">
        <v>64095</v>
      </c>
      <c r="B330" s="110"/>
      <c r="C330" s="110">
        <v>250095</v>
      </c>
      <c r="D330" s="110">
        <v>2.2799999999999999E-3</v>
      </c>
      <c r="E330" s="112"/>
      <c r="F330" s="113" t="str">
        <f>IF(C46&lt;=A330," ",IF(C46&lt;C330,(C46-C329)*D330,(C330-A330)*D330))</f>
        <v xml:space="preserve"> </v>
      </c>
      <c r="G330" s="110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</row>
    <row r="331" spans="1:23" ht="15" hidden="1">
      <c r="A331" s="110">
        <v>250095</v>
      </c>
      <c r="B331" s="110"/>
      <c r="C331" s="114">
        <f>C46</f>
        <v>0</v>
      </c>
      <c r="D331" s="110">
        <v>4.5600000000000003E-4</v>
      </c>
      <c r="E331" s="112"/>
      <c r="F331" s="113" t="str">
        <f>IF(C46&lt;=A331," ",IF(C46&lt;C331,(C46-C330)*D331,(C331-A331)*D331))</f>
        <v xml:space="preserve"> </v>
      </c>
      <c r="G331" s="110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</row>
    <row r="332" spans="1:23" ht="15" hidden="1">
      <c r="A332" s="110">
        <v>10075000</v>
      </c>
      <c r="B332" s="110"/>
      <c r="C332" s="110">
        <v>0</v>
      </c>
      <c r="D332" s="110">
        <v>4.5600000000000003E-4</v>
      </c>
      <c r="E332" s="115" t="str">
        <f>IF($C$232&lt;=A332," E90",IF($C$232&lt;C332,($C$232-C331)*D332,(C332-A332)*D332))</f>
        <v xml:space="preserve"> E90</v>
      </c>
      <c r="F332" s="116"/>
      <c r="G332" s="110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</row>
    <row r="333" spans="1:23" ht="15" hidden="1">
      <c r="A333" s="110"/>
      <c r="B333" s="110"/>
      <c r="C333" s="110"/>
      <c r="D333" s="110"/>
      <c r="E333" s="117"/>
      <c r="F333" s="116"/>
      <c r="G333" s="110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</row>
    <row r="334" spans="1:23" ht="14.25" hidden="1">
      <c r="A334" s="110" t="s">
        <v>13</v>
      </c>
      <c r="B334" s="110"/>
      <c r="C334" s="110"/>
      <c r="D334" s="110"/>
      <c r="E334" s="118">
        <f>SUM(F325:F332)</f>
        <v>0</v>
      </c>
      <c r="F334" s="116"/>
      <c r="G334" s="110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</row>
    <row r="335" spans="1:23" hidden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</row>
    <row r="336" spans="1:23" ht="15" hidden="1">
      <c r="A336" s="132" t="s">
        <v>102</v>
      </c>
      <c r="B336" s="133"/>
      <c r="C336" s="133"/>
      <c r="D336" s="133"/>
      <c r="E336" s="134"/>
      <c r="F336" s="135" t="s">
        <v>103</v>
      </c>
      <c r="G336" s="13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</row>
    <row r="337" spans="1:23" ht="15" hidden="1">
      <c r="A337" s="132">
        <v>67.31</v>
      </c>
      <c r="B337" s="133" t="s">
        <v>104</v>
      </c>
      <c r="C337" s="133">
        <v>25000</v>
      </c>
      <c r="D337" s="133"/>
      <c r="E337" s="134"/>
      <c r="F337" s="135"/>
      <c r="G337" s="13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</row>
    <row r="338" spans="1:23" ht="15" hidden="1">
      <c r="A338" s="132">
        <v>23.56</v>
      </c>
      <c r="B338" s="133" t="s">
        <v>105</v>
      </c>
      <c r="C338" s="133">
        <v>25000</v>
      </c>
      <c r="D338" s="133" t="s">
        <v>106</v>
      </c>
      <c r="E338" s="134"/>
      <c r="F338" s="135"/>
      <c r="G338" s="13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</row>
    <row r="339" spans="1:23" ht="15" hidden="1">
      <c r="A339" s="132"/>
      <c r="B339" s="133"/>
      <c r="C339" s="133"/>
      <c r="D339" s="133"/>
      <c r="E339" s="134"/>
      <c r="F339" s="135"/>
      <c r="G339" s="13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</row>
    <row r="340" spans="1:23" ht="15" hidden="1">
      <c r="A340" s="132"/>
      <c r="B340" s="133"/>
      <c r="C340" s="133"/>
      <c r="D340" s="133"/>
      <c r="E340" s="134"/>
      <c r="F340" s="135"/>
      <c r="G340" s="13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</row>
    <row r="341" spans="1:23" ht="15" hidden="1">
      <c r="A341" s="132"/>
      <c r="B341" s="133"/>
      <c r="C341" s="133"/>
      <c r="D341" s="133"/>
      <c r="E341" s="134"/>
      <c r="F341" s="135"/>
      <c r="G341" s="136">
        <f>SUM(D275,D278)</f>
        <v>5.7000000000000002E-3</v>
      </c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</row>
    <row r="342" spans="1:23" ht="15" hidden="1">
      <c r="A342" s="132" t="s">
        <v>107</v>
      </c>
      <c r="B342" s="133"/>
      <c r="C342" s="133" t="s">
        <v>11</v>
      </c>
      <c r="D342" s="133" t="s">
        <v>108</v>
      </c>
      <c r="E342" s="134"/>
      <c r="F342" s="135"/>
      <c r="G342" s="13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</row>
    <row r="343" spans="1:23" ht="15" hidden="1">
      <c r="A343" s="132"/>
      <c r="B343" s="133"/>
      <c r="C343" s="133">
        <f>D266</f>
        <v>0</v>
      </c>
      <c r="D343" s="133">
        <f>IF(D266=0,575,550)</f>
        <v>575</v>
      </c>
      <c r="E343" s="134"/>
      <c r="F343" s="135"/>
      <c r="G343" s="13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</row>
    <row r="344" spans="1:23" ht="15" hidden="1">
      <c r="A344" s="132"/>
      <c r="B344" s="133"/>
      <c r="C344" s="133"/>
      <c r="D344" s="133"/>
      <c r="E344" s="134"/>
      <c r="F344" s="135"/>
      <c r="G344" s="13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</row>
    <row r="345" spans="1:23" ht="15" hidden="1">
      <c r="A345" s="132"/>
      <c r="B345" s="133"/>
      <c r="C345" s="133"/>
      <c r="D345" s="133"/>
      <c r="E345" s="134"/>
      <c r="F345" s="135"/>
      <c r="G345" s="13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</row>
    <row r="346" spans="1:23" ht="15" hidden="1">
      <c r="A346" s="132"/>
      <c r="B346" s="133"/>
      <c r="C346" s="137">
        <f>ROUNDUP(B54+B55,-2)</f>
        <v>100</v>
      </c>
      <c r="D346" s="133"/>
      <c r="E346" s="134"/>
      <c r="F346" s="135"/>
      <c r="G346" s="13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</row>
    <row r="347" spans="1:23" ht="15" hidden="1">
      <c r="A347" s="138">
        <f>C51+C52+C56+C58+C61+C64</f>
        <v>930</v>
      </c>
      <c r="B347" s="133"/>
      <c r="C347" s="133"/>
      <c r="D347" s="133"/>
      <c r="E347" s="134" t="s">
        <v>62</v>
      </c>
      <c r="F347" s="135"/>
      <c r="G347" s="13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</row>
    <row r="348" spans="1:23" ht="15" hidden="1">
      <c r="A348" s="132"/>
      <c r="B348" s="133"/>
      <c r="C348" s="133"/>
      <c r="D348" s="133"/>
      <c r="E348" s="134" t="s">
        <v>63</v>
      </c>
      <c r="F348" s="135"/>
      <c r="G348" s="13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</row>
    <row r="349" spans="1:23" ht="15" hidden="1">
      <c r="A349" s="132"/>
      <c r="B349" s="133"/>
      <c r="C349" s="133"/>
      <c r="D349" s="133"/>
      <c r="E349" s="134"/>
      <c r="F349" s="135"/>
      <c r="G349" s="139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</row>
    <row r="350" spans="1:23" ht="15" hidden="1">
      <c r="A350" s="132"/>
      <c r="B350" s="133"/>
      <c r="C350" s="133"/>
      <c r="D350" s="133"/>
      <c r="E350" s="134"/>
      <c r="F350" s="135"/>
      <c r="G350" s="139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</row>
    <row r="351" spans="1:23" ht="15" hidden="1">
      <c r="A351" s="132"/>
      <c r="B351" s="133"/>
      <c r="C351" s="133"/>
      <c r="D351" s="133"/>
      <c r="E351" s="134"/>
      <c r="F351" s="135"/>
      <c r="G351" s="139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</row>
    <row r="352" spans="1:23" ht="15" hidden="1">
      <c r="A352" s="132" t="s">
        <v>82</v>
      </c>
      <c r="B352" s="133"/>
      <c r="C352" s="140">
        <f>C46</f>
        <v>0</v>
      </c>
      <c r="D352" s="133"/>
      <c r="E352" s="134"/>
      <c r="F352" s="135"/>
      <c r="G352" s="139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</row>
    <row r="353" spans="1:23" ht="15" hidden="1">
      <c r="A353" s="132">
        <v>0</v>
      </c>
      <c r="B353" s="133"/>
      <c r="C353" s="133">
        <v>7500</v>
      </c>
      <c r="D353" s="133">
        <v>1.4250000000000001E-2</v>
      </c>
      <c r="E353" s="134"/>
      <c r="F353" s="135">
        <f>IF(C352&lt;C353,C352*D353,C353*D353)</f>
        <v>0</v>
      </c>
      <c r="G353" s="139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</row>
    <row r="354" spans="1:23" ht="15" hidden="1">
      <c r="A354" s="132">
        <v>7500</v>
      </c>
      <c r="B354" s="133"/>
      <c r="C354" s="133">
        <v>17500</v>
      </c>
      <c r="D354" s="133">
        <v>1.14E-2</v>
      </c>
      <c r="E354" s="134"/>
      <c r="F354" s="135" t="str">
        <f>IF(C352&lt;=A354," ",IF(C352&lt;C354,(C352-C353)*D354,(C354-A354)*D354))</f>
        <v xml:space="preserve"> </v>
      </c>
      <c r="G354" s="139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</row>
    <row r="355" spans="1:23" ht="15" hidden="1">
      <c r="A355" s="132">
        <v>17500</v>
      </c>
      <c r="B355" s="133"/>
      <c r="C355" s="133">
        <v>30000</v>
      </c>
      <c r="D355" s="133">
        <v>6.8399999999999997E-3</v>
      </c>
      <c r="E355" s="134"/>
      <c r="F355" s="135" t="str">
        <f>IF(C352&lt;=A355," ",IF(C352&lt;C355,(C352-C354)*D355,(C355-A355)*D355))</f>
        <v xml:space="preserve"> </v>
      </c>
      <c r="G355" s="139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</row>
    <row r="356" spans="1:23" ht="15" hidden="1">
      <c r="A356" s="132">
        <v>30000</v>
      </c>
      <c r="B356" s="133"/>
      <c r="C356" s="133">
        <v>45495</v>
      </c>
      <c r="D356" s="133">
        <v>5.7000000000000002E-3</v>
      </c>
      <c r="E356" s="134"/>
      <c r="F356" s="135" t="str">
        <f>IF(C352&lt;=A356," ",IF(C352&lt;C356,(C352-C355)*D356,(C356-A356)*D356))</f>
        <v xml:space="preserve"> </v>
      </c>
      <c r="G356" s="139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</row>
    <row r="357" spans="1:23" ht="15" hidden="1">
      <c r="A357" s="132">
        <v>45495</v>
      </c>
      <c r="B357" s="133"/>
      <c r="C357" s="133">
        <v>64095</v>
      </c>
      <c r="D357" s="133">
        <v>4.5599999999999998E-3</v>
      </c>
      <c r="E357" s="134"/>
      <c r="F357" s="135" t="str">
        <f>IF(C352&lt;=A357," ",IF(C352&lt;C357,(C352-C356)*D357,(C357-A357)*D357))</f>
        <v xml:space="preserve"> </v>
      </c>
      <c r="G357" s="139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</row>
    <row r="358" spans="1:23" ht="15" hidden="1">
      <c r="A358" s="132">
        <v>64095</v>
      </c>
      <c r="B358" s="133"/>
      <c r="C358" s="133">
        <v>250095</v>
      </c>
      <c r="D358" s="133">
        <v>2.2799999999999999E-3</v>
      </c>
      <c r="E358" s="134"/>
      <c r="F358" s="135" t="str">
        <f>IF(C352&lt;=A358," ",IF(C352&lt;C358,(C352-C357)*D358,(C358-A358)*D358))</f>
        <v xml:space="preserve"> </v>
      </c>
      <c r="G358" s="139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</row>
    <row r="359" spans="1:23" ht="15" hidden="1">
      <c r="A359" s="132">
        <v>250095</v>
      </c>
      <c r="B359" s="133"/>
      <c r="C359" s="133">
        <v>999999999</v>
      </c>
      <c r="D359" s="133">
        <v>4.5600000000000003E-4</v>
      </c>
      <c r="E359" s="134"/>
      <c r="F359" s="135" t="str">
        <f>IF(C352&lt;=A359," ",IF(C352&lt;C359,(C352-C358)*D359,(C359-A359)*D359))</f>
        <v xml:space="preserve"> </v>
      </c>
      <c r="G359" s="139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</row>
    <row r="360" spans="1:23" ht="15" hidden="1">
      <c r="A360" s="132">
        <v>10075000</v>
      </c>
      <c r="B360" s="133"/>
      <c r="C360" s="133" t="str">
        <f>$B$96</f>
        <v>Afrekening koper</v>
      </c>
      <c r="D360" s="133">
        <v>4.5600000000000003E-4</v>
      </c>
      <c r="E360" s="134" t="str">
        <f>IF(C224&lt;=A360,"E90",IF(C224&lt;C360,(C224-C359)*D360,(C360-A360)*D360))</f>
        <v>E90</v>
      </c>
      <c r="F360" s="135"/>
      <c r="G360" s="139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</row>
    <row r="361" spans="1:23" ht="15" hidden="1">
      <c r="A361" s="132"/>
      <c r="B361" s="133"/>
      <c r="C361" s="133"/>
      <c r="D361" s="133"/>
      <c r="E361" s="134"/>
      <c r="F361" s="135"/>
      <c r="G361" s="139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</row>
    <row r="362" spans="1:23" ht="15" hidden="1">
      <c r="A362" s="132" t="s">
        <v>13</v>
      </c>
      <c r="B362" s="133"/>
      <c r="C362" s="133"/>
      <c r="D362" s="133"/>
      <c r="E362" s="134">
        <f>SUM(F353:F360)</f>
        <v>0</v>
      </c>
      <c r="F362" s="135"/>
      <c r="G362" s="139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</row>
    <row r="363" spans="1:23" hidden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</row>
    <row r="364" spans="1:23" hidden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</row>
    <row r="365" spans="1:23" hidden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</row>
    <row r="366" spans="1:23" hidden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</row>
    <row r="367" spans="1:23" hidden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</row>
    <row r="368" spans="1:23" hidden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</row>
    <row r="369" spans="1:23" hidden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</row>
    <row r="370" spans="1:23" hidden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</row>
    <row r="371" spans="1:23" hidden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</row>
    <row r="372" spans="1:23" hidden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</row>
    <row r="373" spans="1:23" hidden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</row>
    <row r="374" spans="1:23" hidden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</row>
    <row r="375" spans="1:23" hidden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</row>
    <row r="376" spans="1:23" hidden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</row>
    <row r="377" spans="1:23" hidden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</row>
    <row r="378" spans="1:23" hidden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</row>
    <row r="379" spans="1:23" hidden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</row>
    <row r="380" spans="1:23" hidden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</row>
    <row r="381" spans="1:23" hidden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</row>
    <row r="382" spans="1:23" hidden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</row>
    <row r="383" spans="1:23" hidden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</row>
    <row r="384" spans="1:23" hidden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</row>
    <row r="385" spans="1:23" hidden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</row>
    <row r="386" spans="1:23" hidden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</row>
    <row r="387" spans="1:23" hidden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</row>
    <row r="388" spans="1:23" hidden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</row>
    <row r="389" spans="1:23" hidden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</row>
    <row r="390" spans="1:23" hidden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</row>
    <row r="391" spans="1:23" hidden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</row>
    <row r="392" spans="1:23" hidden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</row>
    <row r="393" spans="1:23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</row>
    <row r="394" spans="1:23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</row>
    <row r="395" spans="1:23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</row>
    <row r="396" spans="1:23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</row>
    <row r="397" spans="1:23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</row>
    <row r="398" spans="1:23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</row>
    <row r="399" spans="1:23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</row>
    <row r="400" spans="1:23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</row>
    <row r="401" spans="1:23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</row>
    <row r="402" spans="1:23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</row>
    <row r="403" spans="1:23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</row>
    <row r="404" spans="1:23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</row>
    <row r="405" spans="1:23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</row>
    <row r="406" spans="1:23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</row>
    <row r="407" spans="1:23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</row>
    <row r="408" spans="1:23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</row>
    <row r="409" spans="1:23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</row>
    <row r="410" spans="1:23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</row>
    <row r="411" spans="1:23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</row>
    <row r="412" spans="1:23">
      <c r="A412" s="6"/>
      <c r="B412" s="6"/>
      <c r="C412" s="6"/>
      <c r="D412" s="6"/>
      <c r="E412" s="6"/>
      <c r="F412" s="6"/>
      <c r="G412" s="6"/>
    </row>
  </sheetData>
  <sheetProtection algorithmName="SHA-512" hashValue="GufYuS6qYaaPU4COxIrxC0J0GGfrueHRrFh2chrdggA2xdTEivW9dy/wv6aEGSZxiAGWMjVy/ny0tEcomNidIA==" saltValue="j+PiWxfrImAQBuicAvDIjw==" spinCount="100000" sheet="1" objects="1" scenarios="1"/>
  <phoneticPr fontId="0" type="noConversion"/>
  <dataValidations count="5">
    <dataValidation type="list" allowBlank="1" showInputMessage="1" showErrorMessage="1" sqref="B7">
      <formula1>$K$300:$K$301</formula1>
    </dataValidation>
    <dataValidation type="list" allowBlank="1" showInputMessage="1" showErrorMessage="1" sqref="B12">
      <formula1>C228:C229</formula1>
    </dataValidation>
    <dataValidation type="list" allowBlank="1" showInputMessage="1" showErrorMessage="1" sqref="B13">
      <formula1>A228:A266</formula1>
    </dataValidation>
    <dataValidation type="list" allowBlank="1" showInputMessage="1" showErrorMessage="1" sqref="B15">
      <formula1>E228:E229</formula1>
    </dataValidation>
    <dataValidation type="list" allowBlank="1" showInputMessage="1" showErrorMessage="1" sqref="B14">
      <formula1>D228:D229</formula1>
    </dataValidation>
  </dataValidations>
  <hyperlinks>
    <hyperlink ref="D94" r:id="rId1"/>
    <hyperlink ref="D96" r:id="rId2"/>
    <hyperlink ref="B96" r:id="rId3"/>
    <hyperlink ref="C98" r:id="rId4"/>
    <hyperlink ref="B94" r:id="rId5"/>
  </hyperlinks>
  <pageMargins left="0.75" right="0.75" top="1" bottom="1" header="0.5" footer="0.5"/>
  <pageSetup paperSize="9" scale="93" orientation="landscape" horizontalDpi="300" verticalDpi="300" r:id="rId6"/>
  <headerFooter alignWithMargins="0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VBIWTVABREYNETHMH</vt:lpstr>
      <vt:lpstr>VBIWTVABREYNETHMH!_1._Zegels_Minuut_Brevet</vt:lpstr>
      <vt:lpstr>VBIWTVABREYNETHMH!_2._Registratie_Minuut_Brevet</vt:lpstr>
      <vt:lpstr>VBIWTVABREYNETHMH!_3._Registratie_aanhangsel</vt:lpstr>
      <vt:lpstr>VBIWTVABREYNETHMH!Aard</vt:lpstr>
      <vt:lpstr>VBIWTVABREYNETHMH!Afdrukbereik</vt:lpstr>
      <vt:lpstr>VBIWTVABREYNETHMH!Datum</vt:lpstr>
      <vt:lpstr>VBIWTVABREYNETHMH!KOSTENFICHE</vt:lpstr>
      <vt:lpstr>VBIWTVABREYNETHMH!Rep.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2014-12-07T15:04:42Z</dcterms:modified>
</cp:coreProperties>
</file>