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KRO" sheetId="1" r:id="rId1"/>
  </sheets>
  <definedNames>
    <definedName name="_1._Zegels_Minuut_Brevet" localSheetId="0">VKBKRO!$A$15:$F$15</definedName>
    <definedName name="_1._Zegels_Minuut_Brevet">#REF!</definedName>
    <definedName name="_10._Tweede_getuigschrift" localSheetId="0">VKBKRO!#REF!</definedName>
    <definedName name="_10._Tweede_getuigschrift">#REF!</definedName>
    <definedName name="_11._Kadaster_uittreksel" localSheetId="0">VKBKRO!#REF!</definedName>
    <definedName name="_11._Kadaster_uittreksel">#REF!</definedName>
    <definedName name="_12._Getuigen" localSheetId="0">VKBKRO!#REF!</definedName>
    <definedName name="_12._Getuigen">#REF!</definedName>
    <definedName name="_13._Allerlei_uitgaven" localSheetId="0">VKBKRO!#REF!</definedName>
    <definedName name="_13._Allerlei_uitgaven">#REF!</definedName>
    <definedName name="_14." localSheetId="0">VKBKRO!#REF!</definedName>
    <definedName name="_14.">#REF!</definedName>
    <definedName name="_15." localSheetId="0">VKBKRO!#REF!</definedName>
    <definedName name="_15.">#REF!</definedName>
    <definedName name="_2._Registratie_Minuut_Brevet" localSheetId="0">VKBKRO!$B$19:$G$19</definedName>
    <definedName name="_2._Registratie_Minuut_Brevet">#REF!</definedName>
    <definedName name="_3._Registratie_aanhangsel" localSheetId="0">VKBKRO!$E$20:$G$20</definedName>
    <definedName name="_3._Registratie_aanhangsel">#REF!</definedName>
    <definedName name="_4.Zegels_afschrift_grosse" localSheetId="0">VKBKRO!#REF!</definedName>
    <definedName name="_4.Zegels_afschrift_grosse">#REF!</definedName>
    <definedName name="_5._Hypotheek__inschr._overschr._doorh." localSheetId="0">VKBKRO!#REF!</definedName>
    <definedName name="_5._Hypotheek__inschr._overschr._doorh.">#REF!</definedName>
    <definedName name="_6._Loon_pandbewaarder" localSheetId="0">VKBKRO!#REF!</definedName>
    <definedName name="_6._Loon_pandbewaarder">#REF!</definedName>
    <definedName name="_7._Zegels__bord._aanh." localSheetId="0">VKBKRO!#REF!</definedName>
    <definedName name="_7._Zegels__bord._aanh.">#REF!</definedName>
    <definedName name="_8._Opzoekingen" localSheetId="0">VKBKRO!#REF!</definedName>
    <definedName name="_8._Opzoekingen">#REF!</definedName>
    <definedName name="_9._Hypothecair_getuigschrift" localSheetId="0">VKBKRO!#REF!</definedName>
    <definedName name="_9._Hypothecair_getuigschrift">#REF!</definedName>
    <definedName name="Aard" localSheetId="0">VKBKRO!$C$5:$F$5</definedName>
    <definedName name="Aard">#REF!</definedName>
    <definedName name="_xlnm.Print_Area" localSheetId="0">VKBKRO!$A$1:$E$48</definedName>
    <definedName name="Datum" localSheetId="0">VKBKRO!$B$5:$G$46</definedName>
    <definedName name="Datum">#REF!</definedName>
    <definedName name="gemeentelijke_info">#REF!</definedName>
    <definedName name="Kantoor_van_Notaris_J._SIMONART_te_Leuven" localSheetId="0">VKBKRO!#REF!</definedName>
    <definedName name="Kantoor_van_Notaris_J._SIMONART_te_Leuven">#REF!</definedName>
    <definedName name="KOSTENFICHE" localSheetId="0">VKBKRO!$A$1:$G$46</definedName>
    <definedName name="KOSTENFICHE">#REF!</definedName>
    <definedName name="Last_Row">IF(Values_Entered,Header_Row+Number_of_Payments,Header_Row)</definedName>
    <definedName name="Naam" localSheetId="0">VKBKRO!$C$6:$F$6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VKBKRO!$F$5:$F$47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VKBKRO!#REF!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VKBKRO!$A$4:$G$46</definedName>
  </definedNames>
  <calcPr calcId="152511"/>
</workbook>
</file>

<file path=xl/calcChain.xml><?xml version="1.0" encoding="utf-8"?>
<calcChain xmlns="http://schemas.openxmlformats.org/spreadsheetml/2006/main">
  <c r="D36" i="1" l="1"/>
  <c r="A95" i="1"/>
  <c r="C65" i="1" s="1"/>
  <c r="B7" i="1"/>
  <c r="C101" i="1" s="1"/>
  <c r="D17" i="1"/>
  <c r="D18" i="1"/>
  <c r="D20" i="1"/>
  <c r="C53" i="1"/>
  <c r="D61" i="1" s="1"/>
  <c r="D68" i="1"/>
  <c r="D69" i="1"/>
  <c r="D71" i="1"/>
  <c r="D72" i="1"/>
  <c r="D75" i="1"/>
  <c r="E97" i="1"/>
  <c r="C100" i="1"/>
  <c r="C105" i="1" s="1"/>
  <c r="C106" i="1" s="1"/>
  <c r="D16" i="1"/>
  <c r="E23" i="1" s="1"/>
  <c r="C103" i="1"/>
  <c r="D103" i="1"/>
  <c r="E103" i="1"/>
  <c r="C111" i="1" s="1"/>
  <c r="C110" i="1" s="1"/>
  <c r="E109" i="1"/>
  <c r="F109" i="1"/>
  <c r="E110" i="1"/>
  <c r="F111" i="1"/>
  <c r="E112" i="1"/>
  <c r="E115" i="1"/>
  <c r="E116" i="1"/>
  <c r="F116" i="1"/>
  <c r="E117" i="1"/>
  <c r="F117" i="1"/>
  <c r="E118" i="1"/>
  <c r="F118" i="1"/>
  <c r="B122" i="1"/>
  <c r="C122" i="1"/>
  <c r="B123" i="1"/>
  <c r="C123" i="1"/>
  <c r="F139" i="1"/>
  <c r="F141" i="1"/>
  <c r="F142" i="1"/>
  <c r="F143" i="1"/>
  <c r="C145" i="1"/>
  <c r="F194" i="1"/>
  <c r="F195" i="1"/>
  <c r="F196" i="1"/>
  <c r="F197" i="1"/>
  <c r="E203" i="1" s="1"/>
  <c r="G60" i="1" s="1"/>
  <c r="F198" i="1"/>
  <c r="F199" i="1"/>
  <c r="C200" i="1"/>
  <c r="F200" i="1"/>
  <c r="E201" i="1"/>
  <c r="E119" i="1" l="1"/>
  <c r="D42" i="1" s="1"/>
  <c r="F119" i="1"/>
  <c r="D43" i="1" s="1"/>
  <c r="E47" i="1" s="1"/>
  <c r="F110" i="1"/>
  <c r="F112" i="1" s="1"/>
  <c r="D40" i="1" s="1"/>
  <c r="E111" i="1"/>
  <c r="E113" i="1" s="1"/>
  <c r="D39" i="1" s="1"/>
  <c r="G77" i="1"/>
  <c r="G61" i="1"/>
  <c r="G81" i="1" s="1"/>
  <c r="F144" i="1"/>
  <c r="F140" i="1"/>
  <c r="F147" i="1" s="1"/>
  <c r="E15" i="1" s="1"/>
  <c r="E102" i="1"/>
  <c r="C109" i="1" s="1"/>
  <c r="C108" i="1" s="1"/>
  <c r="C107" i="1" s="1"/>
  <c r="D102" i="1"/>
  <c r="C64" i="1"/>
  <c r="D189" i="1" s="1"/>
  <c r="D66" i="1" s="1"/>
  <c r="D77" i="1" s="1"/>
  <c r="G78" i="1" s="1"/>
  <c r="F145" i="1"/>
  <c r="C102" i="1"/>
  <c r="E24" i="1" l="1"/>
  <c r="E26" i="1" s="1"/>
  <c r="E45" i="1" s="1"/>
  <c r="G79" i="1"/>
  <c r="G83" i="1" s="1"/>
</calcChain>
</file>

<file path=xl/comments1.xml><?xml version="1.0" encoding="utf-8"?>
<comments xmlns="http://schemas.openxmlformats.org/spreadsheetml/2006/main">
  <authors>
    <author>Formados</author>
    <author>Jo Hermans</author>
    <author>licentie</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 ref="D62" authorId="2" shapeId="0">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<sst xmlns="http://schemas.openxmlformats.org/spreadsheetml/2006/main" count="155" uniqueCount="115">
  <si>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</si>
  <si>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</si>
  <si>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</si>
  <si>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</si>
  <si>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</si>
  <si>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</si>
  <si>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</si>
  <si>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</si>
  <si>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</si>
  <si>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</si>
  <si>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</si>
  <si>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</si>
  <si>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</si>
  <si>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</si>
  <si>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</si>
  <si>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</si>
  <si>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</si>
  <si>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</si>
  <si>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</si>
  <si>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</si>
  <si>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</si>
  <si>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</si>
  <si>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</si>
  <si>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</si>
  <si>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</si>
  <si>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</si>
  <si>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</si>
  <si>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</si>
  <si>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</si>
  <si>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</si>
  <si>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</si>
  <si>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</si>
  <si>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</si>
  <si>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</si>
  <si>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</si>
  <si>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</si>
  <si>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</si>
  <si>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</si>
  <si>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</si>
  <si>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</si>
  <si>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</si>
  <si>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</si>
  <si>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</si>
  <si>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</si>
  <si>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</si>
  <si>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</si>
  <si>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</si>
  <si>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</si>
  <si>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</si>
  <si>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</si>
  <si>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</si>
  <si>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</si>
  <si>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</si>
  <si>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</si>
  <si>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</si>
  <si>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</si>
  <si>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</si>
  <si>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</si>
  <si>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</si>
  <si>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</si>
  <si>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</si>
  <si>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</si>
  <si>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</si>
  <si>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</si>
  <si>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</si>
  <si>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</si>
  <si>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</si>
  <si>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</si>
  <si>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</si>
  <si>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</si>
  <si>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</si>
  <si>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</si>
  <si>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</si>
  <si>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</si>
  <si>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</si>
  <si>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</si>
  <si>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</si>
  <si>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</si>
  <si>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</si>
  <si>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</si>
  <si>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</si>
  <si>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</si>
  <si>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</si>
  <si>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</si>
  <si>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</si>
  <si>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KREDIETAKTE KOPER</t>
  </si>
  <si>
    <t>Basis registratie</t>
  </si>
  <si>
    <t>Hoofdsom</t>
  </si>
  <si>
    <t>Aanhor.</t>
  </si>
  <si>
    <t>Basis ereloon</t>
  </si>
  <si>
    <t>Krediet sociaal tarief?</t>
  </si>
  <si>
    <t>Registratie Minuut-Brevet</t>
  </si>
  <si>
    <t>(BTW)</t>
  </si>
  <si>
    <t>Registratie bijlagen</t>
  </si>
  <si>
    <t>Hypotheekrecht</t>
  </si>
  <si>
    <t>Loon pandbewaarder</t>
  </si>
  <si>
    <t>Provisie hypotheken</t>
  </si>
  <si>
    <t>Recht op geschriften</t>
  </si>
  <si>
    <t>Dossierkosten</t>
  </si>
  <si>
    <t>Stedenbouwkundige info of uittreksel</t>
  </si>
  <si>
    <t>Totaal uitgaven</t>
  </si>
  <si>
    <t>Totaal</t>
  </si>
  <si>
    <t>Tot. Uitg.</t>
  </si>
  <si>
    <t>Samen</t>
  </si>
  <si>
    <t>Totaal:</t>
  </si>
  <si>
    <t>Loon hypotheekbewaarder</t>
  </si>
  <si>
    <t>Berekening ereloon hypotheekbewaarder</t>
  </si>
  <si>
    <t xml:space="preserve">tot </t>
  </si>
  <si>
    <t>per</t>
  </si>
  <si>
    <t>supplementair</t>
  </si>
  <si>
    <t>Bijlagen</t>
  </si>
  <si>
    <t>Diverse kosten</t>
  </si>
  <si>
    <t>Boekje</t>
  </si>
  <si>
    <t>VERKOOP ONROEREND GOED BRUSSEL MET KREDIET</t>
  </si>
  <si>
    <t>Inschrijving op hoeveel hypotheekkantoren?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</si>
</sst>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s>
  <fonts count="21" x14ac:knownFonts="1">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6"/>
      <color theme="0"/>
      <name val="Arial"/>
      <family val="2"/>
    </font>
    <font>
      <b/>
      <sz val="10"/>
      <color theme="0"/>
      <name val="Arial"/>
      <family val="2"/>
    </font>
    <font>
      <b/>
      <u/>
      <sz val="16"/>
      <color theme="0"/>
      <name val="Arial"/>
      <family val="2"/>
    </font>
    <font>
      <b/>
      <sz val="11"/>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9"/>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0000FF"/>
        <bgColor indexed="64"/>
      </patternFill>
    </fill>
    <fill>
      <patternFill patternType="solid">
        <fgColor rgb="FFFFFF66"/>
        <bgColor indexed="64"/>
      </patternFill>
    </fill>
  </fills>
  <borders count="4">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6" fillId="0" borderId="0"/>
    <xf numFmtId="0" fontId="2" fillId="0" borderId="0"/>
    <xf numFmtId="0" fontId="16" fillId="0" borderId="0"/>
    <xf numFmtId="178" fontId="10" fillId="0" borderId="1">
      <protection locked="0"/>
    </xf>
    <xf numFmtId="0" fontId="20" fillId="0" borderId="3" applyNumberFormat="0" applyFill="0" applyAlignment="0" applyProtection="0"/>
  </cellStyleXfs>
  <cellXfs count="93">
    <xf numFmtId="0" fontId="0" fillId="0" borderId="0" xfId="0"/>
    <xf numFmtId="0" fontId="1" fillId="2" borderId="0" xfId="0" applyFont="1" applyFill="1" applyBorder="1" applyAlignment="1" applyProtection="1">
      <alignment horizontal="left"/>
      <protection hidden="1"/>
    </xf>
    <xf numFmtId="0" fontId="0" fillId="2" borderId="0" xfId="0" applyNumberFormat="1" applyFill="1" applyBorder="1" applyAlignment="1" applyProtection="1">
      <protection hidden="1"/>
    </xf>
    <xf numFmtId="165" fontId="0" fillId="2" borderId="0" xfId="0" applyNumberFormat="1" applyFill="1" applyBorder="1" applyAlignment="1" applyProtection="1">
      <protection hidden="1"/>
    </xf>
    <xf numFmtId="0" fontId="0" fillId="2" borderId="0" xfId="0" applyFill="1" applyBorder="1" applyAlignment="1" applyProtection="1">
      <alignment horizontal="left"/>
      <protection locked="0" hidden="1"/>
    </xf>
    <xf numFmtId="0" fontId="0" fillId="2" borderId="0" xfId="0" applyFill="1" applyBorder="1" applyAlignment="1" applyProtection="1">
      <alignment horizontal="left"/>
      <protection hidden="1"/>
    </xf>
    <xf numFmtId="167" fontId="0" fillId="2" borderId="0" xfId="0" applyNumberFormat="1" applyFill="1" applyBorder="1" applyAlignment="1" applyProtection="1">
      <protection hidden="1"/>
    </xf>
    <xf numFmtId="0" fontId="2" fillId="2" borderId="0" xfId="0" applyFont="1" applyFill="1" applyBorder="1" applyAlignment="1" applyProtection="1">
      <alignment horizontal="left"/>
      <protection hidden="1"/>
    </xf>
    <xf numFmtId="165" fontId="2" fillId="2" borderId="0" xfId="0" applyNumberFormat="1" applyFont="1" applyFill="1" applyBorder="1" applyAlignment="1" applyProtection="1">
      <protection hidden="1"/>
    </xf>
    <xf numFmtId="0" fontId="3" fillId="2" borderId="0" xfId="9" applyFill="1" applyBorder="1" applyAlignment="1" applyProtection="1">
      <alignment horizontal="left"/>
      <protection hidden="1"/>
    </xf>
    <xf numFmtId="0" fontId="2" fillId="2" borderId="0" xfId="13" applyFont="1" applyFill="1" applyBorder="1" applyAlignment="1" applyProtection="1">
      <alignment horizontal="left"/>
      <protection hidden="1"/>
    </xf>
    <xf numFmtId="0" fontId="1" fillId="2" borderId="0" xfId="13" applyFont="1" applyFill="1" applyBorder="1" applyAlignment="1" applyProtection="1">
      <alignment horizontal="left"/>
      <protection hidden="1"/>
    </xf>
    <xf numFmtId="0" fontId="1" fillId="2" borderId="0" xfId="0" quotePrefix="1" applyFont="1" applyFill="1" applyBorder="1" applyAlignment="1" applyProtection="1">
      <alignment horizontal="left"/>
      <protection hidden="1"/>
    </xf>
    <xf numFmtId="164" fontId="0" fillId="2" borderId="0" xfId="0" applyNumberFormat="1" applyFill="1" applyBorder="1" applyAlignment="1" applyProtection="1">
      <alignment horizontal="left"/>
      <protection hidden="1"/>
    </xf>
    <xf numFmtId="164" fontId="0" fillId="2" borderId="0" xfId="0" applyNumberFormat="1" applyFill="1" applyBorder="1" applyAlignment="1" applyProtection="1">
      <protection hidden="1"/>
    </xf>
    <xf numFmtId="0" fontId="0" fillId="2" borderId="0" xfId="0" applyFill="1" applyBorder="1" applyProtection="1">
      <protection hidden="1"/>
    </xf>
    <xf numFmtId="0" fontId="2" fillId="2" borderId="0" xfId="0" applyFont="1" applyFill="1" applyBorder="1" applyProtection="1">
      <protection hidden="1"/>
    </xf>
    <xf numFmtId="164" fontId="0" fillId="2" borderId="0" xfId="0" applyNumberFormat="1" applyFill="1" applyBorder="1" applyProtection="1">
      <protection hidden="1"/>
    </xf>
    <xf numFmtId="167" fontId="0" fillId="2" borderId="0" xfId="0" applyNumberFormat="1" applyFill="1" applyBorder="1" applyAlignment="1" applyProtection="1">
      <alignment horizontal="left"/>
      <protection hidden="1"/>
    </xf>
    <xf numFmtId="165" fontId="2" fillId="2" borderId="0" xfId="13" applyNumberFormat="1" applyFill="1" applyBorder="1" applyAlignment="1" applyProtection="1">
      <protection hidden="1"/>
    </xf>
    <xf numFmtId="164" fontId="2" fillId="2" borderId="0" xfId="13" applyNumberFormat="1" applyFill="1" applyBorder="1" applyAlignment="1" applyProtection="1">
      <protection hidden="1"/>
    </xf>
    <xf numFmtId="0" fontId="2" fillId="2" borderId="0" xfId="13" applyFill="1" applyBorder="1" applyAlignment="1" applyProtection="1">
      <alignment horizontal="left"/>
      <protection hidden="1"/>
    </xf>
    <xf numFmtId="165" fontId="2" fillId="2" borderId="0" xfId="13" applyNumberFormat="1" applyFill="1" applyBorder="1" applyAlignment="1" applyProtection="1">
      <alignment horizontal="left"/>
      <protection hidden="1"/>
    </xf>
    <xf numFmtId="164" fontId="2" fillId="2" borderId="0" xfId="13" applyNumberFormat="1" applyFill="1" applyBorder="1" applyAlignment="1" applyProtection="1">
      <alignment horizontal="left"/>
      <protection hidden="1"/>
    </xf>
    <xf numFmtId="165" fontId="2" fillId="2" borderId="0" xfId="13" applyNumberFormat="1" applyFont="1" applyFill="1" applyBorder="1" applyAlignment="1" applyProtection="1">
      <protection hidden="1"/>
    </xf>
    <xf numFmtId="164" fontId="2" fillId="2" borderId="0" xfId="13" applyNumberFormat="1" applyFill="1" applyBorder="1" applyAlignment="1" applyProtection="1">
      <alignment horizontal="right"/>
      <protection hidden="1"/>
    </xf>
    <xf numFmtId="164" fontId="2" fillId="2" borderId="0" xfId="13" applyNumberFormat="1" applyFont="1" applyFill="1" applyBorder="1" applyAlignment="1" applyProtection="1">
      <alignment horizontal="left"/>
      <protection hidden="1"/>
    </xf>
    <xf numFmtId="167" fontId="0" fillId="2" borderId="0" xfId="0" applyNumberFormat="1" applyFill="1" applyBorder="1" applyProtection="1">
      <protection hidden="1"/>
    </xf>
    <xf numFmtId="169" fontId="0" fillId="2" borderId="0" xfId="0" applyNumberFormat="1" applyFill="1" applyBorder="1" applyAlignment="1" applyProtection="1">
      <alignment horizontal="right"/>
      <protection hidden="1"/>
    </xf>
    <xf numFmtId="0" fontId="7" fillId="2" borderId="0" xfId="0" applyFont="1" applyFill="1" applyBorder="1" applyProtection="1">
      <protection hidden="1"/>
    </xf>
    <xf numFmtId="170" fontId="6" fillId="2" borderId="0" xfId="0" applyNumberFormat="1" applyFont="1" applyFill="1" applyBorder="1" applyAlignment="1" applyProtection="1">
      <alignment horizontal="center"/>
      <protection hidden="1"/>
    </xf>
    <xf numFmtId="171" fontId="7" fillId="2" borderId="0" xfId="13" applyNumberFormat="1" applyFont="1" applyFill="1" applyBorder="1" applyProtection="1">
      <protection hidden="1"/>
    </xf>
    <xf numFmtId="180" fontId="7" fillId="2" borderId="0" xfId="13" applyNumberFormat="1" applyFont="1" applyFill="1" applyBorder="1" applyProtection="1">
      <protection hidden="1"/>
    </xf>
    <xf numFmtId="181" fontId="7" fillId="2" borderId="0" xfId="13" applyNumberFormat="1" applyFont="1" applyFill="1" applyBorder="1" applyProtection="1">
      <protection hidden="1"/>
    </xf>
    <xf numFmtId="0" fontId="2" fillId="2" borderId="0" xfId="13" applyFill="1" applyBorder="1" applyProtection="1">
      <protection hidden="1"/>
    </xf>
    <xf numFmtId="0" fontId="7" fillId="2" borderId="0" xfId="13" applyFont="1" applyFill="1" applyBorder="1" applyProtection="1">
      <protection hidden="1"/>
    </xf>
    <xf numFmtId="168" fontId="6" fillId="2" borderId="0" xfId="13" applyNumberFormat="1" applyFont="1" applyFill="1" applyBorder="1" applyProtection="1">
      <protection hidden="1"/>
    </xf>
    <xf numFmtId="165" fontId="2" fillId="2" borderId="0" xfId="0" applyNumberFormat="1" applyFont="1" applyFill="1" applyBorder="1" applyAlignment="1" applyProtection="1">
      <alignment horizontal="left"/>
      <protection hidden="1"/>
    </xf>
    <xf numFmtId="0" fontId="14" fillId="2" borderId="0" xfId="13" applyFont="1" applyFill="1" applyBorder="1" applyAlignment="1" applyProtection="1">
      <alignment horizontal="left"/>
      <protection hidden="1"/>
    </xf>
    <xf numFmtId="0" fontId="2" fillId="2" borderId="0" xfId="13" applyFill="1" applyBorder="1"/>
    <xf numFmtId="0" fontId="2" fillId="2" borderId="0" xfId="13" applyNumberFormat="1" applyFill="1" applyBorder="1" applyAlignment="1" applyProtection="1">
      <protection hidden="1"/>
    </xf>
    <xf numFmtId="0" fontId="1" fillId="2" borderId="0" xfId="13" quotePrefix="1" applyFont="1" applyFill="1" applyBorder="1" applyAlignment="1" applyProtection="1">
      <alignment horizontal="left"/>
      <protection hidden="1"/>
    </xf>
    <xf numFmtId="164" fontId="2" fillId="2" borderId="0" xfId="13" applyNumberFormat="1" applyFill="1" applyBorder="1"/>
    <xf numFmtId="164" fontId="2" fillId="2" borderId="0" xfId="13" applyNumberFormat="1" applyFill="1" applyBorder="1" applyProtection="1">
      <protection hidden="1"/>
    </xf>
    <xf numFmtId="3" fontId="3" fillId="2" borderId="0" xfId="9" applyNumberFormat="1" applyFill="1" applyBorder="1" applyAlignment="1" applyProtection="1">
      <protection hidden="1"/>
    </xf>
    <xf numFmtId="3" fontId="2" fillId="2" borderId="0" xfId="0" applyNumberFormat="1" applyFont="1" applyFill="1" applyBorder="1" applyProtection="1">
      <protection hidden="1"/>
    </xf>
    <xf numFmtId="167" fontId="2" fillId="2" borderId="0" xfId="0" applyNumberFormat="1" applyFont="1" applyFill="1" applyBorder="1" applyProtection="1">
      <protection hidden="1"/>
    </xf>
    <xf numFmtId="0" fontId="4" fillId="2" borderId="0" xfId="0" applyFont="1" applyFill="1" applyBorder="1" applyProtection="1">
      <protection hidden="1"/>
    </xf>
    <xf numFmtId="0" fontId="5" fillId="2" borderId="0" xfId="0" applyFont="1" applyFill="1" applyBorder="1" applyProtection="1">
      <protection hidden="1"/>
    </xf>
    <xf numFmtId="3" fontId="2" fillId="2" borderId="0" xfId="0" quotePrefix="1" applyNumberFormat="1" applyFont="1" applyFill="1" applyBorder="1" applyAlignment="1" applyProtection="1">
      <alignment horizontal="left"/>
      <protection hidden="1"/>
    </xf>
    <xf numFmtId="0" fontId="6" fillId="2" borderId="0" xfId="0" applyFont="1" applyFill="1" applyBorder="1" applyAlignment="1" applyProtection="1">
      <alignment horizontal="center"/>
      <protection hidden="1"/>
    </xf>
    <xf numFmtId="168" fontId="7" fillId="2" borderId="0" xfId="0" applyNumberFormat="1" applyFont="1" applyFill="1" applyBorder="1" applyProtection="1">
      <protection hidden="1"/>
    </xf>
    <xf numFmtId="170" fontId="7" fillId="2" borderId="0" xfId="0" applyNumberFormat="1" applyFont="1" applyFill="1" applyBorder="1" applyProtection="1">
      <protection hidden="1"/>
    </xf>
    <xf numFmtId="171" fontId="7" fillId="2" borderId="0" xfId="0" applyNumberFormat="1" applyFont="1" applyFill="1" applyBorder="1" applyProtection="1">
      <protection hidden="1"/>
    </xf>
    <xf numFmtId="0" fontId="8" fillId="2" borderId="0" xfId="0" applyFont="1" applyFill="1" applyBorder="1" applyProtection="1">
      <protection hidden="1"/>
    </xf>
    <xf numFmtId="168" fontId="6" fillId="2" borderId="0" xfId="0" applyNumberFormat="1" applyFont="1" applyFill="1" applyBorder="1" applyProtection="1">
      <protection hidden="1"/>
    </xf>
    <xf numFmtId="0" fontId="2" fillId="2" borderId="0" xfId="13" applyFont="1" applyFill="1" applyBorder="1" applyProtection="1">
      <protection hidden="1"/>
    </xf>
    <xf numFmtId="167" fontId="2" fillId="2" borderId="0" xfId="13" applyNumberFormat="1" applyFill="1" applyBorder="1" applyProtection="1">
      <protection hidden="1"/>
    </xf>
    <xf numFmtId="0" fontId="0" fillId="3" borderId="0" xfId="0" applyFill="1" applyBorder="1" applyAlignment="1" applyProtection="1">
      <alignment horizontal="left"/>
      <protection locked="0" hidden="1"/>
    </xf>
    <xf numFmtId="166" fontId="1" fillId="3" borderId="0" xfId="0" applyNumberFormat="1" applyFont="1" applyFill="1" applyBorder="1" applyAlignment="1" applyProtection="1">
      <alignment horizontal="left"/>
      <protection locked="0"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164" fontId="0" fillId="3" borderId="0" xfId="0" applyNumberFormat="1" applyFill="1" applyBorder="1" applyAlignment="1" applyProtection="1">
      <protection locked="0" hidden="1"/>
    </xf>
    <xf numFmtId="164" fontId="0" fillId="5" borderId="0" xfId="0" applyNumberFormat="1" applyFill="1" applyBorder="1" applyAlignment="1" applyProtection="1">
      <protection hidden="1"/>
    </xf>
    <xf numFmtId="164" fontId="2" fillId="4" borderId="0" xfId="0" applyNumberFormat="1" applyFont="1" applyFill="1" applyBorder="1" applyAlignment="1" applyProtection="1">
      <protection locked="0" hidden="1"/>
    </xf>
    <xf numFmtId="0" fontId="0" fillId="3" borderId="0" xfId="0" applyFill="1" applyBorder="1" applyProtection="1">
      <protection locked="0" hidden="1"/>
    </xf>
    <xf numFmtId="0" fontId="2" fillId="3" borderId="0" xfId="13" applyFont="1" applyFill="1" applyBorder="1" applyAlignment="1" applyProtection="1">
      <alignment horizontal="left"/>
      <protection locked="0" hidden="1"/>
    </xf>
    <xf numFmtId="0" fontId="1" fillId="6" borderId="2" xfId="0" applyFont="1" applyFill="1" applyBorder="1" applyAlignment="1" applyProtection="1">
      <alignment horizontal="left"/>
      <protection hidden="1"/>
    </xf>
    <xf numFmtId="164" fontId="0" fillId="3" borderId="0" xfId="0" applyNumberFormat="1" applyFill="1" applyBorder="1" applyAlignment="1" applyProtection="1">
      <alignment horizontal="left"/>
      <protection locked="0" hidden="1"/>
    </xf>
    <xf numFmtId="0" fontId="0" fillId="3" borderId="0" xfId="0" applyFill="1" applyBorder="1" applyAlignment="1" applyProtection="1">
      <alignment horizontal="center"/>
      <protection locked="0" hidden="1"/>
    </xf>
    <xf numFmtId="164" fontId="0" fillId="7" borderId="0" xfId="0" applyNumberFormat="1" applyFill="1" applyBorder="1" applyAlignment="1" applyProtection="1">
      <alignment horizontal="left"/>
      <protection locked="0" hidden="1"/>
    </xf>
    <xf numFmtId="0" fontId="1" fillId="8" borderId="2" xfId="0" applyFont="1" applyFill="1" applyBorder="1" applyAlignment="1" applyProtection="1">
      <alignment horizontal="left"/>
      <protection hidden="1"/>
    </xf>
    <xf numFmtId="164" fontId="0" fillId="3" borderId="0" xfId="0" applyNumberFormat="1" applyFill="1" applyBorder="1" applyAlignment="1" applyProtection="1">
      <alignment horizontal="left"/>
      <protection hidden="1"/>
    </xf>
    <xf numFmtId="0" fontId="2" fillId="9" borderId="0" xfId="0" applyFont="1" applyFill="1" applyBorder="1" applyAlignment="1" applyProtection="1">
      <alignment horizontal="left"/>
      <protection hidden="1"/>
    </xf>
    <xf numFmtId="164" fontId="0" fillId="9" borderId="0" xfId="0" applyNumberFormat="1" applyFill="1" applyBorder="1" applyAlignment="1" applyProtection="1">
      <alignment horizontal="left"/>
      <protection hidden="1"/>
    </xf>
    <xf numFmtId="164" fontId="0" fillId="9" borderId="0" xfId="0" applyNumberFormat="1" applyFill="1" applyBorder="1" applyAlignment="1" applyProtection="1">
      <protection hidden="1"/>
    </xf>
    <xf numFmtId="164" fontId="1" fillId="6" borderId="0" xfId="0" applyNumberFormat="1" applyFont="1" applyFill="1" applyBorder="1" applyAlignment="1" applyProtection="1">
      <protection hidden="1"/>
    </xf>
    <xf numFmtId="164" fontId="0" fillId="10" borderId="0" xfId="0" applyNumberFormat="1" applyFill="1" applyBorder="1" applyProtection="1">
      <protection hidden="1"/>
    </xf>
    <xf numFmtId="164" fontId="1" fillId="8" borderId="0" xfId="0" applyNumberFormat="1" applyFont="1" applyFill="1" applyBorder="1" applyAlignment="1" applyProtection="1">
      <protection hidden="1"/>
    </xf>
    <xf numFmtId="164" fontId="0" fillId="7" borderId="0" xfId="0" applyNumberFormat="1" applyFill="1" applyBorder="1" applyAlignment="1" applyProtection="1">
      <alignment horizontal="left"/>
      <protection hidden="1"/>
    </xf>
    <xf numFmtId="164" fontId="0" fillId="7" borderId="0" xfId="0" applyNumberFormat="1" applyFill="1" applyBorder="1" applyAlignment="1" applyProtection="1">
      <protection hidden="1"/>
    </xf>
    <xf numFmtId="0" fontId="2" fillId="7" borderId="0" xfId="0" applyFont="1" applyFill="1" applyBorder="1" applyAlignment="1" applyProtection="1">
      <alignment horizontal="left"/>
      <protection hidden="1"/>
    </xf>
    <xf numFmtId="0" fontId="17" fillId="11" borderId="0" xfId="0" applyFont="1" applyFill="1" applyBorder="1" applyAlignment="1" applyProtection="1">
      <alignment horizontal="left"/>
      <protection hidden="1"/>
    </xf>
    <xf numFmtId="0" fontId="18" fillId="11" borderId="0" xfId="0" applyFont="1" applyFill="1" applyBorder="1" applyAlignment="1" applyProtection="1">
      <alignment horizontal="left"/>
      <protection hidden="1"/>
    </xf>
    <xf numFmtId="0" fontId="19" fillId="11" borderId="0" xfId="13" applyFont="1" applyFill="1" applyBorder="1" applyProtection="1">
      <protection hidden="1"/>
    </xf>
    <xf numFmtId="164" fontId="2" fillId="3" borderId="0" xfId="13" applyNumberFormat="1" applyFill="1" applyBorder="1" applyAlignment="1" applyProtection="1">
      <protection locked="0" hidden="1"/>
    </xf>
    <xf numFmtId="164" fontId="2" fillId="5" borderId="0" xfId="13" applyNumberFormat="1" applyFill="1" applyBorder="1" applyAlignment="1" applyProtection="1">
      <protection hidden="1"/>
    </xf>
    <xf numFmtId="164" fontId="2" fillId="12" borderId="0" xfId="13" applyNumberFormat="1" applyFill="1" applyBorder="1" applyAlignment="1" applyProtection="1">
      <protection locked="0" hidden="1"/>
    </xf>
    <xf numFmtId="0" fontId="2" fillId="3" borderId="0" xfId="13" applyFill="1" applyBorder="1" applyAlignment="1" applyProtection="1">
      <alignment horizontal="center"/>
      <protection locked="0" hidden="1"/>
    </xf>
    <xf numFmtId="164" fontId="2" fillId="3" borderId="0" xfId="13" applyNumberFormat="1" applyFill="1" applyBorder="1" applyAlignment="1" applyProtection="1">
      <alignment horizontal="left"/>
      <protection locked="0"/>
    </xf>
    <xf numFmtId="164" fontId="2" fillId="3" borderId="0" xfId="13" applyNumberFormat="1" applyFont="1" applyFill="1" applyBorder="1" applyAlignment="1" applyProtection="1">
      <alignment horizontal="left"/>
      <protection locked="0" hidden="1"/>
    </xf>
    <xf numFmtId="164" fontId="2" fillId="3" borderId="0" xfId="13" applyNumberFormat="1" applyFill="1" applyBorder="1" applyAlignment="1" applyProtection="1">
      <alignment horizontal="left"/>
      <protection locked="0" hidden="1"/>
    </xf>
    <xf numFmtId="164" fontId="1" fillId="6" borderId="0" xfId="13" applyNumberFormat="1" applyFont="1" applyFill="1" applyBorder="1"/>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KROAK.xlsx" TargetMode="External"/><Relationship Id="rId7" Type="http://schemas.openxmlformats.org/officeDocument/2006/relationships/printerSettings" Target="../printerSettings/printerSettings1.bin"/><Relationship Id="rId2" Type="http://schemas.openxmlformats.org/officeDocument/2006/relationships/hyperlink" Target="VKBKRO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KRODV.xlsx" TargetMode="External"/><Relationship Id="rId4" Type="http://schemas.openxmlformats.org/officeDocument/2006/relationships/hyperlink" Target="VKBKRO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05"/>
  <sheetViews>
    <sheetView tabSelected="1" zoomScaleNormal="100" workbookViewId="0">
      <selection activeCell="B3" sqref="B3"/>
    </sheetView>
  </sheetViews>
  <sheetFormatPr defaultRowHeight="12.75" x14ac:dyDescent="0.2"/>
  <cols>
    <col min="1" max="1" width="34.28515625" style="15" customWidth="1"/>
    <col min="2" max="2" width="16" style="15" customWidth="1"/>
    <col min="3" max="3" width="19.5703125" style="15" bestFit="1" customWidth="1"/>
    <col min="4" max="4" width="15.42578125" style="15" customWidth="1"/>
    <col min="5" max="5" width="16.7109375" style="15" customWidth="1"/>
    <col min="6" max="6" width="12.28515625" style="15" customWidth="1"/>
    <col min="7" max="7" width="15.85546875" style="15" bestFit="1" customWidth="1"/>
    <col min="8" max="16" width="9.140625" style="15"/>
    <col min="17" max="17" width="12.140625" style="15" bestFit="1" customWidth="1"/>
    <col min="18" max="16384" width="9.140625" style="15"/>
  </cols>
  <sheetData>
    <row r="1" spans="1:7" ht="22.5" customHeight="1" x14ac:dyDescent="0.3">
      <c r="A1" s="82" t="s">
        <v>113</v>
      </c>
      <c r="B1" s="83"/>
      <c r="C1" s="83"/>
      <c r="D1" s="83"/>
      <c r="E1" s="2"/>
      <c r="F1" s="3"/>
      <c r="G1" s="3"/>
    </row>
    <row r="2" spans="1:7" x14ac:dyDescent="0.2">
      <c r="A2" s="1"/>
      <c r="B2" s="1"/>
      <c r="C2" s="1"/>
      <c r="D2" s="1"/>
      <c r="E2" s="2"/>
      <c r="F2" s="3"/>
      <c r="G2" s="3"/>
    </row>
    <row r="3" spans="1:7" x14ac:dyDescent="0.2">
      <c r="A3" s="1" t="s">
        <v>0</v>
      </c>
      <c r="B3" s="59"/>
      <c r="C3" s="1"/>
      <c r="D3" s="1"/>
      <c r="E3" s="3"/>
      <c r="F3" s="3"/>
      <c r="G3" s="3"/>
    </row>
    <row r="4" spans="1:7" x14ac:dyDescent="0.2">
      <c r="A4" s="1" t="s">
        <v>1</v>
      </c>
      <c r="B4" s="60"/>
      <c r="C4" s="61"/>
      <c r="D4" s="1"/>
      <c r="E4" s="3"/>
      <c r="F4" s="3"/>
      <c r="G4" s="2"/>
    </row>
    <row r="5" spans="1:7" x14ac:dyDescent="0.2">
      <c r="A5" s="3" t="s">
        <v>2</v>
      </c>
      <c r="B5" s="62">
        <v>0</v>
      </c>
      <c r="F5" s="3"/>
    </row>
    <row r="6" spans="1:7" x14ac:dyDescent="0.2">
      <c r="A6" s="3" t="s">
        <v>3</v>
      </c>
      <c r="B6" s="62">
        <v>0</v>
      </c>
      <c r="C6" s="5"/>
      <c r="F6" s="3"/>
    </row>
    <row r="7" spans="1:7" x14ac:dyDescent="0.2">
      <c r="A7" s="37" t="s">
        <v>4</v>
      </c>
      <c r="B7" s="63">
        <f>B5+B6</f>
        <v>0</v>
      </c>
      <c r="C7" s="5"/>
      <c r="D7" s="3"/>
      <c r="E7" s="6"/>
      <c r="F7" s="3"/>
    </row>
    <row r="8" spans="1:7" x14ac:dyDescent="0.2">
      <c r="A8" s="5" t="s">
        <v>5</v>
      </c>
      <c r="B8" s="64">
        <v>0</v>
      </c>
      <c r="C8" s="5"/>
      <c r="F8" s="3"/>
    </row>
    <row r="9" spans="1:7" x14ac:dyDescent="0.2">
      <c r="A9" s="7" t="s">
        <v>6</v>
      </c>
      <c r="B9" s="5"/>
      <c r="C9" s="58" t="s">
        <v>7</v>
      </c>
      <c r="D9" s="8"/>
      <c r="E9" s="6"/>
      <c r="F9" s="3"/>
    </row>
    <row r="10" spans="1:7" x14ac:dyDescent="0.2">
      <c r="A10" s="7" t="s">
        <v>8</v>
      </c>
      <c r="B10" s="9" t="s">
        <v>9</v>
      </c>
      <c r="C10" s="65" t="s">
        <v>7</v>
      </c>
      <c r="F10" s="3"/>
      <c r="G10" s="6"/>
    </row>
    <row r="11" spans="1:7" x14ac:dyDescent="0.2">
      <c r="A11" s="10" t="s">
        <v>84</v>
      </c>
      <c r="B11" s="11"/>
      <c r="C11" s="66" t="s">
        <v>7</v>
      </c>
      <c r="F11" s="3"/>
      <c r="G11" s="6"/>
    </row>
    <row r="12" spans="1:7" ht="13.5" thickBot="1" x14ac:dyDescent="0.25">
      <c r="A12" s="12" t="s">
        <v>11</v>
      </c>
      <c r="B12" s="1"/>
      <c r="C12" s="1"/>
      <c r="D12" s="1"/>
      <c r="E12" s="3"/>
      <c r="F12" s="3"/>
      <c r="G12" s="3"/>
    </row>
    <row r="13" spans="1:7" ht="13.5" thickBot="1" x14ac:dyDescent="0.25">
      <c r="A13" s="67" t="s">
        <v>12</v>
      </c>
      <c r="B13" s="1"/>
      <c r="C13" s="1"/>
      <c r="D13" s="1"/>
      <c r="E13" s="3"/>
      <c r="F13" s="3"/>
      <c r="G13" s="3"/>
    </row>
    <row r="14" spans="1:7" x14ac:dyDescent="0.2">
      <c r="A14" s="1"/>
      <c r="B14" s="1"/>
      <c r="C14" s="1"/>
      <c r="D14" s="1"/>
      <c r="E14" s="3"/>
      <c r="F14" s="3"/>
      <c r="G14" s="3"/>
    </row>
    <row r="15" spans="1:7" x14ac:dyDescent="0.2">
      <c r="A15" s="37" t="s">
        <v>13</v>
      </c>
      <c r="B15" s="1"/>
      <c r="C15" s="1"/>
      <c r="E15" s="17">
        <f>IF(AND(C11="ja",C9="ja"),F147-250,F147)</f>
        <v>0</v>
      </c>
    </row>
    <row r="16" spans="1:7" x14ac:dyDescent="0.2">
      <c r="A16" s="7" t="s">
        <v>14</v>
      </c>
      <c r="B16" s="5"/>
      <c r="C16" s="5"/>
      <c r="D16" s="13">
        <f>C100</f>
        <v>0</v>
      </c>
      <c r="E16" s="14"/>
      <c r="F16" s="8"/>
      <c r="G16" s="6"/>
    </row>
    <row r="17" spans="1:7" x14ac:dyDescent="0.2">
      <c r="A17" s="7" t="s">
        <v>15</v>
      </c>
      <c r="B17" s="5"/>
      <c r="C17" s="5"/>
      <c r="D17" s="13">
        <f>IF(C9="ja",-7500,0)</f>
        <v>0</v>
      </c>
      <c r="E17" s="14"/>
      <c r="F17" s="8"/>
      <c r="G17" s="6"/>
    </row>
    <row r="18" spans="1:7" x14ac:dyDescent="0.2">
      <c r="A18" s="7" t="s">
        <v>16</v>
      </c>
      <c r="B18" s="5"/>
      <c r="C18" s="5"/>
      <c r="D18" s="13">
        <f>IF(AND(C9="ja",C10="ja"),-1875,0)</f>
        <v>0</v>
      </c>
      <c r="E18" s="14"/>
      <c r="F18" s="8"/>
      <c r="G18" s="6"/>
    </row>
    <row r="19" spans="1:7" x14ac:dyDescent="0.2">
      <c r="A19" s="5" t="s">
        <v>17</v>
      </c>
      <c r="B19" s="5"/>
      <c r="C19" s="5"/>
      <c r="D19" s="68">
        <v>0</v>
      </c>
      <c r="E19" s="14"/>
      <c r="F19" s="3"/>
      <c r="G19" s="3"/>
    </row>
    <row r="20" spans="1:7" x14ac:dyDescent="0.2">
      <c r="A20" s="7" t="s">
        <v>18</v>
      </c>
      <c r="B20" s="69">
        <v>0</v>
      </c>
      <c r="C20" s="5"/>
      <c r="D20" s="13">
        <f>B20*30</f>
        <v>0</v>
      </c>
      <c r="E20" s="14"/>
      <c r="F20" s="3"/>
      <c r="G20" s="3"/>
    </row>
    <row r="21" spans="1:7" x14ac:dyDescent="0.2">
      <c r="A21" s="7" t="s">
        <v>19</v>
      </c>
      <c r="B21" s="5"/>
      <c r="C21" s="5"/>
      <c r="D21" s="68">
        <v>770</v>
      </c>
      <c r="E21" s="14"/>
      <c r="F21" s="3"/>
      <c r="G21" s="3"/>
    </row>
    <row r="22" spans="1:7" x14ac:dyDescent="0.2">
      <c r="A22" s="7" t="s">
        <v>20</v>
      </c>
      <c r="B22" s="5"/>
      <c r="C22" s="5"/>
      <c r="D22" s="70">
        <v>0</v>
      </c>
      <c r="E22" s="14"/>
      <c r="F22" s="3"/>
      <c r="G22" s="3"/>
    </row>
    <row r="23" spans="1:7" x14ac:dyDescent="0.2">
      <c r="A23" s="7" t="s">
        <v>21</v>
      </c>
      <c r="B23" s="5"/>
      <c r="C23" s="5"/>
      <c r="E23" s="13">
        <f>SUM(D16:D22)</f>
        <v>770</v>
      </c>
      <c r="F23" s="3"/>
      <c r="G23" s="3"/>
    </row>
    <row r="24" spans="1:7" x14ac:dyDescent="0.2">
      <c r="B24" s="5"/>
      <c r="C24" s="5"/>
      <c r="D24" s="16" t="s">
        <v>22</v>
      </c>
      <c r="E24" s="17">
        <f>(E15+D21)*21%</f>
        <v>161.69999999999999</v>
      </c>
      <c r="F24" s="3"/>
      <c r="G24" s="3"/>
    </row>
    <row r="25" spans="1:7" x14ac:dyDescent="0.2">
      <c r="B25" s="5"/>
      <c r="C25" s="5"/>
      <c r="D25" s="16"/>
      <c r="E25" s="17"/>
      <c r="F25" s="3"/>
      <c r="G25" s="3"/>
    </row>
    <row r="26" spans="1:7" x14ac:dyDescent="0.2">
      <c r="A26" s="7" t="s">
        <v>23</v>
      </c>
      <c r="B26" s="5"/>
      <c r="C26" s="5"/>
      <c r="D26" s="16"/>
      <c r="E26" s="77">
        <f>SUM(E15:E24)</f>
        <v>931.7</v>
      </c>
      <c r="F26" s="3"/>
      <c r="G26" s="3"/>
    </row>
    <row r="27" spans="1:7" ht="13.5" thickBot="1" x14ac:dyDescent="0.25">
      <c r="A27" s="7"/>
      <c r="B27" s="5"/>
      <c r="C27" s="5"/>
      <c r="D27" s="16"/>
      <c r="E27" s="27"/>
      <c r="F27" s="3"/>
      <c r="G27" s="3"/>
    </row>
    <row r="28" spans="1:7" ht="13.5" thickBot="1" x14ac:dyDescent="0.25">
      <c r="A28" s="71" t="s">
        <v>24</v>
      </c>
      <c r="B28" s="5"/>
      <c r="C28" s="5"/>
      <c r="D28" s="18"/>
      <c r="E28" s="3"/>
      <c r="F28" s="3"/>
      <c r="G28" s="3"/>
    </row>
    <row r="29" spans="1:7" x14ac:dyDescent="0.2">
      <c r="E29" s="3"/>
      <c r="F29" s="3"/>
      <c r="G29" s="3"/>
    </row>
    <row r="30" spans="1:7" x14ac:dyDescent="0.2">
      <c r="A30" s="7" t="s">
        <v>25</v>
      </c>
      <c r="B30" s="5"/>
      <c r="C30" s="5"/>
      <c r="D30" s="70">
        <v>0</v>
      </c>
      <c r="E30" s="3"/>
      <c r="F30" s="3"/>
      <c r="G30" s="3"/>
    </row>
    <row r="31" spans="1:7" x14ac:dyDescent="0.2">
      <c r="A31" s="7"/>
      <c r="B31" s="5"/>
      <c r="C31" s="5"/>
      <c r="D31" s="13"/>
      <c r="E31" s="3"/>
      <c r="F31" s="3"/>
      <c r="G31" s="3"/>
    </row>
    <row r="32" spans="1:7" x14ac:dyDescent="0.2">
      <c r="A32" s="1" t="s">
        <v>26</v>
      </c>
      <c r="B32" s="5"/>
      <c r="C32" s="5"/>
      <c r="D32" s="13"/>
      <c r="E32" s="3"/>
      <c r="F32" s="3"/>
      <c r="G32" s="3"/>
    </row>
    <row r="33" spans="1:7" x14ac:dyDescent="0.2">
      <c r="A33" s="7"/>
      <c r="B33" s="5"/>
      <c r="C33" s="5"/>
      <c r="D33" s="13"/>
      <c r="E33" s="3"/>
      <c r="F33" s="3"/>
      <c r="G33" s="3"/>
    </row>
    <row r="34" spans="1:7" x14ac:dyDescent="0.2">
      <c r="A34" s="7" t="s">
        <v>27</v>
      </c>
      <c r="B34" s="5"/>
      <c r="C34" s="4" t="s">
        <v>28</v>
      </c>
      <c r="D34" s="68">
        <v>0</v>
      </c>
    </row>
    <row r="35" spans="1:7" x14ac:dyDescent="0.2">
      <c r="A35" s="7" t="s">
        <v>29</v>
      </c>
      <c r="B35" s="5"/>
      <c r="C35" s="4" t="s">
        <v>28</v>
      </c>
      <c r="D35" s="68">
        <v>0</v>
      </c>
      <c r="E35" s="3"/>
      <c r="F35" s="3"/>
      <c r="G35" s="3"/>
    </row>
    <row r="36" spans="1:7" x14ac:dyDescent="0.2">
      <c r="A36" s="7" t="s">
        <v>30</v>
      </c>
      <c r="B36" s="69">
        <v>1</v>
      </c>
      <c r="C36" s="4" t="s">
        <v>28</v>
      </c>
      <c r="D36" s="72">
        <f>B36*35</f>
        <v>35</v>
      </c>
      <c r="E36" s="3"/>
      <c r="F36" s="3"/>
      <c r="G36" s="3"/>
    </row>
    <row r="37" spans="1:7" x14ac:dyDescent="0.2">
      <c r="A37" s="7" t="s">
        <v>31</v>
      </c>
      <c r="B37" s="5"/>
      <c r="C37" s="4" t="s">
        <v>28</v>
      </c>
      <c r="D37" s="68">
        <v>0</v>
      </c>
      <c r="E37" s="3"/>
      <c r="F37" s="3"/>
      <c r="G37" s="3"/>
    </row>
    <row r="38" spans="1:7" x14ac:dyDescent="0.2">
      <c r="A38" s="7"/>
      <c r="B38" s="5"/>
      <c r="C38" s="5"/>
      <c r="D38" s="13"/>
      <c r="E38" s="3"/>
      <c r="F38" s="3"/>
      <c r="G38" s="3"/>
    </row>
    <row r="39" spans="1:7" x14ac:dyDescent="0.2">
      <c r="A39" s="73" t="s">
        <v>32</v>
      </c>
      <c r="B39" s="5"/>
      <c r="C39" s="5"/>
      <c r="D39" s="74">
        <f>E113</f>
        <v>35</v>
      </c>
      <c r="E39" s="3"/>
      <c r="F39" s="3"/>
      <c r="G39" s="3"/>
    </row>
    <row r="40" spans="1:7" x14ac:dyDescent="0.2">
      <c r="A40" s="7"/>
      <c r="B40" s="5"/>
      <c r="C40" s="16" t="s">
        <v>22</v>
      </c>
      <c r="D40" s="75">
        <f>F112</f>
        <v>7.35</v>
      </c>
      <c r="F40" s="3"/>
      <c r="G40" s="3"/>
    </row>
    <row r="41" spans="1:7" x14ac:dyDescent="0.2">
      <c r="A41" s="7"/>
      <c r="B41" s="5"/>
      <c r="C41" s="5"/>
      <c r="D41" s="13"/>
      <c r="E41" s="3"/>
      <c r="F41" s="3"/>
      <c r="G41" s="3"/>
    </row>
    <row r="42" spans="1:7" x14ac:dyDescent="0.2">
      <c r="A42" s="81" t="s">
        <v>33</v>
      </c>
      <c r="B42" s="5"/>
      <c r="C42" s="5"/>
      <c r="D42" s="79">
        <f>E119</f>
        <v>0</v>
      </c>
      <c r="E42" s="3"/>
      <c r="F42" s="3"/>
      <c r="G42" s="3"/>
    </row>
    <row r="43" spans="1:7" x14ac:dyDescent="0.2">
      <c r="A43" s="5"/>
      <c r="B43" s="5"/>
      <c r="C43" s="16" t="s">
        <v>22</v>
      </c>
      <c r="D43" s="80">
        <f>F119</f>
        <v>0</v>
      </c>
      <c r="F43" s="3"/>
      <c r="G43" s="6"/>
    </row>
    <row r="44" spans="1:7" x14ac:dyDescent="0.2">
      <c r="A44" s="5"/>
      <c r="B44" s="5"/>
      <c r="C44" s="5"/>
      <c r="D44" s="16"/>
      <c r="E44" s="6"/>
      <c r="F44" s="3"/>
      <c r="G44" s="6"/>
    </row>
    <row r="45" spans="1:7" x14ac:dyDescent="0.2">
      <c r="A45" s="1" t="s">
        <v>34</v>
      </c>
      <c r="B45" s="5"/>
      <c r="C45" s="5"/>
      <c r="D45" s="16"/>
      <c r="E45" s="76">
        <f>E26+D39+D40</f>
        <v>974.05000000000007</v>
      </c>
      <c r="F45" s="3"/>
      <c r="G45" s="6"/>
    </row>
    <row r="46" spans="1:7" x14ac:dyDescent="0.2">
      <c r="A46" s="5"/>
      <c r="B46" s="5"/>
      <c r="C46" s="5"/>
      <c r="D46" s="16"/>
      <c r="E46" s="14"/>
      <c r="F46" s="3"/>
      <c r="G46" s="6"/>
    </row>
    <row r="47" spans="1:7" x14ac:dyDescent="0.2">
      <c r="A47" s="1" t="s">
        <v>35</v>
      </c>
      <c r="B47" s="5"/>
      <c r="C47" s="5"/>
      <c r="D47" s="5"/>
      <c r="E47" s="78">
        <f>D30+D42+D43</f>
        <v>0</v>
      </c>
      <c r="F47" s="3"/>
      <c r="G47" s="6"/>
    </row>
    <row r="49" spans="1:7" ht="21.75" customHeight="1" x14ac:dyDescent="0.3">
      <c r="A49" s="84" t="s">
        <v>85</v>
      </c>
      <c r="B49" s="34"/>
      <c r="C49" s="34"/>
      <c r="D49" s="34"/>
      <c r="E49" s="34"/>
      <c r="F49" s="34"/>
      <c r="G49" s="34"/>
    </row>
    <row r="50" spans="1:7" x14ac:dyDescent="0.2">
      <c r="A50" s="34"/>
      <c r="B50" s="34"/>
      <c r="C50" s="34"/>
      <c r="D50" s="34"/>
      <c r="E50" s="34"/>
      <c r="F50" s="34"/>
      <c r="G50" s="34"/>
    </row>
    <row r="51" spans="1:7" x14ac:dyDescent="0.2">
      <c r="A51" s="38" t="s">
        <v>86</v>
      </c>
      <c r="B51" s="19" t="s">
        <v>87</v>
      </c>
      <c r="C51" s="85">
        <v>0</v>
      </c>
      <c r="D51" s="39"/>
      <c r="E51" s="19"/>
      <c r="F51" s="19"/>
      <c r="G51" s="40"/>
    </row>
    <row r="52" spans="1:7" x14ac:dyDescent="0.2">
      <c r="A52" s="21"/>
      <c r="B52" s="19" t="s">
        <v>88</v>
      </c>
      <c r="C52" s="85">
        <v>0</v>
      </c>
      <c r="D52" s="39"/>
      <c r="E52" s="19"/>
      <c r="F52" s="19"/>
      <c r="G52" s="40"/>
    </row>
    <row r="53" spans="1:7" x14ac:dyDescent="0.2">
      <c r="A53" s="21"/>
      <c r="B53" s="19" t="s">
        <v>4</v>
      </c>
      <c r="C53" s="86">
        <f>SUM(C51:C52)</f>
        <v>0</v>
      </c>
      <c r="D53" s="39"/>
      <c r="E53" s="19"/>
      <c r="F53" s="19"/>
      <c r="G53" s="19"/>
    </row>
    <row r="54" spans="1:7" x14ac:dyDescent="0.2">
      <c r="A54" s="21"/>
      <c r="B54" s="19"/>
      <c r="C54" s="20"/>
      <c r="D54" s="39"/>
      <c r="E54" s="39"/>
      <c r="F54" s="39"/>
      <c r="G54" s="39"/>
    </row>
    <row r="55" spans="1:7" x14ac:dyDescent="0.2">
      <c r="A55" s="38" t="s">
        <v>89</v>
      </c>
      <c r="B55" s="19"/>
      <c r="C55" s="87">
        <v>0</v>
      </c>
      <c r="D55" s="39"/>
      <c r="E55" s="39"/>
      <c r="F55" s="39"/>
      <c r="G55" s="39"/>
    </row>
    <row r="56" spans="1:7" x14ac:dyDescent="0.2">
      <c r="A56" s="21"/>
      <c r="B56" s="21"/>
      <c r="C56" s="21"/>
      <c r="D56" s="39"/>
      <c r="E56" s="39"/>
      <c r="F56" s="39"/>
      <c r="G56" s="39"/>
    </row>
    <row r="57" spans="1:7" x14ac:dyDescent="0.2">
      <c r="A57" s="10" t="s">
        <v>90</v>
      </c>
      <c r="B57" s="21"/>
      <c r="C57" s="88" t="s">
        <v>7</v>
      </c>
      <c r="D57" s="39"/>
      <c r="E57" s="39"/>
      <c r="F57" s="39"/>
      <c r="G57" s="39"/>
    </row>
    <row r="58" spans="1:7" x14ac:dyDescent="0.2">
      <c r="A58" s="1" t="s">
        <v>114</v>
      </c>
      <c r="C58" s="69">
        <v>1</v>
      </c>
      <c r="D58" s="39"/>
      <c r="E58" s="39"/>
      <c r="F58" s="39"/>
      <c r="G58" s="39"/>
    </row>
    <row r="59" spans="1:7" x14ac:dyDescent="0.2">
      <c r="A59" s="41" t="s">
        <v>11</v>
      </c>
      <c r="B59" s="11"/>
      <c r="C59" s="11"/>
      <c r="D59" s="11"/>
      <c r="E59" s="19"/>
      <c r="F59" s="19"/>
      <c r="G59" s="19"/>
    </row>
    <row r="60" spans="1:7" x14ac:dyDescent="0.2">
      <c r="A60" s="21"/>
      <c r="B60" s="21"/>
      <c r="C60" s="21"/>
      <c r="D60" s="22"/>
      <c r="E60" s="19"/>
      <c r="F60" s="19" t="s">
        <v>13</v>
      </c>
      <c r="G60" s="20">
        <f>IF(C57= "ja",E203/2+4.239,E203)</f>
        <v>0</v>
      </c>
    </row>
    <row r="61" spans="1:7" x14ac:dyDescent="0.2">
      <c r="A61" s="10" t="s">
        <v>91</v>
      </c>
      <c r="B61" s="21"/>
      <c r="C61" s="21"/>
      <c r="D61" s="23">
        <f>C53/100</f>
        <v>0</v>
      </c>
      <c r="E61" s="19"/>
      <c r="F61" s="24" t="s">
        <v>92</v>
      </c>
      <c r="G61" s="20">
        <f>G60*21/100</f>
        <v>0</v>
      </c>
    </row>
    <row r="62" spans="1:7" x14ac:dyDescent="0.2">
      <c r="A62" s="10" t="s">
        <v>93</v>
      </c>
      <c r="B62" s="21"/>
      <c r="C62" s="21"/>
      <c r="D62" s="89">
        <v>0</v>
      </c>
      <c r="E62" s="19"/>
      <c r="F62" s="19"/>
      <c r="G62" s="20"/>
    </row>
    <row r="63" spans="1:7" x14ac:dyDescent="0.2">
      <c r="A63" s="21"/>
      <c r="B63" s="21"/>
      <c r="C63" s="21"/>
      <c r="D63" s="23"/>
      <c r="E63" s="19"/>
      <c r="F63" s="19"/>
      <c r="G63" s="20"/>
    </row>
    <row r="64" spans="1:7" x14ac:dyDescent="0.2">
      <c r="A64" s="10" t="s">
        <v>94</v>
      </c>
      <c r="B64" s="21"/>
      <c r="C64" s="23">
        <f>C53*0.3%</f>
        <v>0</v>
      </c>
      <c r="D64" s="42"/>
      <c r="E64" s="19"/>
      <c r="F64" s="19"/>
      <c r="G64" s="20"/>
    </row>
    <row r="65" spans="1:7" x14ac:dyDescent="0.2">
      <c r="A65" s="10" t="s">
        <v>95</v>
      </c>
      <c r="B65" s="21"/>
      <c r="C65" s="23">
        <f>A95*C58</f>
        <v>87.31</v>
      </c>
      <c r="D65" s="42"/>
      <c r="E65" s="19"/>
      <c r="F65" s="19"/>
      <c r="G65" s="20"/>
    </row>
    <row r="66" spans="1:7" x14ac:dyDescent="0.2">
      <c r="A66" s="10" t="s">
        <v>96</v>
      </c>
      <c r="B66" s="21"/>
      <c r="C66" s="21"/>
      <c r="D66" s="23">
        <f>IF((D189-C64-C65)&lt;22,D189+50,D189)</f>
        <v>150</v>
      </c>
      <c r="E66" s="19"/>
      <c r="F66" s="19"/>
      <c r="G66" s="20"/>
    </row>
    <row r="67" spans="1:7" x14ac:dyDescent="0.2">
      <c r="A67" s="10"/>
      <c r="B67" s="21"/>
      <c r="C67" s="21"/>
      <c r="D67" s="23"/>
      <c r="E67" s="19"/>
      <c r="F67" s="19"/>
      <c r="G67" s="20"/>
    </row>
    <row r="68" spans="1:7" x14ac:dyDescent="0.2">
      <c r="A68" s="10" t="s">
        <v>97</v>
      </c>
      <c r="B68" s="21"/>
      <c r="C68" s="21"/>
      <c r="D68" s="25">
        <f>50</f>
        <v>50</v>
      </c>
      <c r="E68" s="19"/>
      <c r="F68" s="19"/>
      <c r="G68" s="20"/>
    </row>
    <row r="69" spans="1:7" x14ac:dyDescent="0.2">
      <c r="A69" s="21"/>
      <c r="B69" s="21"/>
      <c r="C69" s="10" t="s">
        <v>92</v>
      </c>
      <c r="D69" s="23">
        <f>D68*21%</f>
        <v>10.5</v>
      </c>
      <c r="E69" s="19"/>
      <c r="F69" s="19"/>
      <c r="G69" s="20"/>
    </row>
    <row r="70" spans="1:7" x14ac:dyDescent="0.2">
      <c r="A70" s="21"/>
      <c r="B70" s="21"/>
      <c r="C70" s="10"/>
      <c r="D70" s="23"/>
      <c r="E70" s="19"/>
      <c r="F70" s="19"/>
      <c r="G70" s="20"/>
    </row>
    <row r="71" spans="1:7" x14ac:dyDescent="0.2">
      <c r="A71" s="10" t="s">
        <v>98</v>
      </c>
      <c r="B71" s="21"/>
      <c r="C71" s="21"/>
      <c r="D71" s="90">
        <f>660</f>
        <v>660</v>
      </c>
      <c r="E71" s="19"/>
      <c r="F71" s="19"/>
      <c r="G71" s="20"/>
    </row>
    <row r="72" spans="1:7" x14ac:dyDescent="0.2">
      <c r="A72" s="21"/>
      <c r="B72" s="21"/>
      <c r="C72" s="10" t="s">
        <v>92</v>
      </c>
      <c r="D72" s="23">
        <f>D71*21%</f>
        <v>138.6</v>
      </c>
      <c r="E72" s="19"/>
      <c r="F72" s="19"/>
      <c r="G72" s="20"/>
    </row>
    <row r="73" spans="1:7" x14ac:dyDescent="0.2">
      <c r="A73" s="21"/>
      <c r="B73" s="21"/>
      <c r="C73" s="10"/>
      <c r="D73" s="23"/>
      <c r="E73" s="19"/>
      <c r="F73" s="19"/>
      <c r="G73" s="20"/>
    </row>
    <row r="74" spans="1:7" x14ac:dyDescent="0.2">
      <c r="A74" s="10" t="s">
        <v>99</v>
      </c>
      <c r="B74" s="21"/>
      <c r="C74" s="10"/>
      <c r="D74" s="91">
        <v>0</v>
      </c>
      <c r="E74" s="19"/>
      <c r="F74" s="19"/>
      <c r="G74" s="20"/>
    </row>
    <row r="75" spans="1:7" x14ac:dyDescent="0.2">
      <c r="A75" s="10"/>
      <c r="B75" s="21"/>
      <c r="C75" s="10" t="s">
        <v>92</v>
      </c>
      <c r="D75" s="23">
        <f>D74*21%</f>
        <v>0</v>
      </c>
      <c r="E75" s="19"/>
      <c r="F75" s="19"/>
      <c r="G75" s="20"/>
    </row>
    <row r="76" spans="1:7" x14ac:dyDescent="0.2">
      <c r="A76" s="21"/>
      <c r="B76" s="21"/>
      <c r="C76" s="21"/>
      <c r="D76" s="23"/>
      <c r="E76" s="19"/>
      <c r="F76" s="19"/>
      <c r="G76" s="20"/>
    </row>
    <row r="77" spans="1:7" x14ac:dyDescent="0.2">
      <c r="A77" s="21"/>
      <c r="B77" s="21"/>
      <c r="C77" s="21" t="s">
        <v>100</v>
      </c>
      <c r="D77" s="26">
        <f>SUM(D61,D62,D66,D68,D71,D74)</f>
        <v>860</v>
      </c>
      <c r="E77" s="19"/>
      <c r="F77" s="19" t="s">
        <v>101</v>
      </c>
      <c r="G77" s="20">
        <f>G60</f>
        <v>0</v>
      </c>
    </row>
    <row r="78" spans="1:7" x14ac:dyDescent="0.2">
      <c r="A78" s="21"/>
      <c r="B78" s="21"/>
      <c r="C78" s="21"/>
      <c r="D78" s="21"/>
      <c r="E78" s="19"/>
      <c r="F78" s="19" t="s">
        <v>102</v>
      </c>
      <c r="G78" s="20">
        <f>D77</f>
        <v>860</v>
      </c>
    </row>
    <row r="79" spans="1:7" x14ac:dyDescent="0.2">
      <c r="A79" s="21"/>
      <c r="B79" s="21"/>
      <c r="C79" s="21"/>
      <c r="D79" s="21"/>
      <c r="E79" s="19"/>
      <c r="F79" s="19" t="s">
        <v>103</v>
      </c>
      <c r="G79" s="20">
        <f>SUM(G77+D77)</f>
        <v>860</v>
      </c>
    </row>
    <row r="80" spans="1:7" x14ac:dyDescent="0.2">
      <c r="A80" s="34"/>
      <c r="B80" s="34"/>
      <c r="C80" s="34"/>
      <c r="D80" s="34"/>
      <c r="E80" s="34"/>
      <c r="F80" s="34"/>
      <c r="G80" s="43"/>
    </row>
    <row r="81" spans="1:23" x14ac:dyDescent="0.2">
      <c r="A81" s="39"/>
      <c r="B81" s="39"/>
      <c r="C81" s="39"/>
      <c r="D81" s="39"/>
      <c r="E81" s="39"/>
      <c r="F81" s="24" t="s">
        <v>22</v>
      </c>
      <c r="G81" s="42">
        <f>SUM(D69,D72,D75,G61)</f>
        <v>149.1</v>
      </c>
    </row>
    <row r="82" spans="1:23" x14ac:dyDescent="0.2">
      <c r="A82" s="39"/>
      <c r="B82" s="39"/>
      <c r="C82" s="39"/>
      <c r="D82" s="39"/>
      <c r="E82" s="39"/>
      <c r="F82" s="39"/>
      <c r="G82" s="42"/>
    </row>
    <row r="83" spans="1:23" x14ac:dyDescent="0.2">
      <c r="A83" s="39"/>
      <c r="B83" s="39"/>
      <c r="C83" s="39"/>
      <c r="D83" s="39"/>
      <c r="E83" s="39"/>
      <c r="F83" s="24" t="s">
        <v>104</v>
      </c>
      <c r="G83" s="92">
        <f>SUM(G79:G81)</f>
        <v>1009.1</v>
      </c>
    </row>
    <row r="85" spans="1:23" x14ac:dyDescent="0.2">
      <c r="D85" s="16"/>
    </row>
    <row r="86" spans="1:23" x14ac:dyDescent="0.2">
      <c r="C86" s="44" t="s">
        <v>36</v>
      </c>
      <c r="D86" s="44" t="s">
        <v>37</v>
      </c>
      <c r="F86" s="27"/>
    </row>
    <row r="87" spans="1:23" x14ac:dyDescent="0.2">
      <c r="D87" s="16"/>
      <c r="F87" s="16"/>
      <c r="G87" s="27"/>
      <c r="H87" s="45"/>
      <c r="I87" s="45"/>
      <c r="J87" s="45"/>
      <c r="K87" s="45"/>
      <c r="L87" s="45"/>
      <c r="M87" s="45"/>
      <c r="N87" s="45"/>
      <c r="O87" s="45"/>
      <c r="P87" s="45"/>
      <c r="Q87" s="45"/>
      <c r="R87" s="45"/>
      <c r="S87" s="45"/>
      <c r="T87" s="45"/>
      <c r="U87" s="45"/>
      <c r="V87" s="45"/>
      <c r="W87" s="45"/>
    </row>
    <row r="88" spans="1:23" x14ac:dyDescent="0.2">
      <c r="B88" s="45"/>
      <c r="C88" s="44" t="s">
        <v>38</v>
      </c>
      <c r="D88" s="44" t="s">
        <v>39</v>
      </c>
      <c r="F88" s="46"/>
      <c r="G88" s="45"/>
      <c r="H88" s="45"/>
      <c r="I88" s="45"/>
      <c r="J88" s="45"/>
      <c r="K88" s="45"/>
      <c r="L88" s="45"/>
      <c r="M88" s="45"/>
      <c r="N88" s="45"/>
      <c r="O88" s="45"/>
      <c r="P88" s="45"/>
      <c r="Q88" s="45"/>
      <c r="R88" s="45"/>
      <c r="S88" s="45"/>
      <c r="T88" s="45"/>
      <c r="U88" s="45"/>
      <c r="V88" s="45"/>
      <c r="W88" s="45"/>
    </row>
    <row r="89" spans="1:23" x14ac:dyDescent="0.2">
      <c r="B89" s="45"/>
      <c r="C89" s="45"/>
      <c r="D89" s="45"/>
      <c r="E89" s="45"/>
      <c r="F89" s="45"/>
      <c r="G89" s="45"/>
      <c r="H89" s="45"/>
      <c r="I89" s="45"/>
      <c r="J89" s="45"/>
      <c r="K89" s="45"/>
      <c r="L89" s="45"/>
      <c r="M89" s="45"/>
      <c r="N89" s="45"/>
      <c r="O89" s="45"/>
      <c r="P89" s="45"/>
      <c r="Q89" s="45"/>
      <c r="R89" s="45"/>
      <c r="S89" s="45"/>
      <c r="T89" s="45"/>
      <c r="U89" s="45"/>
      <c r="V89" s="45"/>
      <c r="W89" s="45"/>
    </row>
    <row r="90" spans="1:23" x14ac:dyDescent="0.2">
      <c r="B90" s="45"/>
      <c r="C90" s="44" t="s">
        <v>112</v>
      </c>
      <c r="D90" s="45"/>
      <c r="E90" s="45"/>
      <c r="F90" s="45"/>
      <c r="G90" s="45"/>
      <c r="H90" s="45"/>
      <c r="I90" s="45"/>
      <c r="J90" s="45"/>
      <c r="K90" s="45"/>
      <c r="L90" s="45"/>
      <c r="M90" s="45"/>
      <c r="N90" s="45"/>
      <c r="O90" s="45"/>
      <c r="P90" s="45"/>
      <c r="Q90" s="45"/>
      <c r="R90" s="45"/>
      <c r="S90" s="45"/>
      <c r="T90" s="45"/>
      <c r="U90" s="45"/>
      <c r="V90" s="45"/>
      <c r="W90" s="45"/>
    </row>
    <row r="91" spans="1:23" x14ac:dyDescent="0.2">
      <c r="B91" s="45"/>
      <c r="C91" s="45"/>
      <c r="D91" s="45"/>
      <c r="E91" s="45"/>
      <c r="F91" s="45"/>
      <c r="G91" s="45"/>
      <c r="H91" s="45"/>
      <c r="I91" s="45"/>
      <c r="J91" s="45"/>
      <c r="K91" s="45"/>
      <c r="L91" s="45"/>
      <c r="M91" s="45"/>
      <c r="N91" s="45"/>
      <c r="O91" s="45"/>
      <c r="P91" s="45"/>
      <c r="Q91" s="45"/>
      <c r="R91" s="45"/>
      <c r="S91" s="45"/>
      <c r="T91" s="45"/>
      <c r="U91" s="45"/>
      <c r="V91" s="45"/>
      <c r="W91" s="45"/>
    </row>
    <row r="92" spans="1:23" x14ac:dyDescent="0.2">
      <c r="B92" s="45"/>
      <c r="C92" s="45"/>
      <c r="D92" s="45"/>
      <c r="E92" s="45"/>
      <c r="F92" s="45"/>
      <c r="G92" s="45"/>
      <c r="H92" s="45"/>
      <c r="I92" s="45"/>
      <c r="J92" s="45"/>
      <c r="K92" s="45"/>
      <c r="L92" s="45"/>
      <c r="M92" s="45"/>
      <c r="N92" s="45"/>
      <c r="O92" s="45"/>
      <c r="P92" s="45"/>
      <c r="Q92" s="45"/>
      <c r="R92" s="45"/>
      <c r="S92" s="45"/>
      <c r="T92" s="45"/>
      <c r="U92" s="45"/>
      <c r="V92" s="45"/>
      <c r="W92" s="45"/>
    </row>
    <row r="93" spans="1:23" x14ac:dyDescent="0.2">
      <c r="B93" s="45"/>
      <c r="C93" s="45"/>
      <c r="D93" s="45"/>
      <c r="E93" s="45"/>
      <c r="F93" s="45"/>
      <c r="G93" s="45"/>
      <c r="H93" s="45"/>
      <c r="I93" s="45"/>
      <c r="J93" s="45"/>
      <c r="K93" s="45"/>
      <c r="L93" s="45"/>
      <c r="M93" s="45"/>
      <c r="N93" s="45"/>
      <c r="O93" s="45"/>
      <c r="P93" s="45"/>
      <c r="Q93" s="45"/>
      <c r="R93" s="45"/>
      <c r="S93" s="45"/>
      <c r="T93" s="45"/>
      <c r="U93" s="45"/>
      <c r="V93" s="45"/>
      <c r="W93" s="45"/>
    </row>
    <row r="94" spans="1:23" x14ac:dyDescent="0.2">
      <c r="B94" s="45"/>
      <c r="C94" s="45"/>
      <c r="D94" s="45"/>
      <c r="E94" s="45"/>
      <c r="F94" s="45"/>
      <c r="G94" s="45"/>
      <c r="H94" s="45"/>
      <c r="I94" s="45"/>
      <c r="J94" s="45"/>
      <c r="K94" s="45"/>
      <c r="L94" s="45"/>
      <c r="M94" s="45"/>
      <c r="N94" s="45"/>
      <c r="O94" s="45"/>
      <c r="P94" s="45"/>
      <c r="Q94" s="45"/>
      <c r="R94" s="45"/>
      <c r="S94" s="45"/>
      <c r="T94" s="45"/>
      <c r="U94" s="45"/>
      <c r="V94" s="45"/>
      <c r="W94" s="45"/>
    </row>
    <row r="95" spans="1:23" hidden="1" x14ac:dyDescent="0.2">
      <c r="A95" s="15">
        <f>(A150+ROUNDDOWN((C51+C52-1)/C151,0)*A151)+20</f>
        <v>87.31</v>
      </c>
      <c r="B95" s="45"/>
      <c r="C95" s="45"/>
      <c r="D95" s="45"/>
      <c r="E95" s="45"/>
      <c r="F95" s="45"/>
      <c r="G95" s="45"/>
      <c r="H95" s="45"/>
      <c r="I95" s="45"/>
      <c r="J95" s="45"/>
      <c r="K95" s="45"/>
      <c r="L95" s="45"/>
      <c r="M95" s="45"/>
      <c r="N95" s="45"/>
      <c r="O95" s="45"/>
      <c r="P95" s="45"/>
      <c r="Q95" s="45"/>
      <c r="R95" s="45"/>
      <c r="S95" s="45"/>
      <c r="T95" s="45"/>
      <c r="U95" s="45"/>
      <c r="V95" s="45"/>
      <c r="W95" s="45"/>
    </row>
    <row r="96" spans="1:23" hidden="1" x14ac:dyDescent="0.2">
      <c r="B96" s="45"/>
      <c r="C96" s="45"/>
      <c r="D96" s="45"/>
      <c r="E96" s="45"/>
      <c r="F96" s="45"/>
      <c r="G96" s="45"/>
      <c r="H96" s="45"/>
      <c r="I96" s="45"/>
      <c r="J96" s="45"/>
      <c r="K96" s="45"/>
      <c r="L96" s="45"/>
      <c r="M96" s="45"/>
      <c r="N96" s="45"/>
      <c r="O96" s="45"/>
      <c r="P96" s="45"/>
      <c r="Q96" s="45"/>
      <c r="R96" s="45"/>
      <c r="S96" s="45"/>
      <c r="T96" s="45"/>
      <c r="U96" s="45"/>
      <c r="V96" s="45"/>
      <c r="W96" s="45"/>
    </row>
    <row r="97" spans="1:23" hidden="1" x14ac:dyDescent="0.2">
      <c r="A97" s="15" t="s">
        <v>40</v>
      </c>
      <c r="B97" s="45" t="s">
        <v>40</v>
      </c>
      <c r="C97" s="45" t="s">
        <v>10</v>
      </c>
      <c r="D97" s="45" t="s">
        <v>10</v>
      </c>
      <c r="E97" s="45">
        <f>IF(B36*33-33&lt;0,0,B36*33-33)</f>
        <v>0</v>
      </c>
      <c r="F97" s="45"/>
      <c r="G97" s="45" t="s">
        <v>10</v>
      </c>
      <c r="H97" s="45"/>
      <c r="I97" s="45"/>
      <c r="J97" s="45"/>
      <c r="K97" s="45"/>
      <c r="L97" s="45"/>
      <c r="M97" s="45"/>
      <c r="N97" s="45"/>
      <c r="O97" s="45"/>
      <c r="P97" s="45"/>
      <c r="Q97" s="45"/>
      <c r="R97" s="45"/>
      <c r="S97" s="45"/>
      <c r="T97" s="45"/>
      <c r="U97" s="45"/>
      <c r="V97" s="45"/>
      <c r="W97" s="45"/>
    </row>
    <row r="98" spans="1:23" ht="15.75" hidden="1" x14ac:dyDescent="0.25">
      <c r="A98" s="47" t="s">
        <v>41</v>
      </c>
      <c r="B98" s="47" t="s">
        <v>42</v>
      </c>
      <c r="C98" s="45" t="s">
        <v>7</v>
      </c>
      <c r="D98" s="45" t="s">
        <v>7</v>
      </c>
      <c r="E98" s="45"/>
      <c r="F98" s="45"/>
      <c r="G98" s="45" t="s">
        <v>7</v>
      </c>
      <c r="H98" s="45"/>
      <c r="I98" s="45"/>
      <c r="J98" s="45"/>
      <c r="K98" s="45"/>
      <c r="L98" s="45"/>
      <c r="M98" s="45"/>
      <c r="N98" s="45"/>
      <c r="O98" s="45"/>
      <c r="P98" s="45"/>
      <c r="Q98" s="45"/>
      <c r="R98" s="45"/>
      <c r="S98" s="45"/>
      <c r="T98" s="45"/>
      <c r="U98" s="45"/>
      <c r="V98" s="45"/>
      <c r="W98" s="45"/>
    </row>
    <row r="99" spans="1:23" ht="15.75" hidden="1" x14ac:dyDescent="0.25">
      <c r="A99" s="47" t="s">
        <v>43</v>
      </c>
      <c r="B99" s="47" t="s">
        <v>44</v>
      </c>
      <c r="C99" s="45"/>
      <c r="D99" s="45"/>
      <c r="E99" s="45"/>
      <c r="F99" s="45"/>
      <c r="G99" s="45"/>
      <c r="H99" s="45"/>
      <c r="I99" s="45"/>
      <c r="J99" s="45"/>
      <c r="K99" s="45"/>
      <c r="L99" s="45"/>
      <c r="M99" s="45"/>
      <c r="N99" s="45"/>
      <c r="O99" s="45"/>
      <c r="P99" s="45"/>
      <c r="Q99" s="45"/>
      <c r="R99" s="45"/>
      <c r="S99" s="45"/>
      <c r="T99" s="45"/>
      <c r="U99" s="45"/>
      <c r="V99" s="45"/>
      <c r="W99" s="45"/>
    </row>
    <row r="100" spans="1:23" ht="15.75" hidden="1" x14ac:dyDescent="0.25">
      <c r="A100" s="47" t="s">
        <v>45</v>
      </c>
      <c r="B100" s="47" t="s">
        <v>46</v>
      </c>
      <c r="C100" s="28">
        <f>B7*12.5/100</f>
        <v>0</v>
      </c>
      <c r="D100" s="45"/>
      <c r="E100" s="45"/>
      <c r="F100" s="45"/>
      <c r="G100" s="45"/>
      <c r="H100" s="45"/>
      <c r="I100" s="45"/>
      <c r="J100" s="45"/>
      <c r="K100" s="45"/>
      <c r="L100" s="45"/>
      <c r="M100" s="45"/>
      <c r="N100" s="45"/>
      <c r="O100" s="45"/>
      <c r="P100" s="45"/>
      <c r="Q100" s="45"/>
      <c r="R100" s="45"/>
      <c r="S100" s="45"/>
      <c r="T100" s="45"/>
      <c r="U100" s="45"/>
      <c r="V100" s="45"/>
      <c r="W100" s="45"/>
    </row>
    <row r="101" spans="1:23" ht="15.75" hidden="1" x14ac:dyDescent="0.25">
      <c r="A101" s="47" t="s">
        <v>47</v>
      </c>
      <c r="B101" s="47" t="s">
        <v>48</v>
      </c>
      <c r="C101" s="45">
        <f>B7*10%</f>
        <v>0</v>
      </c>
      <c r="D101" s="45"/>
      <c r="E101" s="45"/>
      <c r="F101" s="45"/>
      <c r="G101" s="45" t="s">
        <v>10</v>
      </c>
      <c r="H101" s="45"/>
      <c r="I101" s="45"/>
      <c r="J101" s="45"/>
      <c r="K101" s="45"/>
      <c r="L101" s="45"/>
      <c r="M101" s="45"/>
      <c r="N101" s="45"/>
      <c r="O101" s="45"/>
      <c r="P101" s="45"/>
      <c r="Q101" s="45"/>
      <c r="R101" s="45"/>
      <c r="S101" s="45"/>
      <c r="T101" s="45"/>
      <c r="U101" s="45"/>
      <c r="V101" s="45"/>
      <c r="W101" s="45"/>
    </row>
    <row r="102" spans="1:23" ht="15.75" hidden="1" x14ac:dyDescent="0.25">
      <c r="A102" s="47" t="s">
        <v>49</v>
      </c>
      <c r="B102" s="47" t="s">
        <v>50</v>
      </c>
      <c r="C102" s="45">
        <f>IF(B7&gt;195695.88,11741.75+(B7-195695.88)*12.5%,B7*6%)</f>
        <v>0</v>
      </c>
      <c r="D102" s="45">
        <f>IF(B7&gt;204917.15,12295.03+(B7-204917.15)*12.5%,B7*6%)</f>
        <v>0</v>
      </c>
      <c r="E102" s="45">
        <f>IF(B7&gt;215163,12909.78+(B7-215163)*12.5%,B7*6%)</f>
        <v>0</v>
      </c>
      <c r="F102" s="45"/>
      <c r="G102" s="45" t="s">
        <v>7</v>
      </c>
      <c r="H102" s="45"/>
      <c r="I102" s="45"/>
      <c r="J102" s="45"/>
      <c r="K102" s="45"/>
      <c r="L102" s="45"/>
      <c r="M102" s="45"/>
      <c r="N102" s="45"/>
      <c r="O102" s="45"/>
      <c r="P102" s="45"/>
      <c r="Q102" s="45"/>
      <c r="R102" s="45"/>
      <c r="S102" s="45"/>
      <c r="T102" s="45"/>
      <c r="U102" s="45"/>
      <c r="V102" s="45"/>
      <c r="W102" s="45"/>
    </row>
    <row r="103" spans="1:23" ht="15.75" hidden="1" x14ac:dyDescent="0.25">
      <c r="A103" s="47" t="s">
        <v>51</v>
      </c>
      <c r="B103" s="47" t="s">
        <v>52</v>
      </c>
      <c r="C103" s="45">
        <f>IF(B7&gt;195695.88,9784.79+(B7-195695.88)*10%,B7*5%)</f>
        <v>0</v>
      </c>
      <c r="D103" s="45">
        <f>IF(B7&gt;204917.15,10245.86+(B7-204917.15)*10%,B7*5%)</f>
        <v>0</v>
      </c>
      <c r="E103" s="45">
        <f>IF(B7&gt;215163,10758.15+(B7-215163)*10%,B7*5%)</f>
        <v>0</v>
      </c>
      <c r="F103" s="45"/>
      <c r="G103" s="45"/>
      <c r="H103" s="45"/>
      <c r="I103" s="45"/>
      <c r="J103" s="45"/>
      <c r="K103" s="45"/>
      <c r="L103" s="45"/>
      <c r="M103" s="45"/>
      <c r="N103" s="45"/>
      <c r="O103" s="45"/>
      <c r="P103" s="45"/>
      <c r="Q103" s="45"/>
      <c r="R103" s="45"/>
      <c r="S103" s="45"/>
      <c r="T103" s="45"/>
      <c r="U103" s="45"/>
      <c r="V103" s="45"/>
      <c r="W103" s="45"/>
    </row>
    <row r="104" spans="1:23" ht="15.75" hidden="1" x14ac:dyDescent="0.25">
      <c r="A104" s="47" t="s">
        <v>53</v>
      </c>
      <c r="B104" s="47" t="s">
        <v>54</v>
      </c>
      <c r="C104" s="45"/>
      <c r="D104" s="45"/>
      <c r="E104" s="45"/>
      <c r="F104" s="45"/>
      <c r="G104" s="45"/>
      <c r="H104" s="45"/>
      <c r="I104" s="45"/>
      <c r="J104" s="45"/>
      <c r="K104" s="45"/>
      <c r="L104" s="45"/>
      <c r="M104" s="45"/>
      <c r="N104" s="45"/>
      <c r="O104" s="45"/>
      <c r="P104" s="45"/>
      <c r="Q104" s="45"/>
      <c r="R104" s="45"/>
      <c r="S104" s="45"/>
      <c r="T104" s="45"/>
      <c r="U104" s="45"/>
      <c r="V104" s="45"/>
      <c r="W104" s="45"/>
    </row>
    <row r="105" spans="1:23" ht="15.75" hidden="1" x14ac:dyDescent="0.25">
      <c r="A105" s="47" t="s">
        <v>55</v>
      </c>
      <c r="B105" s="47" t="s">
        <v>56</v>
      </c>
      <c r="C105" s="45">
        <f>IF(B10="ja",C101,C100)</f>
        <v>0</v>
      </c>
      <c r="D105" s="45"/>
      <c r="E105" s="45" t="s">
        <v>28</v>
      </c>
      <c r="F105" s="45" t="s">
        <v>28</v>
      </c>
      <c r="G105" s="45" t="s">
        <v>28</v>
      </c>
      <c r="H105" s="45" t="s">
        <v>28</v>
      </c>
      <c r="I105" s="45"/>
      <c r="J105" s="45"/>
      <c r="K105" s="45"/>
      <c r="L105" s="45"/>
      <c r="M105" s="45"/>
      <c r="N105" s="45"/>
      <c r="O105" s="45"/>
      <c r="P105" s="45"/>
      <c r="Q105" s="45"/>
      <c r="R105" s="45"/>
      <c r="S105" s="45"/>
      <c r="T105" s="45"/>
      <c r="U105" s="45"/>
      <c r="V105" s="45"/>
      <c r="W105" s="45"/>
    </row>
    <row r="106" spans="1:23" ht="15.75" hidden="1" x14ac:dyDescent="0.25">
      <c r="A106" s="47" t="s">
        <v>57</v>
      </c>
      <c r="B106" s="47" t="s">
        <v>58</v>
      </c>
      <c r="C106" s="45">
        <f>IF(C6="ja",C107,C105)</f>
        <v>0</v>
      </c>
      <c r="D106" s="45"/>
      <c r="E106" s="45" t="s">
        <v>59</v>
      </c>
      <c r="F106" s="45" t="s">
        <v>59</v>
      </c>
      <c r="G106" s="45" t="s">
        <v>59</v>
      </c>
      <c r="H106" s="45" t="s">
        <v>59</v>
      </c>
      <c r="I106" s="45"/>
      <c r="J106" s="45"/>
      <c r="K106" s="45"/>
      <c r="L106" s="45"/>
      <c r="M106" s="45"/>
      <c r="N106" s="45"/>
      <c r="O106" s="45"/>
      <c r="P106" s="45"/>
      <c r="Q106" s="45"/>
      <c r="R106" s="45"/>
      <c r="S106" s="45"/>
      <c r="T106" s="45"/>
      <c r="U106" s="45"/>
      <c r="V106" s="45"/>
      <c r="W106" s="45"/>
    </row>
    <row r="107" spans="1:23" ht="15.75" hidden="1" x14ac:dyDescent="0.25">
      <c r="A107" s="47" t="s">
        <v>60</v>
      </c>
      <c r="B107" s="47" t="s">
        <v>61</v>
      </c>
      <c r="C107" s="45">
        <f>IF(B10="ja",C110,C108)</f>
        <v>0</v>
      </c>
      <c r="D107" s="45"/>
      <c r="E107" s="45"/>
      <c r="F107" s="45"/>
      <c r="G107" s="45"/>
      <c r="H107" s="45"/>
      <c r="I107" s="45"/>
      <c r="J107" s="45"/>
      <c r="K107" s="45"/>
      <c r="L107" s="45"/>
      <c r="M107" s="45"/>
      <c r="N107" s="45"/>
      <c r="O107" s="45"/>
      <c r="P107" s="45"/>
      <c r="Q107" s="45"/>
      <c r="R107" s="45"/>
      <c r="S107" s="45"/>
      <c r="T107" s="45"/>
      <c r="U107" s="45"/>
      <c r="V107" s="45"/>
      <c r="W107" s="45"/>
    </row>
    <row r="108" spans="1:23" ht="15.75" hidden="1" x14ac:dyDescent="0.25">
      <c r="A108" s="47" t="s">
        <v>62</v>
      </c>
      <c r="B108" s="47" t="s">
        <v>63</v>
      </c>
      <c r="C108" s="45">
        <f>IF(AND(C8="NVT",C9="NVT"),C102,C109)</f>
        <v>0</v>
      </c>
      <c r="D108" s="45"/>
      <c r="E108" s="45"/>
      <c r="F108" s="45"/>
      <c r="G108" s="45" t="s">
        <v>28</v>
      </c>
      <c r="H108" s="45"/>
      <c r="I108" s="45"/>
      <c r="J108" s="45"/>
      <c r="K108" s="45"/>
      <c r="L108" s="45"/>
      <c r="M108" s="45"/>
      <c r="N108" s="45"/>
      <c r="O108" s="45"/>
      <c r="P108" s="45"/>
      <c r="Q108" s="45"/>
      <c r="R108" s="45"/>
      <c r="S108" s="45"/>
      <c r="T108" s="45"/>
      <c r="U108" s="45"/>
      <c r="V108" s="45"/>
      <c r="W108" s="45"/>
    </row>
    <row r="109" spans="1:23" ht="15.75" hidden="1" x14ac:dyDescent="0.25">
      <c r="A109" s="47" t="s">
        <v>64</v>
      </c>
      <c r="B109" s="47" t="s">
        <v>65</v>
      </c>
      <c r="C109" s="45">
        <f>IF(C8="NVT",D102,E102)</f>
        <v>0</v>
      </c>
      <c r="D109" s="45"/>
      <c r="E109" s="45">
        <f>IF(C34="koper",D34,0)</f>
        <v>0</v>
      </c>
      <c r="F109" s="45">
        <f>IF(C34="koper",D34*21%,0)</f>
        <v>0</v>
      </c>
      <c r="G109" s="45" t="s">
        <v>59</v>
      </c>
      <c r="H109" s="45"/>
      <c r="I109" s="45"/>
      <c r="J109" s="45"/>
      <c r="K109" s="45"/>
      <c r="L109" s="45"/>
      <c r="M109" s="45"/>
      <c r="N109" s="45"/>
      <c r="O109" s="45"/>
      <c r="P109" s="45"/>
      <c r="Q109" s="45"/>
      <c r="R109" s="45"/>
      <c r="S109" s="45"/>
      <c r="T109" s="45"/>
      <c r="U109" s="45"/>
      <c r="V109" s="45"/>
      <c r="W109" s="45"/>
    </row>
    <row r="110" spans="1:23" ht="15.75" hidden="1" x14ac:dyDescent="0.25">
      <c r="A110" s="47" t="s">
        <v>66</v>
      </c>
      <c r="B110" s="47" t="s">
        <v>67</v>
      </c>
      <c r="C110" s="45">
        <f>IF(AND(C8="NVT",C9="NVT"),C103,C111)</f>
        <v>0</v>
      </c>
      <c r="D110" s="45"/>
      <c r="E110" s="45">
        <f>IF(C35="koper",D35,0)</f>
        <v>0</v>
      </c>
      <c r="F110" s="45">
        <f>IF(C36="koper",D36*21%,0)</f>
        <v>7.35</v>
      </c>
      <c r="G110" s="45"/>
      <c r="H110" s="45"/>
      <c r="I110" s="45"/>
      <c r="J110" s="45"/>
      <c r="K110" s="45"/>
      <c r="L110" s="45"/>
      <c r="M110" s="45"/>
      <c r="N110" s="45"/>
      <c r="O110" s="45"/>
      <c r="P110" s="45"/>
      <c r="Q110" s="45"/>
      <c r="R110" s="45"/>
      <c r="S110" s="45"/>
      <c r="T110" s="45"/>
      <c r="U110" s="45"/>
      <c r="V110" s="45"/>
      <c r="W110" s="45"/>
    </row>
    <row r="111" spans="1:23" ht="15.75" hidden="1" x14ac:dyDescent="0.25">
      <c r="A111" s="47" t="s">
        <v>68</v>
      </c>
      <c r="B111" s="47" t="s">
        <v>69</v>
      </c>
      <c r="C111" s="45">
        <f>IF(C8="NVT",D103,E103)</f>
        <v>0</v>
      </c>
      <c r="D111" s="45"/>
      <c r="E111" s="45">
        <f>IF(C36="koper",D36,0)</f>
        <v>35</v>
      </c>
      <c r="F111" s="45">
        <f>IF(C37="koper",D37*21%,0)</f>
        <v>0</v>
      </c>
      <c r="G111" s="45"/>
      <c r="H111" s="45"/>
      <c r="I111" s="45"/>
      <c r="J111" s="45"/>
      <c r="K111" s="45"/>
      <c r="L111" s="45"/>
      <c r="M111" s="45"/>
      <c r="N111" s="45"/>
      <c r="O111" s="45"/>
      <c r="P111" s="45"/>
      <c r="Q111" s="45"/>
      <c r="R111" s="45"/>
      <c r="S111" s="45"/>
      <c r="T111" s="45"/>
      <c r="U111" s="45"/>
      <c r="V111" s="45"/>
      <c r="W111" s="45"/>
    </row>
    <row r="112" spans="1:23" ht="15.75" hidden="1" x14ac:dyDescent="0.25">
      <c r="A112" s="47" t="s">
        <v>70</v>
      </c>
      <c r="B112" s="47" t="s">
        <v>71</v>
      </c>
      <c r="C112" s="45"/>
      <c r="D112" s="45"/>
      <c r="E112" s="45">
        <f>IF(C37="koper",D37,0)</f>
        <v>0</v>
      </c>
      <c r="F112" s="45">
        <f>SUM(F109:F111)</f>
        <v>7.35</v>
      </c>
      <c r="G112" s="45"/>
      <c r="H112" s="45"/>
      <c r="I112" s="45"/>
      <c r="J112" s="45"/>
      <c r="K112" s="45"/>
      <c r="L112" s="45"/>
      <c r="M112" s="45"/>
      <c r="N112" s="45"/>
      <c r="O112" s="45"/>
      <c r="P112" s="45"/>
      <c r="Q112" s="45"/>
      <c r="R112" s="45"/>
      <c r="S112" s="45"/>
      <c r="T112" s="45"/>
      <c r="U112" s="45"/>
      <c r="V112" s="45"/>
      <c r="W112" s="45"/>
    </row>
    <row r="113" spans="1:23" ht="15.75" hidden="1" x14ac:dyDescent="0.25">
      <c r="A113" s="47" t="s">
        <v>72</v>
      </c>
      <c r="B113" s="47" t="s">
        <v>73</v>
      </c>
      <c r="C113" s="45"/>
      <c r="D113" s="45"/>
      <c r="E113" s="45">
        <f>SUM(E109:E112)</f>
        <v>35</v>
      </c>
      <c r="F113" s="45"/>
      <c r="G113" s="45"/>
      <c r="H113" s="45"/>
      <c r="I113" s="45"/>
      <c r="J113" s="45"/>
      <c r="K113" s="45"/>
      <c r="L113" s="45"/>
      <c r="M113" s="45"/>
      <c r="N113" s="45"/>
      <c r="O113" s="45"/>
      <c r="P113" s="45"/>
      <c r="Q113" s="45"/>
      <c r="R113" s="45"/>
      <c r="S113" s="45"/>
      <c r="T113" s="45"/>
      <c r="U113" s="45"/>
      <c r="V113" s="45"/>
      <c r="W113" s="45"/>
    </row>
    <row r="114" spans="1:23" ht="15.75" hidden="1" x14ac:dyDescent="0.25">
      <c r="A114" s="47" t="s">
        <v>74</v>
      </c>
      <c r="B114" s="47" t="s">
        <v>75</v>
      </c>
      <c r="C114" s="45"/>
      <c r="D114" s="45"/>
      <c r="E114" s="45"/>
      <c r="F114" s="45"/>
      <c r="G114" s="45"/>
      <c r="H114" s="45"/>
      <c r="I114" s="45"/>
      <c r="J114" s="45"/>
      <c r="K114" s="45"/>
      <c r="L114" s="45"/>
      <c r="M114" s="45"/>
      <c r="N114" s="45"/>
      <c r="O114" s="45"/>
      <c r="P114" s="45"/>
      <c r="Q114" s="45"/>
      <c r="R114" s="45"/>
      <c r="S114" s="45"/>
      <c r="T114" s="45"/>
      <c r="U114" s="45"/>
      <c r="V114" s="45"/>
      <c r="W114" s="45"/>
    </row>
    <row r="115" spans="1:23" ht="15.75" hidden="1" x14ac:dyDescent="0.25">
      <c r="A115" s="47" t="s">
        <v>76</v>
      </c>
      <c r="B115" s="45"/>
      <c r="C115" s="45"/>
      <c r="D115" s="45"/>
      <c r="E115" s="45">
        <f>IF(C34="verkoper",D34,0)</f>
        <v>0</v>
      </c>
      <c r="F115" s="45"/>
      <c r="G115" s="45"/>
      <c r="H115" s="45"/>
      <c r="I115" s="45"/>
      <c r="J115" s="45"/>
      <c r="K115" s="45"/>
      <c r="L115" s="45"/>
      <c r="M115" s="45"/>
      <c r="N115" s="45"/>
      <c r="O115" s="45"/>
      <c r="P115" s="45"/>
      <c r="Q115" s="45"/>
      <c r="R115" s="45"/>
      <c r="S115" s="45"/>
      <c r="T115" s="45"/>
      <c r="U115" s="45"/>
      <c r="V115" s="45"/>
      <c r="W115" s="45"/>
    </row>
    <row r="116" spans="1:23" ht="15.75" hidden="1" x14ac:dyDescent="0.25">
      <c r="A116" s="47" t="s">
        <v>77</v>
      </c>
      <c r="B116" s="45"/>
      <c r="C116" s="45"/>
      <c r="D116" s="45"/>
      <c r="E116" s="45">
        <f>IF(C35="verkoper",D35,0)</f>
        <v>0</v>
      </c>
      <c r="F116" s="45">
        <f>IF(C34="verkoper",D34*21%,0)</f>
        <v>0</v>
      </c>
      <c r="G116" s="45"/>
      <c r="H116" s="45"/>
      <c r="I116" s="45"/>
      <c r="J116" s="45"/>
      <c r="K116" s="45"/>
      <c r="L116" s="45"/>
      <c r="M116" s="45"/>
      <c r="N116" s="45"/>
      <c r="O116" s="45"/>
      <c r="P116" s="45"/>
      <c r="Q116" s="45"/>
      <c r="R116" s="45"/>
      <c r="S116" s="45"/>
      <c r="T116" s="45"/>
      <c r="U116" s="45"/>
      <c r="V116" s="45"/>
      <c r="W116" s="45"/>
    </row>
    <row r="117" spans="1:23" ht="15.75" hidden="1" x14ac:dyDescent="0.25">
      <c r="A117" s="47" t="s">
        <v>78</v>
      </c>
      <c r="B117" s="45"/>
      <c r="C117" s="45"/>
      <c r="D117" s="45"/>
      <c r="E117" s="45">
        <f>IF(C36="verkoper",D36,0)</f>
        <v>0</v>
      </c>
      <c r="F117" s="45">
        <f>IF(C36="verkoper",D36*21%,0)</f>
        <v>0</v>
      </c>
      <c r="G117" s="45"/>
      <c r="H117" s="45"/>
      <c r="I117" s="45"/>
      <c r="J117" s="45"/>
      <c r="K117" s="45"/>
      <c r="L117" s="45"/>
      <c r="M117" s="45"/>
      <c r="N117" s="45"/>
      <c r="O117" s="45"/>
      <c r="P117" s="45"/>
      <c r="Q117" s="45"/>
      <c r="R117" s="45"/>
      <c r="S117" s="45"/>
      <c r="T117" s="45"/>
      <c r="U117" s="45"/>
      <c r="V117" s="45"/>
      <c r="W117" s="45"/>
    </row>
    <row r="118" spans="1:23" hidden="1" x14ac:dyDescent="0.2">
      <c r="B118" s="45"/>
      <c r="C118" s="45"/>
      <c r="D118" s="45"/>
      <c r="E118" s="45">
        <f>IF(C37="verkoper",D37,0)</f>
        <v>0</v>
      </c>
      <c r="F118" s="45">
        <f>IF(C37="verkoper",D37*21%,0)</f>
        <v>0</v>
      </c>
      <c r="G118" s="45"/>
      <c r="H118" s="45"/>
      <c r="I118" s="45"/>
      <c r="J118" s="45"/>
      <c r="K118" s="45"/>
      <c r="L118" s="45"/>
      <c r="M118" s="45"/>
      <c r="N118" s="45"/>
      <c r="O118" s="45"/>
      <c r="P118" s="45"/>
      <c r="Q118" s="45"/>
      <c r="R118" s="45"/>
      <c r="S118" s="45"/>
      <c r="T118" s="45"/>
      <c r="U118" s="45"/>
      <c r="V118" s="45"/>
      <c r="W118" s="45"/>
    </row>
    <row r="119" spans="1:23" hidden="1" x14ac:dyDescent="0.2">
      <c r="A119" s="48"/>
      <c r="B119" s="45"/>
      <c r="C119" s="45"/>
      <c r="D119" s="45"/>
      <c r="E119" s="45">
        <f>SUM(E115:E118)</f>
        <v>0</v>
      </c>
      <c r="F119" s="45">
        <f>SUM(F116:F118)</f>
        <v>0</v>
      </c>
      <c r="G119" s="45"/>
      <c r="H119" s="45"/>
      <c r="I119" s="45"/>
      <c r="J119" s="45"/>
      <c r="K119" s="45"/>
      <c r="L119" s="45"/>
      <c r="M119" s="45"/>
      <c r="N119" s="45"/>
      <c r="O119" s="45"/>
      <c r="P119" s="45"/>
      <c r="Q119" s="45"/>
      <c r="R119" s="45"/>
      <c r="S119" s="45"/>
      <c r="T119" s="45"/>
      <c r="U119" s="45"/>
      <c r="V119" s="45"/>
      <c r="W119" s="45"/>
    </row>
    <row r="120" spans="1:23" hidden="1" x14ac:dyDescent="0.2">
      <c r="B120" s="45"/>
      <c r="C120" s="45"/>
      <c r="D120" s="45"/>
      <c r="E120" s="45"/>
      <c r="F120" s="45"/>
      <c r="G120" s="45"/>
      <c r="H120" s="45"/>
      <c r="I120" s="45"/>
      <c r="J120" s="45"/>
      <c r="K120" s="45"/>
      <c r="L120" s="45"/>
      <c r="M120" s="45"/>
      <c r="N120" s="45"/>
      <c r="O120" s="45"/>
      <c r="P120" s="45"/>
      <c r="Q120" s="45"/>
      <c r="R120" s="45"/>
      <c r="S120" s="45"/>
      <c r="T120" s="45"/>
      <c r="U120" s="45"/>
      <c r="V120" s="45"/>
      <c r="W120" s="45"/>
    </row>
    <row r="121" spans="1:23" hidden="1" x14ac:dyDescent="0.2">
      <c r="B121" s="45"/>
      <c r="C121" s="45"/>
      <c r="D121" s="45"/>
      <c r="E121" s="45"/>
      <c r="F121" s="45"/>
      <c r="G121" s="45"/>
      <c r="H121" s="45"/>
      <c r="I121" s="45"/>
      <c r="J121" s="45"/>
      <c r="K121" s="45"/>
      <c r="L121" s="45"/>
      <c r="M121" s="45"/>
      <c r="N121" s="45"/>
      <c r="O121" s="45"/>
      <c r="P121" s="45"/>
      <c r="Q121" s="45"/>
      <c r="R121" s="45"/>
      <c r="S121" s="45"/>
      <c r="T121" s="45"/>
      <c r="U121" s="45"/>
      <c r="V121" s="45"/>
      <c r="W121" s="45"/>
    </row>
    <row r="122" spans="1:23" hidden="1" x14ac:dyDescent="0.2">
      <c r="B122" s="18">
        <f>IF(B10=1,-1500,0)</f>
        <v>0</v>
      </c>
      <c r="C122" s="45">
        <f>IF(AND(C6=1,B10=1),-750,0)</f>
        <v>0</v>
      </c>
      <c r="D122" s="45"/>
      <c r="E122" s="45"/>
      <c r="F122" s="45"/>
      <c r="G122" s="45"/>
      <c r="H122" s="45"/>
      <c r="I122" s="45"/>
      <c r="J122" s="45"/>
      <c r="K122" s="45"/>
      <c r="L122" s="45"/>
      <c r="M122" s="45"/>
      <c r="N122" s="45"/>
      <c r="O122" s="45"/>
      <c r="P122" s="45"/>
      <c r="Q122" s="45"/>
      <c r="R122" s="45"/>
      <c r="S122" s="45"/>
      <c r="T122" s="45"/>
      <c r="U122" s="45"/>
      <c r="V122" s="45"/>
      <c r="W122" s="45"/>
    </row>
    <row r="123" spans="1:23" hidden="1" x14ac:dyDescent="0.2">
      <c r="B123" s="18">
        <f>IF(B10=1,-750,0)</f>
        <v>0</v>
      </c>
      <c r="C123" s="45">
        <f>IF(AND(C6=0,B10=1),-1500,0)</f>
        <v>0</v>
      </c>
      <c r="D123" s="45"/>
      <c r="E123" s="45"/>
      <c r="F123" s="45"/>
      <c r="G123" s="45"/>
      <c r="H123" s="45"/>
      <c r="I123" s="45"/>
      <c r="J123" s="45"/>
      <c r="K123" s="45"/>
      <c r="L123" s="45"/>
      <c r="M123" s="45"/>
      <c r="N123" s="45"/>
      <c r="O123" s="45"/>
      <c r="P123" s="45"/>
      <c r="Q123" s="45"/>
      <c r="R123" s="45"/>
      <c r="S123" s="45"/>
      <c r="T123" s="45"/>
      <c r="U123" s="45"/>
      <c r="V123" s="45"/>
      <c r="W123" s="45"/>
    </row>
    <row r="124" spans="1:23" hidden="1" x14ac:dyDescent="0.2">
      <c r="B124" s="45"/>
      <c r="C124" s="45"/>
      <c r="D124" s="45"/>
      <c r="E124" s="45"/>
      <c r="F124" s="45"/>
      <c r="G124" s="45"/>
      <c r="H124" s="45"/>
      <c r="I124" s="45"/>
      <c r="J124" s="45"/>
      <c r="K124" s="45"/>
      <c r="L124" s="45"/>
      <c r="M124" s="45"/>
      <c r="N124" s="45"/>
      <c r="O124" s="45"/>
      <c r="P124" s="45"/>
      <c r="Q124" s="45"/>
      <c r="R124" s="45"/>
      <c r="S124" s="45"/>
      <c r="T124" s="45"/>
      <c r="U124" s="45"/>
      <c r="V124" s="45"/>
      <c r="W124" s="45"/>
    </row>
    <row r="125" spans="1:23" hidden="1" x14ac:dyDescent="0.2">
      <c r="B125" s="45"/>
      <c r="C125" s="45"/>
      <c r="D125" s="45"/>
      <c r="E125" s="45"/>
      <c r="F125" s="45"/>
      <c r="G125" s="45"/>
      <c r="H125" s="45"/>
      <c r="I125" s="45"/>
      <c r="J125" s="45"/>
      <c r="K125" s="45"/>
      <c r="L125" s="45"/>
      <c r="M125" s="45"/>
      <c r="N125" s="45"/>
      <c r="O125" s="45"/>
      <c r="P125" s="45"/>
      <c r="Q125" s="45"/>
      <c r="R125" s="45"/>
      <c r="S125" s="45"/>
      <c r="T125" s="45"/>
      <c r="U125" s="45"/>
      <c r="V125" s="45"/>
      <c r="W125" s="45"/>
    </row>
    <row r="126" spans="1:23" hidden="1" x14ac:dyDescent="0.2">
      <c r="B126" s="45"/>
      <c r="C126" s="45"/>
      <c r="D126" s="45"/>
      <c r="E126" s="45"/>
      <c r="F126" s="45"/>
      <c r="G126" s="45"/>
      <c r="H126" s="45"/>
      <c r="I126" s="45"/>
      <c r="J126" s="45"/>
      <c r="K126" s="45"/>
      <c r="L126" s="45"/>
      <c r="M126" s="45"/>
      <c r="N126" s="45"/>
      <c r="O126" s="45"/>
      <c r="P126" s="45"/>
      <c r="Q126" s="45"/>
      <c r="R126" s="45"/>
      <c r="S126" s="45"/>
      <c r="T126" s="45"/>
      <c r="U126" s="45"/>
      <c r="V126" s="45"/>
      <c r="W126" s="45"/>
    </row>
    <row r="127" spans="1:23" hidden="1" x14ac:dyDescent="0.2">
      <c r="B127" s="49"/>
      <c r="C127" s="45"/>
      <c r="D127" s="45"/>
      <c r="E127" s="45"/>
      <c r="F127" s="45"/>
      <c r="G127" s="45"/>
      <c r="H127" s="45"/>
      <c r="I127" s="45"/>
      <c r="J127" s="45"/>
      <c r="K127" s="45"/>
      <c r="L127" s="45"/>
      <c r="M127" s="45"/>
      <c r="N127" s="45"/>
      <c r="O127" s="45"/>
      <c r="P127" s="45"/>
      <c r="Q127" s="45"/>
      <c r="R127" s="45"/>
      <c r="S127" s="45"/>
      <c r="T127" s="45"/>
      <c r="U127" s="45"/>
      <c r="V127" s="45"/>
      <c r="W127" s="45"/>
    </row>
    <row r="128" spans="1:23" hidden="1" x14ac:dyDescent="0.2">
      <c r="E128" s="45"/>
      <c r="F128" s="45"/>
      <c r="G128" s="45"/>
    </row>
    <row r="129" spans="1:6" hidden="1" x14ac:dyDescent="0.2">
      <c r="F129" s="45"/>
    </row>
    <row r="130" spans="1:6" hidden="1" x14ac:dyDescent="0.2">
      <c r="F130" s="45"/>
    </row>
    <row r="131" spans="1:6" hidden="1" x14ac:dyDescent="0.2">
      <c r="A131" s="15" t="s">
        <v>2</v>
      </c>
      <c r="C131" s="15" t="s">
        <v>79</v>
      </c>
      <c r="D131" s="15" t="s">
        <v>80</v>
      </c>
    </row>
    <row r="132" spans="1:6" hidden="1" x14ac:dyDescent="0.2">
      <c r="D132" s="15">
        <v>525</v>
      </c>
    </row>
    <row r="133" spans="1:6" hidden="1" x14ac:dyDescent="0.2">
      <c r="D133" s="15">
        <v>100</v>
      </c>
    </row>
    <row r="134" spans="1:6" hidden="1" x14ac:dyDescent="0.2">
      <c r="D134" s="15">
        <v>675</v>
      </c>
    </row>
    <row r="135" spans="1:6" hidden="1" x14ac:dyDescent="0.2"/>
    <row r="136" spans="1:6" hidden="1" x14ac:dyDescent="0.2"/>
    <row r="137" spans="1:6" hidden="1" x14ac:dyDescent="0.2"/>
    <row r="138" spans="1:6" ht="14.25" hidden="1" x14ac:dyDescent="0.2">
      <c r="A138" s="30" t="s">
        <v>81</v>
      </c>
      <c r="B138" s="30"/>
      <c r="C138" s="30" t="s">
        <v>81</v>
      </c>
      <c r="D138" s="50" t="s">
        <v>82</v>
      </c>
      <c r="E138" s="50"/>
      <c r="F138" s="30" t="s">
        <v>13</v>
      </c>
    </row>
    <row r="139" spans="1:6" ht="15" hidden="1" x14ac:dyDescent="0.25">
      <c r="A139" s="51">
        <v>0</v>
      </c>
      <c r="B139" s="52"/>
      <c r="C139" s="51">
        <v>7500</v>
      </c>
      <c r="D139" s="53">
        <v>4.5600000000000002E-2</v>
      </c>
      <c r="E139" s="53"/>
      <c r="F139" s="51">
        <f>IF($B$7&lt;C139,$B$7*D139,C139*D139)</f>
        <v>0</v>
      </c>
    </row>
    <row r="140" spans="1:6" ht="15" hidden="1" x14ac:dyDescent="0.25">
      <c r="A140" s="51">
        <v>7500</v>
      </c>
      <c r="B140" s="52"/>
      <c r="C140" s="51">
        <v>17500</v>
      </c>
      <c r="D140" s="53">
        <v>2.8500000000000001E-2</v>
      </c>
      <c r="E140" s="53"/>
      <c r="F140" s="52" t="str">
        <f t="shared" ref="F140:F145" si="0">IF($B$7&lt;=A140," ",IF($B$7&lt;C140,($B$7-C139)*D140,(C140-A140)*D140))</f>
        <v xml:space="preserve"> </v>
      </c>
    </row>
    <row r="141" spans="1:6" ht="15" hidden="1" x14ac:dyDescent="0.25">
      <c r="A141" s="51">
        <v>17500</v>
      </c>
      <c r="B141" s="52"/>
      <c r="C141" s="51">
        <v>30000</v>
      </c>
      <c r="D141" s="53">
        <v>2.2800000000000001E-2</v>
      </c>
      <c r="E141" s="53"/>
      <c r="F141" s="52" t="str">
        <f t="shared" si="0"/>
        <v xml:space="preserve"> </v>
      </c>
    </row>
    <row r="142" spans="1:6" ht="15" hidden="1" x14ac:dyDescent="0.25">
      <c r="A142" s="51">
        <v>30000</v>
      </c>
      <c r="B142" s="52"/>
      <c r="C142" s="51">
        <v>45495</v>
      </c>
      <c r="D142" s="53">
        <v>1.7100000000000001E-2</v>
      </c>
      <c r="E142" s="53"/>
      <c r="F142" s="52" t="str">
        <f t="shared" si="0"/>
        <v xml:space="preserve"> </v>
      </c>
    </row>
    <row r="143" spans="1:6" ht="15" hidden="1" x14ac:dyDescent="0.25">
      <c r="A143" s="51">
        <v>45495</v>
      </c>
      <c r="B143" s="52"/>
      <c r="C143" s="51">
        <v>64095</v>
      </c>
      <c r="D143" s="53">
        <v>1.14E-2</v>
      </c>
      <c r="E143" s="53"/>
      <c r="F143" s="52" t="str">
        <f t="shared" si="0"/>
        <v xml:space="preserve"> </v>
      </c>
    </row>
    <row r="144" spans="1:6" ht="15" hidden="1" x14ac:dyDescent="0.25">
      <c r="A144" s="51">
        <v>64095</v>
      </c>
      <c r="B144" s="52"/>
      <c r="C144" s="51">
        <v>250095</v>
      </c>
      <c r="D144" s="53">
        <v>5.7000000000000002E-3</v>
      </c>
      <c r="E144" s="53"/>
      <c r="F144" s="52" t="str">
        <f t="shared" si="0"/>
        <v xml:space="preserve"> </v>
      </c>
    </row>
    <row r="145" spans="1:8" ht="15" hidden="1" x14ac:dyDescent="0.25">
      <c r="A145" s="51">
        <v>250095</v>
      </c>
      <c r="B145" s="52"/>
      <c r="C145" s="51">
        <f>$B$7</f>
        <v>0</v>
      </c>
      <c r="D145" s="53">
        <v>5.6999999999999998E-4</v>
      </c>
      <c r="E145" s="53"/>
      <c r="F145" s="52" t="str">
        <f t="shared" si="0"/>
        <v xml:space="preserve"> </v>
      </c>
    </row>
    <row r="146" spans="1:8" ht="15" hidden="1" x14ac:dyDescent="0.25">
      <c r="A146" s="29"/>
      <c r="B146" s="29"/>
      <c r="C146" s="29"/>
      <c r="D146" s="54"/>
      <c r="E146" s="29"/>
      <c r="F146" s="29"/>
    </row>
    <row r="147" spans="1:8" ht="15" hidden="1" x14ac:dyDescent="0.25">
      <c r="A147" s="30" t="s">
        <v>83</v>
      </c>
      <c r="B147" s="30"/>
      <c r="C147" s="29"/>
      <c r="D147" s="29"/>
      <c r="E147" s="29"/>
      <c r="F147" s="55">
        <f>SUM(F139:F146)</f>
        <v>0</v>
      </c>
    </row>
    <row r="148" spans="1:8" hidden="1" x14ac:dyDescent="0.2"/>
    <row r="149" spans="1:8" hidden="1" x14ac:dyDescent="0.2">
      <c r="A149" s="34" t="s">
        <v>105</v>
      </c>
      <c r="B149" s="34"/>
      <c r="C149" s="34"/>
      <c r="D149" s="34"/>
      <c r="E149" s="34"/>
      <c r="F149" s="34" t="s">
        <v>106</v>
      </c>
      <c r="G149" s="34"/>
      <c r="H149" s="34"/>
    </row>
    <row r="150" spans="1:8" hidden="1" x14ac:dyDescent="0.2">
      <c r="A150" s="34">
        <v>67.31</v>
      </c>
      <c r="B150" s="34" t="s">
        <v>107</v>
      </c>
      <c r="C150" s="34">
        <v>25000</v>
      </c>
      <c r="D150" s="34"/>
      <c r="E150" s="34"/>
      <c r="F150" s="34"/>
      <c r="G150" s="34"/>
      <c r="H150" s="34"/>
    </row>
    <row r="151" spans="1:8" hidden="1" x14ac:dyDescent="0.2">
      <c r="A151" s="34">
        <v>23.56</v>
      </c>
      <c r="B151" s="34" t="s">
        <v>108</v>
      </c>
      <c r="C151" s="34">
        <v>25000</v>
      </c>
      <c r="D151" s="34" t="s">
        <v>109</v>
      </c>
      <c r="E151" s="34"/>
      <c r="F151" s="34"/>
      <c r="G151" s="34"/>
      <c r="H151" s="34"/>
    </row>
    <row r="152" spans="1:8" hidden="1" x14ac:dyDescent="0.2">
      <c r="A152" s="34"/>
      <c r="B152" s="34"/>
      <c r="C152" s="34"/>
      <c r="D152" s="34"/>
      <c r="E152" s="34"/>
      <c r="F152" s="34"/>
      <c r="G152" s="34"/>
      <c r="H152" s="34"/>
    </row>
    <row r="153" spans="1:8" hidden="1" x14ac:dyDescent="0.2">
      <c r="A153" s="34"/>
      <c r="B153" s="34"/>
      <c r="C153" s="34"/>
      <c r="D153" s="34"/>
      <c r="E153" s="34"/>
      <c r="F153" s="34"/>
      <c r="G153" s="34"/>
      <c r="H153" s="34"/>
    </row>
    <row r="154" spans="1:8" hidden="1" x14ac:dyDescent="0.2">
      <c r="A154" s="34"/>
      <c r="B154" s="34"/>
      <c r="C154" s="34"/>
      <c r="D154" s="34"/>
      <c r="E154" s="34"/>
      <c r="F154" s="34"/>
      <c r="G154" s="34">
        <v>720</v>
      </c>
      <c r="H154" s="34"/>
    </row>
    <row r="155" spans="1:8" hidden="1" x14ac:dyDescent="0.2">
      <c r="A155" s="34" t="s">
        <v>110</v>
      </c>
      <c r="B155" s="34"/>
      <c r="C155" s="34" t="s">
        <v>81</v>
      </c>
      <c r="D155" s="34" t="s">
        <v>111</v>
      </c>
      <c r="E155" s="34"/>
      <c r="F155" s="34"/>
      <c r="G155" s="34"/>
      <c r="H155" s="34"/>
    </row>
    <row r="156" spans="1:8" hidden="1" x14ac:dyDescent="0.2">
      <c r="A156" s="34"/>
      <c r="B156" s="34"/>
      <c r="C156" s="34">
        <v>0</v>
      </c>
      <c r="D156" s="34">
        <v>575</v>
      </c>
      <c r="E156" s="34"/>
      <c r="F156" s="34"/>
      <c r="G156" s="34"/>
      <c r="H156" s="34"/>
    </row>
    <row r="157" spans="1:8" hidden="1" x14ac:dyDescent="0.2">
      <c r="A157" s="34"/>
      <c r="B157" s="34"/>
      <c r="C157" s="34"/>
      <c r="D157" s="34"/>
      <c r="E157" s="34"/>
      <c r="F157" s="34"/>
      <c r="G157" s="34"/>
      <c r="H157" s="34"/>
    </row>
    <row r="158" spans="1:8" hidden="1" x14ac:dyDescent="0.2">
      <c r="A158" s="34"/>
      <c r="B158" s="34"/>
      <c r="C158" s="34"/>
      <c r="D158" s="34"/>
      <c r="E158" s="34"/>
      <c r="F158" s="56" t="s">
        <v>10</v>
      </c>
      <c r="G158" s="34"/>
      <c r="H158" s="34"/>
    </row>
    <row r="159" spans="1:8" hidden="1" x14ac:dyDescent="0.2">
      <c r="A159" s="34"/>
      <c r="B159" s="34"/>
      <c r="C159" s="34"/>
      <c r="D159" s="34"/>
      <c r="E159" s="34"/>
      <c r="F159" s="56" t="s">
        <v>7</v>
      </c>
      <c r="G159" s="34"/>
      <c r="H159" s="34"/>
    </row>
    <row r="160" spans="1:8" hidden="1" x14ac:dyDescent="0.2">
      <c r="A160" s="34">
        <v>920</v>
      </c>
      <c r="B160" s="34"/>
      <c r="C160" s="34"/>
      <c r="D160" s="34"/>
      <c r="E160" s="34"/>
      <c r="F160" s="34"/>
      <c r="G160" s="34"/>
      <c r="H160" s="34"/>
    </row>
    <row r="161" spans="1:8" hidden="1" x14ac:dyDescent="0.2">
      <c r="A161" s="34"/>
      <c r="B161" s="34"/>
      <c r="C161" s="34"/>
      <c r="D161" s="34"/>
      <c r="E161" s="34"/>
      <c r="F161" s="34"/>
      <c r="G161" s="34"/>
      <c r="H161" s="34"/>
    </row>
    <row r="162" spans="1:8" hidden="1" x14ac:dyDescent="0.2">
      <c r="A162" s="34"/>
      <c r="B162" s="34"/>
      <c r="C162" s="34"/>
      <c r="D162" s="34"/>
      <c r="E162" s="34"/>
      <c r="F162" s="34"/>
      <c r="G162" s="34"/>
      <c r="H162" s="34"/>
    </row>
    <row r="163" spans="1:8" hidden="1" x14ac:dyDescent="0.2">
      <c r="A163" s="34"/>
      <c r="B163" s="34"/>
      <c r="C163" s="34"/>
      <c r="D163" s="34"/>
      <c r="E163" s="34"/>
      <c r="F163" s="34"/>
      <c r="G163" s="34"/>
      <c r="H163" s="34"/>
    </row>
    <row r="164" spans="1:8" hidden="1" x14ac:dyDescent="0.2">
      <c r="A164" s="34"/>
      <c r="B164" s="34"/>
      <c r="C164" s="34"/>
      <c r="D164" s="34"/>
      <c r="E164" s="34"/>
      <c r="F164" s="34"/>
      <c r="G164" s="34"/>
      <c r="H164" s="34"/>
    </row>
    <row r="165" spans="1:8" hidden="1" x14ac:dyDescent="0.2">
      <c r="A165" s="34"/>
      <c r="B165" s="34"/>
      <c r="C165" s="34"/>
      <c r="D165" s="34"/>
      <c r="E165" s="34"/>
      <c r="F165" s="34"/>
      <c r="G165" s="34"/>
      <c r="H165" s="34"/>
    </row>
    <row r="166" spans="1:8" hidden="1" x14ac:dyDescent="0.2">
      <c r="A166" s="34"/>
      <c r="B166" s="34"/>
      <c r="C166" s="34"/>
      <c r="D166" s="34"/>
      <c r="E166" s="34"/>
      <c r="F166" s="34"/>
      <c r="G166" s="34"/>
      <c r="H166" s="34"/>
    </row>
    <row r="167" spans="1:8" hidden="1" x14ac:dyDescent="0.2">
      <c r="A167" s="34"/>
      <c r="B167" s="34"/>
      <c r="C167" s="34"/>
      <c r="D167" s="34"/>
      <c r="E167" s="34"/>
      <c r="F167" s="34"/>
      <c r="G167" s="34"/>
      <c r="H167" s="34"/>
    </row>
    <row r="168" spans="1:8" hidden="1" x14ac:dyDescent="0.2">
      <c r="A168" s="34"/>
      <c r="B168" s="34"/>
      <c r="C168" s="34"/>
      <c r="D168" s="34"/>
      <c r="E168" s="34"/>
      <c r="F168" s="34"/>
      <c r="G168" s="34"/>
      <c r="H168" s="34"/>
    </row>
    <row r="169" spans="1:8" hidden="1" x14ac:dyDescent="0.2">
      <c r="A169" s="34"/>
      <c r="B169" s="34"/>
      <c r="C169" s="34"/>
      <c r="D169" s="34"/>
      <c r="E169" s="34"/>
      <c r="F169" s="34"/>
      <c r="G169" s="34"/>
      <c r="H169" s="34"/>
    </row>
    <row r="170" spans="1:8" hidden="1" x14ac:dyDescent="0.2">
      <c r="A170" s="34"/>
      <c r="B170" s="34"/>
      <c r="C170" s="34"/>
      <c r="D170" s="34"/>
      <c r="E170" s="34"/>
      <c r="F170" s="34"/>
      <c r="G170" s="34"/>
      <c r="H170" s="34"/>
    </row>
    <row r="171" spans="1:8" hidden="1" x14ac:dyDescent="0.2">
      <c r="A171" s="34"/>
      <c r="B171" s="34"/>
      <c r="C171" s="34"/>
      <c r="D171" s="34"/>
      <c r="E171" s="34"/>
      <c r="F171" s="34"/>
      <c r="G171" s="34"/>
      <c r="H171" s="34"/>
    </row>
    <row r="172" spans="1:8" hidden="1" x14ac:dyDescent="0.2">
      <c r="A172" s="34"/>
      <c r="B172" s="34"/>
      <c r="C172" s="34"/>
      <c r="D172" s="34"/>
      <c r="E172" s="34"/>
      <c r="F172" s="34"/>
      <c r="G172" s="34"/>
      <c r="H172" s="34"/>
    </row>
    <row r="173" spans="1:8" hidden="1" x14ac:dyDescent="0.2">
      <c r="A173" s="34"/>
      <c r="B173" s="34"/>
      <c r="C173" s="34"/>
      <c r="D173" s="34"/>
      <c r="E173" s="34"/>
      <c r="F173" s="34"/>
      <c r="G173" s="34"/>
      <c r="H173" s="34"/>
    </row>
    <row r="174" spans="1:8" hidden="1" x14ac:dyDescent="0.2">
      <c r="A174" s="34"/>
      <c r="B174" s="34"/>
      <c r="C174" s="34"/>
      <c r="D174" s="34"/>
      <c r="E174" s="34"/>
      <c r="F174" s="34"/>
      <c r="G174" s="34"/>
      <c r="H174" s="34"/>
    </row>
    <row r="175" spans="1:8" hidden="1" x14ac:dyDescent="0.2">
      <c r="A175" s="34"/>
      <c r="B175" s="34"/>
      <c r="C175" s="34"/>
      <c r="D175" s="34"/>
      <c r="E175" s="34"/>
      <c r="F175" s="34"/>
      <c r="G175" s="34"/>
      <c r="H175" s="34"/>
    </row>
    <row r="176" spans="1:8" hidden="1" x14ac:dyDescent="0.2">
      <c r="A176" s="34"/>
      <c r="B176" s="34"/>
      <c r="C176" s="34"/>
      <c r="D176" s="34"/>
      <c r="E176" s="34"/>
      <c r="F176" s="34"/>
      <c r="G176" s="34"/>
      <c r="H176" s="34"/>
    </row>
    <row r="177" spans="1:8" hidden="1" x14ac:dyDescent="0.2">
      <c r="A177" s="34"/>
      <c r="B177" s="34"/>
      <c r="C177" s="34"/>
      <c r="D177" s="34"/>
      <c r="E177" s="34"/>
      <c r="F177" s="34"/>
      <c r="G177" s="34"/>
      <c r="H177" s="34"/>
    </row>
    <row r="178" spans="1:8" hidden="1" x14ac:dyDescent="0.2">
      <c r="A178" s="34"/>
      <c r="B178" s="34"/>
      <c r="C178" s="34"/>
      <c r="D178" s="34"/>
      <c r="E178" s="34"/>
      <c r="F178" s="34"/>
      <c r="G178" s="34"/>
      <c r="H178" s="34"/>
    </row>
    <row r="179" spans="1:8" hidden="1" x14ac:dyDescent="0.2">
      <c r="A179" s="34"/>
      <c r="B179" s="34"/>
      <c r="C179" s="34"/>
      <c r="D179" s="34"/>
      <c r="E179" s="34"/>
      <c r="F179" s="34"/>
      <c r="G179" s="34"/>
      <c r="H179" s="34"/>
    </row>
    <row r="180" spans="1:8" hidden="1" x14ac:dyDescent="0.2">
      <c r="A180" s="34"/>
      <c r="B180" s="34"/>
      <c r="C180" s="34"/>
      <c r="D180" s="34"/>
      <c r="E180" s="34"/>
      <c r="F180" s="34"/>
      <c r="G180" s="34"/>
      <c r="H180" s="34"/>
    </row>
    <row r="181" spans="1:8" hidden="1" x14ac:dyDescent="0.2">
      <c r="A181" s="34"/>
      <c r="B181" s="34"/>
      <c r="C181" s="34"/>
      <c r="D181" s="34"/>
      <c r="E181" s="34"/>
      <c r="F181" s="34"/>
      <c r="G181" s="34"/>
      <c r="H181" s="34"/>
    </row>
    <row r="182" spans="1:8" hidden="1" x14ac:dyDescent="0.2">
      <c r="A182" s="34"/>
      <c r="B182" s="34"/>
      <c r="C182" s="34"/>
      <c r="D182" s="34"/>
      <c r="E182" s="34"/>
      <c r="F182" s="34"/>
      <c r="G182" s="34"/>
      <c r="H182" s="34"/>
    </row>
    <row r="183" spans="1:8" hidden="1" x14ac:dyDescent="0.2">
      <c r="A183" s="34"/>
      <c r="B183" s="34"/>
      <c r="C183" s="34"/>
      <c r="D183" s="34"/>
      <c r="E183" s="34"/>
      <c r="F183" s="34"/>
      <c r="G183" s="34"/>
      <c r="H183" s="34"/>
    </row>
    <row r="184" spans="1:8" hidden="1" x14ac:dyDescent="0.2">
      <c r="A184" s="34"/>
      <c r="B184" s="34"/>
      <c r="C184" s="34"/>
      <c r="D184" s="34"/>
      <c r="E184" s="34"/>
      <c r="F184" s="34"/>
      <c r="G184" s="34"/>
      <c r="H184" s="34"/>
    </row>
    <row r="185" spans="1:8" hidden="1" x14ac:dyDescent="0.2">
      <c r="A185" s="34"/>
      <c r="B185" s="34"/>
      <c r="C185" s="34"/>
      <c r="D185" s="34"/>
      <c r="E185" s="34"/>
      <c r="F185" s="34"/>
      <c r="G185" s="34"/>
      <c r="H185" s="34"/>
    </row>
    <row r="186" spans="1:8" hidden="1" x14ac:dyDescent="0.2">
      <c r="A186" s="34"/>
      <c r="B186" s="34"/>
      <c r="C186" s="34"/>
      <c r="D186" s="34"/>
      <c r="E186" s="34"/>
      <c r="F186" s="34"/>
      <c r="G186" s="34"/>
      <c r="H186" s="34"/>
    </row>
    <row r="187" spans="1:8" hidden="1" x14ac:dyDescent="0.2">
      <c r="A187" s="34"/>
      <c r="B187" s="34"/>
      <c r="C187" s="34"/>
      <c r="D187" s="34"/>
      <c r="E187" s="34"/>
      <c r="F187" s="34"/>
      <c r="G187" s="34"/>
      <c r="H187" s="34"/>
    </row>
    <row r="188" spans="1:8" hidden="1" x14ac:dyDescent="0.2">
      <c r="A188" s="34"/>
      <c r="B188" s="34"/>
      <c r="C188" s="34"/>
      <c r="D188" s="34"/>
      <c r="E188" s="34"/>
      <c r="F188" s="34"/>
      <c r="G188" s="34"/>
      <c r="H188" s="34"/>
    </row>
    <row r="189" spans="1:8" hidden="1" x14ac:dyDescent="0.2">
      <c r="A189" s="34"/>
      <c r="B189" s="34"/>
      <c r="C189" s="34"/>
      <c r="D189" s="57">
        <f>ROUNDUP(C64+C65,-2)</f>
        <v>100</v>
      </c>
      <c r="E189" s="34"/>
      <c r="F189" s="34"/>
      <c r="G189" s="34"/>
      <c r="H189" s="34"/>
    </row>
    <row r="190" spans="1:8" hidden="1" x14ac:dyDescent="0.2">
      <c r="A190" s="34"/>
      <c r="B190" s="34"/>
      <c r="C190" s="34"/>
      <c r="D190" s="34"/>
      <c r="E190" s="34"/>
      <c r="F190" s="34"/>
      <c r="G190" s="34"/>
      <c r="H190" s="34"/>
    </row>
    <row r="191" spans="1:8" hidden="1" x14ac:dyDescent="0.2">
      <c r="A191" s="34"/>
      <c r="B191" s="34"/>
      <c r="C191" s="34"/>
      <c r="D191" s="34"/>
      <c r="E191" s="34"/>
      <c r="F191" s="34"/>
      <c r="G191" s="34"/>
      <c r="H191" s="34"/>
    </row>
    <row r="192" spans="1:8" hidden="1" x14ac:dyDescent="0.2">
      <c r="A192" s="34"/>
      <c r="B192" s="34"/>
      <c r="C192" s="34"/>
      <c r="D192" s="34"/>
      <c r="E192" s="34"/>
      <c r="F192" s="34"/>
      <c r="G192" s="34"/>
      <c r="H192" s="34"/>
    </row>
    <row r="193" spans="1:8" hidden="1" x14ac:dyDescent="0.2">
      <c r="A193" s="34" t="s">
        <v>4</v>
      </c>
      <c r="B193" s="34"/>
      <c r="C193" s="34">
        <v>0</v>
      </c>
      <c r="D193" s="34"/>
      <c r="E193" s="34"/>
      <c r="F193" s="34"/>
      <c r="G193" s="34"/>
      <c r="H193" s="34"/>
    </row>
    <row r="194" spans="1:8" ht="15" hidden="1" x14ac:dyDescent="0.25">
      <c r="A194" s="34">
        <v>0</v>
      </c>
      <c r="B194" s="34"/>
      <c r="C194" s="34">
        <v>7500</v>
      </c>
      <c r="D194" s="34">
        <v>1.7100000000000001E-2</v>
      </c>
      <c r="E194" s="31"/>
      <c r="F194" s="32">
        <f>IF(C55&lt;C194,C55*D194,C194*D194)</f>
        <v>0</v>
      </c>
      <c r="G194" s="34"/>
      <c r="H194" s="34"/>
    </row>
    <row r="195" spans="1:8" ht="15" hidden="1" x14ac:dyDescent="0.25">
      <c r="A195" s="34">
        <v>7500</v>
      </c>
      <c r="B195" s="34"/>
      <c r="C195" s="34">
        <v>17500</v>
      </c>
      <c r="D195" s="34">
        <v>1.3679999999999999E-2</v>
      </c>
      <c r="E195" s="31"/>
      <c r="F195" s="32" t="str">
        <f>IF(C55&lt;=A195," ",IF(C55&lt;C195,(C55-C194)*D195,(C195-A195)*D195))</f>
        <v xml:space="preserve"> </v>
      </c>
      <c r="G195" s="34"/>
      <c r="H195" s="34"/>
    </row>
    <row r="196" spans="1:8" ht="15" hidden="1" x14ac:dyDescent="0.25">
      <c r="A196" s="34">
        <v>17500</v>
      </c>
      <c r="B196" s="34"/>
      <c r="C196" s="34">
        <v>30000</v>
      </c>
      <c r="D196" s="34">
        <v>9.1199999999999996E-3</v>
      </c>
      <c r="E196" s="31"/>
      <c r="F196" s="32" t="str">
        <f>IF(C55&lt;=A196," ",IF(C55&lt;C196,(C55-C195)*D196,(C196-A196)*D196))</f>
        <v xml:space="preserve"> </v>
      </c>
      <c r="G196" s="34"/>
      <c r="H196" s="34"/>
    </row>
    <row r="197" spans="1:8" ht="15" hidden="1" x14ac:dyDescent="0.25">
      <c r="A197" s="34">
        <v>30000</v>
      </c>
      <c r="B197" s="34"/>
      <c r="C197" s="34">
        <v>45495</v>
      </c>
      <c r="D197" s="34">
        <v>6.8399999999999997E-3</v>
      </c>
      <c r="E197" s="31"/>
      <c r="F197" s="32" t="str">
        <f>IF(C55&lt;=A197," ",IF(C55&lt;C197,(C55-C196)*D197,(C197-A197)*D197))</f>
        <v xml:space="preserve"> </v>
      </c>
      <c r="G197" s="34"/>
      <c r="H197" s="34"/>
    </row>
    <row r="198" spans="1:8" ht="15" hidden="1" x14ac:dyDescent="0.25">
      <c r="A198" s="34">
        <v>45495</v>
      </c>
      <c r="B198" s="34"/>
      <c r="C198" s="34">
        <v>64095</v>
      </c>
      <c r="D198" s="34">
        <v>4.5599999999999998E-3</v>
      </c>
      <c r="E198" s="31"/>
      <c r="F198" s="32" t="str">
        <f>IF(C55&lt;=A198," ",IF(C55&lt;C198,(C55-C197)*D198,(C198-A198)*D198))</f>
        <v xml:space="preserve"> </v>
      </c>
      <c r="G198" s="34"/>
      <c r="H198" s="34"/>
    </row>
    <row r="199" spans="1:8" ht="15" hidden="1" x14ac:dyDescent="0.25">
      <c r="A199" s="34">
        <v>64095</v>
      </c>
      <c r="B199" s="34"/>
      <c r="C199" s="34">
        <v>250095</v>
      </c>
      <c r="D199" s="34">
        <v>2.2799999999999999E-3</v>
      </c>
      <c r="E199" s="31"/>
      <c r="F199" s="32" t="str">
        <f>IF(C55&lt;=A199," ",IF(C55&lt;C199,(C55-C198)*D199,(C199-A199)*D199))</f>
        <v xml:space="preserve"> </v>
      </c>
      <c r="G199" s="34"/>
      <c r="H199" s="34"/>
    </row>
    <row r="200" spans="1:8" ht="15" hidden="1" x14ac:dyDescent="0.25">
      <c r="A200" s="34">
        <v>250095</v>
      </c>
      <c r="B200" s="34"/>
      <c r="C200" s="57">
        <f>C55</f>
        <v>0</v>
      </c>
      <c r="D200" s="34">
        <v>4.5600000000000003E-4</v>
      </c>
      <c r="E200" s="31"/>
      <c r="F200" s="32" t="str">
        <f>IF(C55&lt;=A200," ",IF(C55&lt;C200,(C55-C199)*D200,(C200-A200)*D200))</f>
        <v xml:space="preserve"> </v>
      </c>
      <c r="G200" s="34"/>
      <c r="H200" s="34"/>
    </row>
    <row r="201" spans="1:8" ht="15" hidden="1" x14ac:dyDescent="0.25">
      <c r="A201" s="34">
        <v>10075000</v>
      </c>
      <c r="B201" s="34"/>
      <c r="C201" s="34">
        <v>0</v>
      </c>
      <c r="D201" s="34">
        <v>4.5600000000000003E-4</v>
      </c>
      <c r="E201" s="33" t="str">
        <f>IF($C$96&lt;=A201," E90",IF($C$96&lt;C201,($C$96-C200)*D201,(C201-A201)*D201))</f>
        <v xml:space="preserve"> E90</v>
      </c>
      <c r="F201" s="34"/>
      <c r="G201" s="34"/>
      <c r="H201" s="34"/>
    </row>
    <row r="202" spans="1:8" ht="15" hidden="1" x14ac:dyDescent="0.25">
      <c r="A202" s="34"/>
      <c r="B202" s="34"/>
      <c r="C202" s="34"/>
      <c r="D202" s="34"/>
      <c r="E202" s="35"/>
      <c r="F202" s="34"/>
      <c r="G202" s="34"/>
      <c r="H202" s="34"/>
    </row>
    <row r="203" spans="1:8" ht="14.25" hidden="1" x14ac:dyDescent="0.2">
      <c r="A203" s="34" t="s">
        <v>83</v>
      </c>
      <c r="B203" s="34"/>
      <c r="C203" s="34"/>
      <c r="D203" s="34"/>
      <c r="E203" s="36">
        <f>SUM(F194:F201)</f>
        <v>0</v>
      </c>
      <c r="F203" s="34"/>
      <c r="G203" s="34"/>
      <c r="H203" s="34"/>
    </row>
    <row r="204" spans="1:8" hidden="1" x14ac:dyDescent="0.2"/>
    <row r="205" spans="1:8" hidden="1" x14ac:dyDescent="0.2"/>
  </sheetData>
  <sheetProtection algorithmName="SHA-512" hashValue="0ILh7Bm5HjMO/VCeTs6kNenNoaO2cXkq/urjDdldsMOlrinzHDAw1VxTvhX0w+bcKB46Vw8y7avPvpwdZMT0og==" saltValue="OL9oYNyqOoDIjY/SbdZm5g==" spinCount="100000" sheet="1" objects="1" scenarios="1"/>
  <phoneticPr fontId="0" type="noConversion"/>
  <dataValidations count="8">
    <dataValidation type="list" allowBlank="1" showInputMessage="1" showErrorMessage="1" sqref="C37 C41:C42">
      <formula1>$G$108:$G$109</formula1>
    </dataValidation>
    <dataValidation type="list" allowBlank="1" showInputMessage="1" showErrorMessage="1" sqref="C36">
      <formula1>$G$105:$G$106</formula1>
    </dataValidation>
    <dataValidation type="list" allowBlank="1" showInputMessage="1" showErrorMessage="1" sqref="C35">
      <formula1>$F$105:$F$106</formula1>
    </dataValidation>
    <dataValidation type="list" allowBlank="1" showInputMessage="1" showErrorMessage="1" sqref="C34">
      <formula1>$E$105:$E$106</formula1>
    </dataValidation>
    <dataValidation type="list" allowBlank="1" showInputMessage="1" showErrorMessage="1" sqref="C10">
      <formula1>$D$97:$D$98</formula1>
    </dataValidation>
    <dataValidation type="list" allowBlank="1" showInputMessage="1" showErrorMessage="1" sqref="C9">
      <formula1>$C$97:$C$98</formula1>
    </dataValidation>
    <dataValidation type="list" allowBlank="1" showInputMessage="1" showErrorMessage="1" sqref="C11">
      <formula1>$G$97:$G$98</formula1>
    </dataValidation>
    <dataValidation type="list" allowBlank="1" showInputMessage="1" showErrorMessage="1" sqref="C57">
      <formula1>$F$158:$F$159</formula1>
    </dataValidation>
  </dataValidations>
  <hyperlinks>
    <hyperlink ref="B10" r:id="rId1"/>
    <hyperlink ref="D86" r:id="rId2"/>
    <hyperlink ref="C86" r:id="rId3"/>
    <hyperlink ref="C88" r:id="rId4"/>
    <hyperlink ref="D88" r:id="rId5"/>
    <hyperlink ref="C9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VKBKRO</vt:lpstr>
      <vt:lpstr>VKBKRO!_1._Zegels_Minuut_Brevet</vt:lpstr>
      <vt:lpstr>VKBKRO!_2._Registratie_Minuut_Brevet</vt:lpstr>
      <vt:lpstr>VKBKRO!_3._Registratie_aanhangsel</vt:lpstr>
      <vt:lpstr>VKBKRO!Aard</vt:lpstr>
      <vt:lpstr>VKBKRO!Afdrukbereik</vt:lpstr>
      <vt:lpstr>VKBKRO!Datum</vt:lpstr>
      <vt:lpstr>VKBKRO!KOSTENFICHE</vt:lpstr>
      <vt:lpstr>VKBKRO!Naam</vt:lpstr>
      <vt:lpstr>VKBKRO!Rep.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2014-11-12T21:41:23Z</dcterms:modified>
</cp:coreProperties>
</file>