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LENHV" sheetId="1" r:id="rId1"/>
  </sheets>
  <definedNames>
    <definedName name="_1._Zegels_Minuut_Brevet" localSheetId="0">VKBLENHV!$A$15:$F$15</definedName>
    <definedName name="_1._Zegels_Minuut_Brevet">#REF!</definedName>
    <definedName name="_10._Tweede_getuigschrift" localSheetId="0">VKBLENHV!#REF!</definedName>
    <definedName name="_10._Tweede_getuigschrift">#REF!</definedName>
    <definedName name="_11._Kadaster_uittreksel" localSheetId="0">VKBLENHV!#REF!</definedName>
    <definedName name="_11._Kadaster_uittreksel">#REF!</definedName>
    <definedName name="_12._Getuigen" localSheetId="0">VKBLENHV!#REF!</definedName>
    <definedName name="_12._Getuigen">#REF!</definedName>
    <definedName name="_13._Allerlei_uitgaven" localSheetId="0">VKBLENHV!#REF!</definedName>
    <definedName name="_13._Allerlei_uitgaven">#REF!</definedName>
    <definedName name="_14." localSheetId="0">VKBLENHV!#REF!</definedName>
    <definedName name="_14.">#REF!</definedName>
    <definedName name="_15." localSheetId="0">VKBLENHV!#REF!</definedName>
    <definedName name="_15.">#REF!</definedName>
    <definedName name="_2._Registratie_Minuut_Brevet" localSheetId="0">VKBLENHV!$B$19:$G$19</definedName>
    <definedName name="_2._Registratie_Minuut_Brevet">#REF!</definedName>
    <definedName name="_3._Registratie_aanhangsel" localSheetId="0">VKBLENHV!$E$20:$G$20</definedName>
    <definedName name="_3._Registratie_aanhangsel">#REF!</definedName>
    <definedName name="_4.Zegels_afschrift_grosse" localSheetId="0">VKBLENHV!#REF!</definedName>
    <definedName name="_4.Zegels_afschrift_grosse">#REF!</definedName>
    <definedName name="_5._Hypotheek__inschr._overschr._doorh." localSheetId="0">VKBLENHV!#REF!</definedName>
    <definedName name="_5._Hypotheek__inschr._overschr._doorh.">#REF!</definedName>
    <definedName name="_6._Loon_pandbewaarder" localSheetId="0">VKBLENHV!#REF!</definedName>
    <definedName name="_6._Loon_pandbewaarder">#REF!</definedName>
    <definedName name="_7._Zegels__bord._aanh." localSheetId="0">VKBLENHV!#REF!</definedName>
    <definedName name="_7._Zegels__bord._aanh.">#REF!</definedName>
    <definedName name="_8._Opzoekingen" localSheetId="0">VKBLENHV!#REF!</definedName>
    <definedName name="_8._Opzoekingen">#REF!</definedName>
    <definedName name="_9._Hypothecair_getuigschrift" localSheetId="0">VKBLENHV!#REF!</definedName>
    <definedName name="_9._Hypothecair_getuigschrift">#REF!</definedName>
    <definedName name="Aard" localSheetId="0">VKBLENHV!$C$5:$F$5</definedName>
    <definedName name="Aard">#REF!</definedName>
    <definedName name="_xlnm.Print_Area" localSheetId="0">VKBLENHV!$A$1:$E$48</definedName>
    <definedName name="Datum" localSheetId="0">VKBLENHV!$B$5:$G$46</definedName>
    <definedName name="Datum">#REF!</definedName>
    <definedName name="gemeentelijke_info">#REF!</definedName>
    <definedName name="Kantoor_van_Notaris_J._SIMONART_te_Leuven" localSheetId="0">VKBLENHV!#REF!</definedName>
    <definedName name="Kantoor_van_Notaris_J._SIMONART_te_Leuven">#REF!</definedName>
    <definedName name="KOSTENFICHE" localSheetId="0">VKBLENHV!$A$1:$G$46</definedName>
    <definedName name="KOSTENFICHE">#REF!</definedName>
    <definedName name="Last_Row">IF(Values_Entered,Header_Row+Number_of_Payments,Header_Row)</definedName>
    <definedName name="Naam" localSheetId="0">VKBLENHV!$C$6:$F$6</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VKBLENHV!$F$5:$F$47</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VKBLENHV!#REF!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VKBLENHV!$A$4:$G$46</definedName>
  </definedNames>
  <calcPr calcId="152511"/>
</workbook>
</file>

<file path=xl/calcChain.xml><?xml version="1.0" encoding="utf-8"?>
<calcChain xmlns="http://schemas.openxmlformats.org/spreadsheetml/2006/main">
  <c r="D36" i="1" l="1"/>
  <c r="A111" i="1"/>
  <c r="B65" i="1"/>
  <c r="B7" i="1"/>
  <c r="C200" i="1" s="1"/>
  <c r="D17" i="1"/>
  <c r="D18" i="1"/>
  <c r="D20" i="1"/>
  <c r="D53" i="1"/>
  <c r="C61" i="1"/>
  <c r="A143" i="1" s="1"/>
  <c r="C77" i="1" s="1"/>
  <c r="F78" i="1" s="1"/>
  <c r="C69" i="1"/>
  <c r="C72" i="1"/>
  <c r="C75" i="1"/>
  <c r="B88" i="1"/>
  <c r="E124" i="1" s="1"/>
  <c r="C113" i="1"/>
  <c r="D113" i="1"/>
  <c r="C115" i="1" s="1"/>
  <c r="C95" i="1" s="1"/>
  <c r="E113" i="1"/>
  <c r="E127" i="1"/>
  <c r="G137" i="1"/>
  <c r="C139" i="1"/>
  <c r="D139" i="1"/>
  <c r="C176" i="1"/>
  <c r="F177" i="1"/>
  <c r="F178" i="1"/>
  <c r="F179" i="1"/>
  <c r="E186" i="1" s="1"/>
  <c r="F60" i="1" s="1"/>
  <c r="F180" i="1"/>
  <c r="F181" i="1"/>
  <c r="F182" i="1"/>
  <c r="F183" i="1"/>
  <c r="E197" i="1"/>
  <c r="E209" i="1"/>
  <c r="E213" i="1" s="1"/>
  <c r="D39" i="1" s="1"/>
  <c r="F209" i="1"/>
  <c r="E210" i="1"/>
  <c r="F210" i="1"/>
  <c r="E211" i="1"/>
  <c r="F211" i="1"/>
  <c r="E212" i="1"/>
  <c r="E215" i="1"/>
  <c r="E216" i="1"/>
  <c r="F216" i="1"/>
  <c r="E218" i="1"/>
  <c r="F218" i="1"/>
  <c r="B222" i="1"/>
  <c r="C222" i="1"/>
  <c r="B223" i="1"/>
  <c r="C223" i="1"/>
  <c r="F243" i="1"/>
  <c r="E217" i="1"/>
  <c r="E123" i="1"/>
  <c r="C202" i="1"/>
  <c r="E122" i="1"/>
  <c r="C127" i="1"/>
  <c r="D203" i="1"/>
  <c r="F242" i="1"/>
  <c r="F240" i="1"/>
  <c r="C203" i="1"/>
  <c r="E125" i="1"/>
  <c r="C119" i="1"/>
  <c r="F241" i="1"/>
  <c r="C201" i="1"/>
  <c r="E126" i="1"/>
  <c r="F245" i="1"/>
  <c r="F244" i="1"/>
  <c r="F239" i="1"/>
  <c r="F247" i="1" s="1"/>
  <c r="E15" i="1" s="1"/>
  <c r="D202" i="1"/>
  <c r="F217" i="1"/>
  <c r="F219" i="1" s="1"/>
  <c r="D43" i="1" s="1"/>
  <c r="B64" i="1"/>
  <c r="D172" i="1"/>
  <c r="C66" i="1" s="1"/>
  <c r="E219" i="1" l="1"/>
  <c r="D42" i="1" s="1"/>
  <c r="F212" i="1"/>
  <c r="D40" i="1" s="1"/>
  <c r="F77" i="1"/>
  <c r="F79" i="1" s="1"/>
  <c r="F61" i="1"/>
  <c r="F81" i="1" s="1"/>
  <c r="C97" i="1"/>
  <c r="F98" i="1"/>
  <c r="E24" i="1"/>
  <c r="E47" i="1"/>
  <c r="C205" i="1"/>
  <c r="C206" i="1" s="1"/>
  <c r="D16" i="1"/>
  <c r="E23" i="1" s="1"/>
  <c r="E26" i="1" s="1"/>
  <c r="E45" i="1" s="1"/>
  <c r="E203" i="1"/>
  <c r="C211" i="1" s="1"/>
  <c r="C210" i="1" s="1"/>
  <c r="E202" i="1"/>
  <c r="C209" i="1" s="1"/>
  <c r="C208" i="1" s="1"/>
  <c r="C207" i="1" s="1"/>
  <c r="C245" i="1"/>
  <c r="E121" i="1"/>
  <c r="E129" i="1" s="1"/>
  <c r="E130" i="1" s="1"/>
  <c r="F92" i="1" s="1"/>
  <c r="F97" i="1" s="1"/>
  <c r="F99" i="1" s="1"/>
  <c r="F83" i="1" l="1"/>
  <c r="F103" i="1"/>
  <c r="F101" i="1"/>
</calcChain>
</file>

<file path=xl/comments1.xml><?xml version="1.0" encoding="utf-8"?>
<comments xmlns="http://schemas.openxmlformats.org/spreadsheetml/2006/main">
  <authors>
    <author>Formados</author>
    <author>Jo Hermans</author>
  </authors>
  <commentList>
    <comment ref="A9" authorId="0" shapeId="0">
      <text>
        <r>
          <rPr>
            <sz val="9"/>
            <color indexed="81"/>
            <rFont val="Tahoma"/>
            <family val="2"/>
          </rPr>
          <t xml:space="preserve">- zuivere aankoop (geen ruil,...)
- volle eigendom van een gebouwd onroerend goed (woning of appartement in aanbouw, GEEN BOUWGROND)
- geen eigenaar van de geheelheid van een andere woning
- vestigen van een hoofdverblijfplaats in de woning (2j.) of het appartement in aanbouw (3j.) en behoud hoofdverblijf in het aangekochte goed gedurende 5 jaar </t>
        </r>
      </text>
    </comment>
    <comment ref="A11" authorId="1" shapeId="0">
      <text>
        <r>
          <rPr>
            <sz val="8"/>
            <color indexed="81"/>
            <rFont val="Tahoma"/>
            <family val="2"/>
          </rPr>
          <t>In dat geval is een vermindering van 250 euro op het ereloon voorzien voor zover het KI van de woning voldoet aan de elders geldende regels (745 euro,…) en het abattement ook van toepassing is</t>
        </r>
        <r>
          <rPr>
            <sz val="8"/>
            <color indexed="81"/>
            <rFont val="Tahoma"/>
            <family val="2"/>
          </rPr>
          <t xml:space="preserve">
</t>
        </r>
      </text>
    </comment>
  </commentList>
</comments>
</file>

<file path=xl/sharedStrings.xml><?xml version="1.0" encoding="utf-8"?>
<sst xmlns="http://schemas.openxmlformats.org/spreadsheetml/2006/main" count="178" uniqueCount="123">
  <si>
    <t>Dossier</t>
  </si>
  <si>
    <t>Cliënt</t>
  </si>
  <si>
    <t>Prijs</t>
  </si>
  <si>
    <t>Lasten:</t>
  </si>
  <si>
    <t>Basis</t>
  </si>
  <si>
    <t>Betaald voorschot</t>
  </si>
  <si>
    <t>Abattement?</t>
  </si>
  <si>
    <t>neen</t>
  </si>
  <si>
    <t xml:space="preserve">Verhoogd abattement? (RVOHR) </t>
  </si>
  <si>
    <t>Zoek het op</t>
  </si>
  <si>
    <t>ja</t>
  </si>
  <si>
    <t>------------------------------------------------------------------------------------------------</t>
  </si>
  <si>
    <t>Kosten ten laste van de koper</t>
  </si>
  <si>
    <t>Ereloon</t>
  </si>
  <si>
    <t xml:space="preserve">Registratie </t>
  </si>
  <si>
    <t>Vermindering abattement</t>
  </si>
  <si>
    <t>Verhoogd abattement</t>
  </si>
  <si>
    <t>Registratie aanhangsel</t>
  </si>
  <si>
    <t>Overschrijving (rols)</t>
  </si>
  <si>
    <t>FMA</t>
  </si>
  <si>
    <t>Aandeel basisakte of verkavelingsakte</t>
  </si>
  <si>
    <t>Totaal uitgaven voor koper:</t>
  </si>
  <si>
    <t>BTW</t>
  </si>
  <si>
    <t>Totaal koper:</t>
  </si>
  <si>
    <t>Kosten ten laste van de verkoper</t>
  </si>
  <si>
    <t>Makelaar</t>
  </si>
  <si>
    <t>Kosten ten laste van de verkoper of de koper (maak de keuze)</t>
  </si>
  <si>
    <t>Stedenbouw</t>
  </si>
  <si>
    <t>koper</t>
  </si>
  <si>
    <t>Meting</t>
  </si>
  <si>
    <t>Bodemattesten</t>
  </si>
  <si>
    <t>Andere</t>
  </si>
  <si>
    <t>Totaal bijkomende kosten koper</t>
  </si>
  <si>
    <t>Totaal bijkomende kosten verkoper:</t>
  </si>
  <si>
    <t>Algemeen totaal koper:</t>
  </si>
  <si>
    <t>Algemeen totaal verkoper:</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</si>
  <si>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</si>
  <si>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</si>
  <si>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</si>
  <si>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</si>
  <si>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</si>
  <si>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</si>
  <si>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</si>
  <si>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</si>
  <si>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</si>
  <si>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</si>
  <si>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</si>
  <si>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</si>
  <si>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</si>
  <si>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</si>
  <si>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</si>
  <si>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</si>
  <si>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</si>
  <si>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</si>
  <si>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</si>
  <si>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</si>
  <si>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</si>
  <si>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</si>
  <si>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</si>
  <si>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verkoper</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</si>
  <si>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</si>
  <si>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</si>
  <si>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</si>
  <si>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</si>
  <si>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</si>
  <si>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</si>
  <si>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</si>
  <si>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</si>
  <si>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</si>
  <si>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</si>
  <si>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</si>
  <si>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</si>
  <si>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</si>
  <si>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</si>
  <si>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</si>
  <si>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</si>
  <si>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</si>
  <si>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</si>
  <si>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</si>
  <si>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</si>
  <si>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</si>
  <si>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</si>
  <si>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</si>
  <si>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</si>
  <si>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Sociaal krediet voor minstens 50%?</t>
  </si>
  <si>
    <t>HYPOTHECAIRE LENING</t>
  </si>
  <si>
    <t>Basis registratie</t>
  </si>
  <si>
    <t>Hoofdsom</t>
  </si>
  <si>
    <t>Aanhor.</t>
  </si>
  <si>
    <t>Basis ereloon</t>
  </si>
  <si>
    <t>Lening sociaal tarief?</t>
  </si>
  <si>
    <t>Registratie Minuut-Brevet</t>
  </si>
  <si>
    <t>(BTW)</t>
  </si>
  <si>
    <t>Registratie bijlagen</t>
  </si>
  <si>
    <t>Hypotheekrecht</t>
  </si>
  <si>
    <t>Loon pandbewaarder</t>
  </si>
  <si>
    <t>Provisie hypotheken</t>
  </si>
  <si>
    <t>Recht op geschriften</t>
  </si>
  <si>
    <t>Dossierkosten</t>
  </si>
  <si>
    <t>Stedenbouwkundige info of uittreksel</t>
  </si>
  <si>
    <t>Totaal uitgaven</t>
  </si>
  <si>
    <t>Totaal</t>
  </si>
  <si>
    <t>Tot. Uitg.</t>
  </si>
  <si>
    <t>Samen</t>
  </si>
  <si>
    <t>Totaal:</t>
  </si>
  <si>
    <t>Loon hypotheekbewaarder</t>
  </si>
  <si>
    <t>Berekening ereloon hypotheekbewaarder</t>
  </si>
  <si>
    <t xml:space="preserve">tot </t>
  </si>
  <si>
    <t>per</t>
  </si>
  <si>
    <t>supplementair</t>
  </si>
  <si>
    <t>Bijlagen</t>
  </si>
  <si>
    <t>Diverse kosten</t>
  </si>
  <si>
    <t>VERKOOP ONROEREND GOED BRUSSEL MET HYPOTHECAIRE LENING EN HYPOTHECAIRE VOLMACHT</t>
  </si>
  <si>
    <t>HYPOTHECAIRE VOLMACHT KOPER</t>
  </si>
  <si>
    <t>Hoeveel hypotheekkantoren?</t>
  </si>
  <si>
    <t>Registratierecht akte</t>
  </si>
  <si>
    <t>Registratierecht bijlagen</t>
  </si>
  <si>
    <t>Tarief</t>
  </si>
  <si>
    <t>Ereloon G</t>
  </si>
  <si>
    <t>Lening</t>
  </si>
  <si>
    <t>Hypothecaire volmacht</t>
  </si>
  <si>
    <t>Inschrijving op hoeveel hypotheekkantoren?</t>
  </si>
  <si>
    <t>Boekje</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</si>
</sst>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64" formatCode="#,##0.00\ &quot;€&quot;;\-#,##0.00\ &quot;€&quot;"/>
    <numFmt numFmtId="165" formatCode="_-* #,##0.00\ &quot;€&quot;_-;\-* #,##0.00\ &quot;€&quot;_-;_-* &quot;-&quot;??\ &quot;€&quot;_-;_-@_-"/>
    <numFmt numFmtId="166" formatCode="_-* #,##0.00\ &quot;BF&quot;_-;\-* #,##0.00\ &quot;BF&quot;_-;_-* &quot;-&quot;??\ &quot;BF&quot;_-;_-@_-"/>
    <numFmt numFmtId="167" formatCode="d\ mmmm\ yyyy"/>
    <numFmt numFmtId="168" formatCode="_-* #,##0.00\ [$EUR]_-;\-* #,##0.00\ [$EUR]_-;_-* &quot;-&quot;??\ [$EUR]_-;_-@_-"/>
    <numFmt numFmtId="169" formatCode="#,##0.00\ [$EUR]"/>
    <numFmt numFmtId="170" formatCode="#,##0.00_ ;\-#,##0.00\ "/>
    <numFmt numFmtId="171" formatCode="#,##0&quot; BF&quot;;\-#,##0&quot; BF&quot;"/>
    <numFmt numFmtId="172" formatCode="0.000%"/>
    <numFmt numFmtId="173" formatCode="#.##000"/>
    <numFmt numFmtId="174" formatCode="_-* #,##0\ _F_B_-;\-* #,##0\ _F_B_-;_-* &quot;-&quot;\ _F_B_-;_-@_-"/>
    <numFmt numFmtId="175" formatCode="\$#,#00"/>
    <numFmt numFmtId="176" formatCode="_-* #,##0\ &quot;FB&quot;_-;\-* #,##0\ &quot;FB&quot;_-;_-* &quot;-&quot;\ &quot;FB&quot;_-;_-@_-"/>
    <numFmt numFmtId="177" formatCode="m\o\n\t\h\ d\,\ \y\y\y\y"/>
    <numFmt numFmtId="178" formatCode="#,#00"/>
    <numFmt numFmtId="179" formatCode="#,"/>
    <numFmt numFmtId="180" formatCode="%#,#00"/>
    <numFmt numFmtId="181" formatCode="#,##0.00\ &quot;€&quot;"/>
    <numFmt numFmtId="182" formatCode="#,##0&quot; Fr&quot;;\-#,##0&quot; Fr&quot;"/>
    <numFmt numFmtId="183" formatCode="0.0000%"/>
    <numFmt numFmtId="184" formatCode="#,##0.00\ &quot;BF&quot;;\-#,##0.00\ &quot;BF&quot;"/>
  </numFmts>
  <fonts count="18" x14ac:knownFonts="1">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b/>
      <sz val="14"/>
      <color indexed="9"/>
      <name val="Arial"/>
      <family val="2"/>
    </font>
    <font>
      <sz val="11"/>
      <color theme="1"/>
      <name val="Calibri"/>
      <family val="2"/>
      <scheme val="minor"/>
    </font>
    <font>
      <b/>
      <sz val="11"/>
      <color theme="1"/>
      <name val="Calibri"/>
      <family val="2"/>
      <scheme val="minor"/>
    </font>
  </fonts>
  <fills count="17">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9"/>
        <bgColor indexed="64"/>
      </patternFill>
    </fill>
    <fill>
      <patternFill patternType="solid">
        <fgColor indexed="12"/>
        <bgColor indexed="64"/>
      </patternFill>
    </fill>
    <fill>
      <patternFill patternType="solid">
        <fgColor indexed="53"/>
        <bgColor indexed="64"/>
      </patternFill>
    </fill>
    <fill>
      <patternFill patternType="solid">
        <fgColor indexed="26"/>
        <bgColor indexed="64"/>
      </patternFill>
    </fill>
    <fill>
      <patternFill patternType="solid">
        <fgColor theme="0"/>
        <bgColor indexed="64"/>
      </patternFill>
    </fill>
    <fill>
      <patternFill patternType="solid">
        <fgColor rgb="FFCCFFCC"/>
        <bgColor indexed="64"/>
      </patternFill>
    </fill>
    <fill>
      <patternFill patternType="solid">
        <fgColor rgb="FFFFFF99"/>
        <bgColor indexed="64"/>
      </patternFill>
    </fill>
    <fill>
      <patternFill patternType="solid">
        <fgColor rgb="FFFFFF66"/>
        <bgColor indexed="64"/>
      </patternFill>
    </fill>
    <fill>
      <patternFill patternType="solid">
        <fgColor theme="4" tint="0.79998168889431442"/>
        <bgColor indexed="64"/>
      </patternFill>
    </fill>
    <fill>
      <patternFill patternType="solid">
        <fgColor theme="9"/>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4" tint="0.59999389629810485"/>
        <bgColor indexed="64"/>
      </patternFill>
    </fill>
  </fills>
  <borders count="17">
    <border>
      <left/>
      <right/>
      <top/>
      <bottom/>
      <diagonal/>
    </border>
    <border>
      <left/>
      <right/>
      <top style="thin">
        <color indexed="64"/>
      </top>
      <bottom style="double">
        <color indexed="64"/>
      </bottom>
      <diagonal/>
    </border>
    <border>
      <left/>
      <right/>
      <top style="thin">
        <color indexed="20"/>
      </top>
      <bottom style="thin">
        <color indexed="20"/>
      </bottom>
      <diagonal/>
    </border>
    <border>
      <left style="thick">
        <color indexed="64"/>
      </left>
      <right style="thick">
        <color indexed="64"/>
      </right>
      <top style="thick">
        <color indexed="64"/>
      </top>
      <bottom style="thick">
        <color indexed="64"/>
      </bottom>
      <diagonal/>
    </border>
    <border>
      <left style="double">
        <color indexed="64"/>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ck">
        <color indexed="20"/>
      </top>
      <bottom/>
      <diagonal/>
    </border>
    <border>
      <left/>
      <right/>
      <top style="thin">
        <color theme="4"/>
      </top>
      <bottom style="double">
        <color theme="4"/>
      </bottom>
      <diagonal/>
    </border>
  </borders>
  <cellStyleXfs count="17">
    <xf numFmtId="0" fontId="0" fillId="0" borderId="0"/>
    <xf numFmtId="173" fontId="11" fillId="0" borderId="0">
      <protection locked="0"/>
    </xf>
    <xf numFmtId="174" fontId="3" fillId="0" borderId="0" applyFont="0" applyFill="0" applyBorder="0" applyAlignment="0" applyProtection="0"/>
    <xf numFmtId="175" fontId="11" fillId="0" borderId="0">
      <protection locked="0"/>
    </xf>
    <xf numFmtId="176" fontId="3" fillId="0" borderId="0" applyFont="0" applyFill="0" applyBorder="0" applyAlignment="0" applyProtection="0"/>
    <xf numFmtId="177" fontId="11" fillId="0" borderId="0">
      <protection locked="0"/>
    </xf>
    <xf numFmtId="178" fontId="11" fillId="0" borderId="0">
      <protection locked="0"/>
    </xf>
    <xf numFmtId="179" fontId="12" fillId="0" borderId="0">
      <protection locked="0"/>
    </xf>
    <xf numFmtId="179" fontId="12" fillId="0" borderId="0">
      <protection locked="0"/>
    </xf>
    <xf numFmtId="0" fontId="4" fillId="0" borderId="0" applyNumberFormat="0" applyFill="0" applyBorder="0" applyAlignment="0" applyProtection="0">
      <alignment vertical="top"/>
      <protection locked="0"/>
    </xf>
    <xf numFmtId="180" fontId="11" fillId="0" borderId="0">
      <protection locked="0"/>
    </xf>
    <xf numFmtId="0" fontId="13" fillId="0" borderId="0"/>
    <xf numFmtId="0" fontId="16" fillId="0" borderId="0"/>
    <xf numFmtId="0" fontId="3" fillId="0" borderId="0"/>
    <xf numFmtId="0" fontId="16" fillId="0" borderId="0"/>
    <xf numFmtId="179" fontId="11" fillId="0" borderId="1">
      <protection locked="0"/>
    </xf>
    <xf numFmtId="0" fontId="17" fillId="0" borderId="16" applyNumberFormat="0" applyFill="0" applyAlignment="0" applyProtection="0"/>
  </cellStyleXfs>
  <cellXfs count="140">
    <xf numFmtId="0" fontId="0" fillId="0" borderId="0" xfId="0"/>
    <xf numFmtId="0" fontId="0" fillId="2" borderId="0" xfId="0" applyFill="1" applyBorder="1" applyAlignment="1" applyProtection="1">
      <alignment horizontal="center"/>
      <protection locked="0" hidden="1"/>
    </xf>
    <xf numFmtId="167" fontId="2" fillId="2" borderId="0" xfId="0" applyNumberFormat="1" applyFont="1" applyFill="1" applyBorder="1" applyAlignment="1" applyProtection="1">
      <alignment horizontal="left"/>
      <protection locked="0" hidden="1"/>
    </xf>
    <xf numFmtId="168" fontId="3" fillId="3" borderId="0" xfId="0" applyNumberFormat="1" applyFont="1" applyFill="1" applyBorder="1" applyAlignment="1" applyProtection="1">
      <protection locked="0" hidden="1"/>
    </xf>
    <xf numFmtId="0" fontId="0" fillId="4" borderId="0" xfId="0" applyFill="1" applyProtection="1">
      <protection hidden="1"/>
    </xf>
    <xf numFmtId="0" fontId="2" fillId="4" borderId="0" xfId="0" applyFont="1" applyFill="1" applyBorder="1" applyAlignment="1" applyProtection="1">
      <alignment horizontal="left"/>
      <protection hidden="1"/>
    </xf>
    <xf numFmtId="166" fontId="0" fillId="4" borderId="0" xfId="0" applyNumberFormat="1" applyFill="1" applyBorder="1" applyAlignment="1" applyProtection="1">
      <protection hidden="1"/>
    </xf>
    <xf numFmtId="0" fontId="0" fillId="4" borderId="0" xfId="0" applyFill="1" applyBorder="1" applyAlignment="1" applyProtection="1">
      <alignment horizontal="left"/>
      <protection locked="0" hidden="1"/>
    </xf>
    <xf numFmtId="0" fontId="0" fillId="4" borderId="0" xfId="0" applyFill="1" applyBorder="1" applyAlignment="1" applyProtection="1">
      <alignment horizontal="left"/>
      <protection hidden="1"/>
    </xf>
    <xf numFmtId="0" fontId="0" fillId="4" borderId="0" xfId="0" applyNumberFormat="1" applyFill="1" applyBorder="1" applyAlignment="1" applyProtection="1">
      <protection hidden="1"/>
    </xf>
    <xf numFmtId="166" fontId="3" fillId="4" borderId="2" xfId="0" applyNumberFormat="1" applyFont="1" applyFill="1" applyBorder="1" applyAlignment="1" applyProtection="1">
      <alignment horizontal="left"/>
      <protection hidden="1"/>
    </xf>
    <xf numFmtId="168" fontId="0" fillId="4" borderId="0" xfId="0" applyNumberFormat="1" applyFill="1" applyBorder="1" applyAlignment="1" applyProtection="1">
      <protection hidden="1"/>
    </xf>
    <xf numFmtId="0" fontId="3" fillId="4" borderId="0" xfId="0" applyFont="1" applyFill="1" applyBorder="1" applyAlignment="1" applyProtection="1">
      <alignment horizontal="left"/>
      <protection hidden="1"/>
    </xf>
    <xf numFmtId="166" fontId="3" fillId="4" borderId="0" xfId="0" applyNumberFormat="1" applyFont="1" applyFill="1" applyBorder="1" applyAlignment="1" applyProtection="1">
      <protection hidden="1"/>
    </xf>
    <xf numFmtId="0" fontId="4" fillId="4" borderId="0" xfId="9" applyFill="1" applyBorder="1" applyAlignment="1" applyProtection="1">
      <alignment horizontal="left"/>
      <protection hidden="1"/>
    </xf>
    <xf numFmtId="0" fontId="3" fillId="4" borderId="0" xfId="13" applyFont="1" applyFill="1" applyBorder="1" applyAlignment="1" applyProtection="1">
      <alignment horizontal="left"/>
      <protection hidden="1"/>
    </xf>
    <xf numFmtId="0" fontId="2" fillId="4" borderId="0" xfId="13" applyFont="1" applyFill="1" applyBorder="1" applyAlignment="1" applyProtection="1">
      <alignment horizontal="left"/>
      <protection hidden="1"/>
    </xf>
    <xf numFmtId="0" fontId="2" fillId="4" borderId="0" xfId="0" quotePrefix="1" applyFont="1" applyFill="1" applyBorder="1" applyAlignment="1" applyProtection="1">
      <alignment horizontal="left"/>
      <protection hidden="1"/>
    </xf>
    <xf numFmtId="0" fontId="2" fillId="4" borderId="3" xfId="0" applyFont="1" applyFill="1" applyBorder="1" applyAlignment="1" applyProtection="1">
      <alignment horizontal="left"/>
      <protection hidden="1"/>
    </xf>
    <xf numFmtId="166" fontId="3" fillId="4" borderId="4" xfId="0" applyNumberFormat="1" applyFont="1" applyFill="1" applyBorder="1" applyAlignment="1" applyProtection="1">
      <alignment horizontal="left"/>
      <protection hidden="1"/>
    </xf>
    <xf numFmtId="168" fontId="0" fillId="4" borderId="0" xfId="0" applyNumberFormat="1" applyFill="1" applyBorder="1" applyAlignment="1" applyProtection="1">
      <alignment horizontal="left"/>
      <protection hidden="1"/>
    </xf>
    <xf numFmtId="0" fontId="3" fillId="4" borderId="4" xfId="0" applyFont="1" applyFill="1" applyBorder="1" applyAlignment="1" applyProtection="1">
      <alignment horizontal="left"/>
      <protection hidden="1"/>
    </xf>
    <xf numFmtId="0" fontId="3" fillId="4" borderId="4" xfId="0" applyFont="1" applyFill="1" applyBorder="1" applyProtection="1">
      <protection hidden="1"/>
    </xf>
    <xf numFmtId="0" fontId="0" fillId="4" borderId="0" xfId="0" applyFill="1" applyBorder="1" applyProtection="1">
      <protection hidden="1"/>
    </xf>
    <xf numFmtId="0" fontId="3" fillId="4" borderId="0" xfId="0" applyFont="1" applyFill="1" applyBorder="1" applyProtection="1">
      <protection hidden="1"/>
    </xf>
    <xf numFmtId="168" fontId="0" fillId="4" borderId="0" xfId="0" applyNumberFormat="1" applyFill="1" applyBorder="1" applyProtection="1">
      <protection hidden="1"/>
    </xf>
    <xf numFmtId="0" fontId="3" fillId="4" borderId="0" xfId="0" applyFont="1" applyFill="1" applyProtection="1">
      <protection hidden="1"/>
    </xf>
    <xf numFmtId="168" fontId="0" fillId="4" borderId="0" xfId="0" applyNumberFormat="1" applyFill="1" applyProtection="1">
      <protection hidden="1"/>
    </xf>
    <xf numFmtId="0" fontId="2" fillId="4" borderId="5" xfId="0" applyFont="1" applyFill="1" applyBorder="1" applyAlignment="1" applyProtection="1">
      <alignment horizontal="left"/>
      <protection hidden="1"/>
    </xf>
    <xf numFmtId="0" fontId="0" fillId="4" borderId="6" xfId="0" applyFill="1" applyBorder="1" applyAlignment="1" applyProtection="1">
      <alignment horizontal="left"/>
      <protection hidden="1"/>
    </xf>
    <xf numFmtId="0" fontId="0" fillId="4" borderId="7" xfId="0" applyFill="1" applyBorder="1" applyAlignment="1" applyProtection="1">
      <alignment horizontal="left"/>
      <protection hidden="1"/>
    </xf>
    <xf numFmtId="0" fontId="0" fillId="4" borderId="8" xfId="0" applyFill="1" applyBorder="1" applyAlignment="1" applyProtection="1">
      <alignment horizontal="left"/>
      <protection hidden="1"/>
    </xf>
    <xf numFmtId="0" fontId="0" fillId="4" borderId="9" xfId="0" applyFill="1" applyBorder="1" applyAlignment="1" applyProtection="1">
      <alignment horizontal="left"/>
      <protection hidden="1"/>
    </xf>
    <xf numFmtId="166" fontId="0" fillId="4" borderId="8" xfId="0" applyNumberFormat="1" applyFill="1" applyBorder="1" applyAlignment="1" applyProtection="1">
      <protection hidden="1"/>
    </xf>
    <xf numFmtId="3" fontId="4" fillId="4" borderId="0" xfId="9" applyNumberFormat="1" applyFill="1" applyAlignment="1" applyProtection="1">
      <protection hidden="1"/>
    </xf>
    <xf numFmtId="3" fontId="3" fillId="4" borderId="0" xfId="0" applyNumberFormat="1" applyFont="1" applyFill="1" applyProtection="1">
      <protection hidden="1"/>
    </xf>
    <xf numFmtId="168" fontId="3" fillId="4" borderId="0" xfId="0" applyNumberFormat="1" applyFont="1" applyFill="1" applyProtection="1">
      <protection hidden="1"/>
    </xf>
    <xf numFmtId="0" fontId="5" fillId="4" borderId="0" xfId="0" applyFont="1" applyFill="1" applyProtection="1">
      <protection hidden="1"/>
    </xf>
    <xf numFmtId="170" fontId="0" fillId="4" borderId="0" xfId="0" applyNumberFormat="1" applyFill="1" applyBorder="1" applyAlignment="1" applyProtection="1">
      <alignment horizontal="right"/>
      <protection hidden="1"/>
    </xf>
    <xf numFmtId="0" fontId="6" fillId="4" borderId="0" xfId="0" applyFont="1" applyFill="1" applyProtection="1">
      <protection hidden="1"/>
    </xf>
    <xf numFmtId="3" fontId="3" fillId="4" borderId="0" xfId="0" quotePrefix="1" applyNumberFormat="1" applyFont="1" applyFill="1" applyAlignment="1" applyProtection="1">
      <alignment horizontal="left"/>
      <protection hidden="1"/>
    </xf>
    <xf numFmtId="3" fontId="3" fillId="4" borderId="10" xfId="0" applyNumberFormat="1" applyFont="1" applyFill="1" applyBorder="1" applyProtection="1">
      <protection hidden="1"/>
    </xf>
    <xf numFmtId="171" fontId="7" fillId="4" borderId="11" xfId="0" applyNumberFormat="1" applyFont="1" applyFill="1" applyBorder="1" applyAlignment="1" applyProtection="1">
      <alignment horizontal="center"/>
      <protection hidden="1"/>
    </xf>
    <xf numFmtId="0" fontId="7" fillId="4" borderId="11" xfId="0" applyFont="1" applyFill="1" applyBorder="1" applyAlignment="1" applyProtection="1">
      <alignment horizontal="center"/>
      <protection hidden="1"/>
    </xf>
    <xf numFmtId="0" fontId="7" fillId="4" borderId="12" xfId="0" applyFont="1" applyFill="1" applyBorder="1" applyAlignment="1" applyProtection="1">
      <alignment horizontal="center"/>
      <protection hidden="1"/>
    </xf>
    <xf numFmtId="169" fontId="8" fillId="4" borderId="11" xfId="0" applyNumberFormat="1" applyFont="1" applyFill="1" applyBorder="1" applyProtection="1">
      <protection hidden="1"/>
    </xf>
    <xf numFmtId="171" fontId="8" fillId="4" borderId="11" xfId="0" applyNumberFormat="1" applyFont="1" applyFill="1" applyBorder="1" applyProtection="1">
      <protection hidden="1"/>
    </xf>
    <xf numFmtId="172" fontId="8" fillId="4" borderId="11" xfId="0" applyNumberFormat="1" applyFont="1" applyFill="1" applyBorder="1" applyProtection="1">
      <protection hidden="1"/>
    </xf>
    <xf numFmtId="172" fontId="8" fillId="4" borderId="12" xfId="0" applyNumberFormat="1" applyFont="1" applyFill="1" applyBorder="1" applyProtection="1">
      <protection hidden="1"/>
    </xf>
    <xf numFmtId="0" fontId="8" fillId="4" borderId="13" xfId="0" applyFont="1" applyFill="1" applyBorder="1" applyProtection="1">
      <protection hidden="1"/>
    </xf>
    <xf numFmtId="0" fontId="8" fillId="4" borderId="0" xfId="0" applyFont="1" applyFill="1" applyBorder="1" applyProtection="1">
      <protection hidden="1"/>
    </xf>
    <xf numFmtId="0" fontId="9" fillId="4" borderId="14" xfId="0" applyFont="1" applyFill="1" applyBorder="1" applyProtection="1">
      <protection hidden="1"/>
    </xf>
    <xf numFmtId="0" fontId="8" fillId="4" borderId="0" xfId="0" applyFont="1" applyFill="1" applyProtection="1">
      <protection hidden="1"/>
    </xf>
    <xf numFmtId="171" fontId="7" fillId="4" borderId="0" xfId="0" applyNumberFormat="1" applyFont="1" applyFill="1" applyBorder="1" applyAlignment="1" applyProtection="1">
      <alignment horizontal="center"/>
      <protection hidden="1"/>
    </xf>
    <xf numFmtId="0" fontId="8" fillId="4" borderId="14" xfId="0" applyFont="1" applyFill="1" applyBorder="1" applyProtection="1">
      <protection hidden="1"/>
    </xf>
    <xf numFmtId="169" fontId="7" fillId="4" borderId="11" xfId="0" applyNumberFormat="1" applyFont="1" applyFill="1" applyBorder="1" applyProtection="1">
      <protection hidden="1"/>
    </xf>
    <xf numFmtId="0" fontId="2" fillId="5" borderId="15" xfId="0" applyFont="1" applyFill="1" applyBorder="1" applyAlignment="1" applyProtection="1">
      <alignment horizontal="left"/>
      <protection hidden="1"/>
    </xf>
    <xf numFmtId="0" fontId="0" fillId="5" borderId="15" xfId="0" applyNumberFormat="1" applyFill="1" applyBorder="1" applyAlignment="1" applyProtection="1">
      <protection hidden="1"/>
    </xf>
    <xf numFmtId="0" fontId="15" fillId="5" borderId="15" xfId="0" applyFont="1" applyFill="1" applyBorder="1" applyAlignment="1" applyProtection="1">
      <alignment horizontal="left" vertical="center"/>
      <protection hidden="1"/>
    </xf>
    <xf numFmtId="0" fontId="0" fillId="2" borderId="0" xfId="0" applyFill="1" applyAlignment="1" applyProtection="1">
      <alignment horizontal="center"/>
      <protection locked="0" hidden="1"/>
    </xf>
    <xf numFmtId="0" fontId="3" fillId="2" borderId="0" xfId="13" applyFont="1" applyFill="1" applyBorder="1" applyAlignment="1" applyProtection="1">
      <alignment horizontal="center"/>
      <protection locked="0" hidden="1"/>
    </xf>
    <xf numFmtId="164" fontId="0" fillId="2" borderId="0" xfId="0" applyNumberFormat="1" applyFill="1" applyBorder="1" applyAlignment="1" applyProtection="1">
      <protection locked="0" hidden="1"/>
    </xf>
    <xf numFmtId="181" fontId="0" fillId="4" borderId="4" xfId="0" applyNumberFormat="1" applyFill="1" applyBorder="1" applyProtection="1">
      <protection hidden="1"/>
    </xf>
    <xf numFmtId="181" fontId="0" fillId="4" borderId="0" xfId="0" applyNumberFormat="1" applyFill="1" applyBorder="1" applyAlignment="1" applyProtection="1">
      <protection hidden="1"/>
    </xf>
    <xf numFmtId="181" fontId="0" fillId="4" borderId="0" xfId="0" applyNumberFormat="1" applyFill="1" applyBorder="1" applyProtection="1">
      <protection hidden="1"/>
    </xf>
    <xf numFmtId="181" fontId="0" fillId="4" borderId="4" xfId="0" applyNumberFormat="1" applyFill="1" applyBorder="1" applyAlignment="1" applyProtection="1">
      <alignment horizontal="right"/>
      <protection hidden="1"/>
    </xf>
    <xf numFmtId="164" fontId="0" fillId="4" borderId="0" xfId="0" applyNumberFormat="1" applyFill="1" applyBorder="1" applyAlignment="1" applyProtection="1">
      <alignment horizontal="right"/>
      <protection hidden="1"/>
    </xf>
    <xf numFmtId="164" fontId="0" fillId="4" borderId="0" xfId="0" applyNumberFormat="1" applyFill="1" applyBorder="1" applyAlignment="1" applyProtection="1">
      <protection hidden="1"/>
    </xf>
    <xf numFmtId="0" fontId="15" fillId="5" borderId="0" xfId="13" applyFont="1" applyFill="1" applyBorder="1" applyAlignment="1" applyProtection="1">
      <alignment horizontal="left" vertical="center"/>
      <protection hidden="1"/>
    </xf>
    <xf numFmtId="0" fontId="3" fillId="4" borderId="0" xfId="13" applyFill="1" applyBorder="1" applyAlignment="1" applyProtection="1">
      <alignment horizontal="left"/>
      <protection hidden="1"/>
    </xf>
    <xf numFmtId="0" fontId="1" fillId="4" borderId="0" xfId="13" applyFont="1" applyFill="1" applyBorder="1" applyAlignment="1" applyProtection="1">
      <alignment horizontal="left"/>
      <protection hidden="1"/>
    </xf>
    <xf numFmtId="0" fontId="3" fillId="4" borderId="0" xfId="13" applyFill="1"/>
    <xf numFmtId="165" fontId="3" fillId="2" borderId="0" xfId="13" applyNumberFormat="1" applyFill="1" applyBorder="1" applyAlignment="1" applyProtection="1">
      <alignment horizontal="left"/>
      <protection hidden="1"/>
    </xf>
    <xf numFmtId="165" fontId="3" fillId="4" borderId="0" xfId="13" applyNumberFormat="1" applyFill="1" applyBorder="1" applyAlignment="1" applyProtection="1">
      <alignment horizontal="left"/>
      <protection hidden="1"/>
    </xf>
    <xf numFmtId="165" fontId="3" fillId="6" borderId="0" xfId="13" applyNumberFormat="1" applyFill="1" applyBorder="1" applyAlignment="1" applyProtection="1">
      <alignment horizontal="left"/>
      <protection hidden="1"/>
    </xf>
    <xf numFmtId="3" fontId="1" fillId="4" borderId="0" xfId="13" applyNumberFormat="1" applyFont="1" applyFill="1"/>
    <xf numFmtId="166" fontId="0" fillId="5" borderId="15" xfId="0" applyNumberFormat="1" applyFill="1" applyBorder="1" applyAlignment="1" applyProtection="1">
      <protection hidden="1"/>
    </xf>
    <xf numFmtId="0" fontId="0" fillId="5" borderId="0" xfId="0" applyFill="1" applyProtection="1">
      <protection hidden="1"/>
    </xf>
    <xf numFmtId="0" fontId="15" fillId="5" borderId="0" xfId="13" applyFont="1" applyFill="1" applyBorder="1" applyAlignment="1" applyProtection="1">
      <alignment vertical="center"/>
      <protection hidden="1"/>
    </xf>
    <xf numFmtId="0" fontId="3" fillId="5" borderId="0" xfId="13" applyFill="1" applyBorder="1" applyProtection="1">
      <protection hidden="1"/>
    </xf>
    <xf numFmtId="0" fontId="3" fillId="4" borderId="0" xfId="13" applyFill="1" applyBorder="1" applyProtection="1">
      <protection hidden="1"/>
    </xf>
    <xf numFmtId="166" fontId="3" fillId="4" borderId="0" xfId="13" applyNumberFormat="1" applyFill="1" applyBorder="1" applyAlignment="1" applyProtection="1">
      <protection hidden="1"/>
    </xf>
    <xf numFmtId="0" fontId="3" fillId="4" borderId="0" xfId="13" applyFill="1" applyBorder="1"/>
    <xf numFmtId="164" fontId="3" fillId="4" borderId="0" xfId="13" applyNumberFormat="1" applyFill="1" applyBorder="1" applyAlignment="1" applyProtection="1">
      <protection hidden="1"/>
    </xf>
    <xf numFmtId="0" fontId="2" fillId="4" borderId="0" xfId="13" quotePrefix="1" applyFont="1" applyFill="1" applyBorder="1" applyAlignment="1" applyProtection="1">
      <alignment horizontal="left"/>
      <protection hidden="1"/>
    </xf>
    <xf numFmtId="164" fontId="3" fillId="4" borderId="0" xfId="13" applyNumberFormat="1" applyFill="1" applyBorder="1" applyAlignment="1" applyProtection="1">
      <alignment horizontal="right"/>
      <protection hidden="1"/>
    </xf>
    <xf numFmtId="164" fontId="3" fillId="4" borderId="0" xfId="13" applyNumberFormat="1" applyFill="1" applyBorder="1" applyProtection="1">
      <protection hidden="1"/>
    </xf>
    <xf numFmtId="0" fontId="1" fillId="4" borderId="0" xfId="13" applyFont="1" applyFill="1" applyBorder="1" applyProtection="1">
      <protection hidden="1"/>
    </xf>
    <xf numFmtId="0" fontId="2" fillId="4" borderId="0" xfId="13" applyFont="1" applyFill="1" applyBorder="1" applyProtection="1">
      <protection hidden="1"/>
    </xf>
    <xf numFmtId="164" fontId="3" fillId="6" borderId="0" xfId="13" applyNumberFormat="1" applyFill="1" applyBorder="1" applyProtection="1">
      <protection hidden="1"/>
    </xf>
    <xf numFmtId="0" fontId="7" fillId="4" borderId="11" xfId="13" applyFont="1" applyFill="1" applyBorder="1" applyAlignment="1" applyProtection="1">
      <alignment horizontal="left"/>
      <protection hidden="1"/>
    </xf>
    <xf numFmtId="182" fontId="8" fillId="4" borderId="11" xfId="13" applyNumberFormat="1" applyFont="1" applyFill="1" applyBorder="1" applyProtection="1">
      <protection hidden="1"/>
    </xf>
    <xf numFmtId="171" fontId="8" fillId="4" borderId="0" xfId="13" applyNumberFormat="1" applyFont="1" applyFill="1" applyProtection="1">
      <protection hidden="1"/>
    </xf>
    <xf numFmtId="0" fontId="8" fillId="4" borderId="0" xfId="13" applyFont="1" applyFill="1" applyProtection="1">
      <protection hidden="1"/>
    </xf>
    <xf numFmtId="171" fontId="7" fillId="4" borderId="11" xfId="13" applyNumberFormat="1" applyFont="1" applyFill="1" applyBorder="1" applyAlignment="1" applyProtection="1">
      <alignment horizontal="center"/>
      <protection hidden="1"/>
    </xf>
    <xf numFmtId="0" fontId="7" fillId="4" borderId="11" xfId="13" applyFont="1" applyFill="1" applyBorder="1" applyAlignment="1" applyProtection="1">
      <alignment horizontal="center"/>
      <protection hidden="1"/>
    </xf>
    <xf numFmtId="172" fontId="8" fillId="4" borderId="11" xfId="13" applyNumberFormat="1" applyFont="1" applyFill="1" applyBorder="1" applyProtection="1">
      <protection hidden="1"/>
    </xf>
    <xf numFmtId="183" fontId="8" fillId="4" borderId="11" xfId="13" applyNumberFormat="1" applyFont="1" applyFill="1" applyBorder="1" applyProtection="1">
      <protection hidden="1"/>
    </xf>
    <xf numFmtId="171" fontId="7" fillId="4" borderId="0" xfId="13" applyNumberFormat="1" applyFont="1" applyFill="1" applyBorder="1" applyAlignment="1" applyProtection="1">
      <alignment horizontal="center"/>
      <protection hidden="1"/>
    </xf>
    <xf numFmtId="182" fontId="7" fillId="4" borderId="11" xfId="13" applyNumberFormat="1" applyFont="1" applyFill="1" applyBorder="1" applyProtection="1">
      <protection hidden="1"/>
    </xf>
    <xf numFmtId="0" fontId="3" fillId="4" borderId="0" xfId="13" applyFill="1" applyProtection="1">
      <protection hidden="1"/>
    </xf>
    <xf numFmtId="184" fontId="3" fillId="4" borderId="0" xfId="13" applyNumberFormat="1" applyFill="1" applyProtection="1">
      <protection hidden="1"/>
    </xf>
    <xf numFmtId="0" fontId="0" fillId="3" borderId="0" xfId="0" applyFill="1" applyBorder="1" applyAlignment="1" applyProtection="1">
      <alignment horizontal="center"/>
      <protection locked="0" hidden="1"/>
    </xf>
    <xf numFmtId="0" fontId="1" fillId="8" borderId="0" xfId="0" applyFont="1" applyFill="1" applyBorder="1" applyAlignment="1" applyProtection="1">
      <alignment horizontal="left"/>
      <protection hidden="1"/>
    </xf>
    <xf numFmtId="0" fontId="2" fillId="8" borderId="0" xfId="0" applyFont="1" applyFill="1" applyBorder="1" applyAlignment="1" applyProtection="1">
      <alignment horizontal="left"/>
      <protection hidden="1"/>
    </xf>
    <xf numFmtId="0" fontId="0" fillId="8" borderId="0" xfId="0" applyFill="1" applyProtection="1">
      <protection hidden="1"/>
    </xf>
    <xf numFmtId="0" fontId="15" fillId="8" borderId="0" xfId="0" applyFont="1" applyFill="1" applyBorder="1" applyAlignment="1" applyProtection="1">
      <alignment horizontal="left" vertical="center"/>
      <protection hidden="1"/>
    </xf>
    <xf numFmtId="0" fontId="0" fillId="8" borderId="0" xfId="0" applyNumberFormat="1" applyFill="1" applyBorder="1" applyAlignment="1" applyProtection="1">
      <protection hidden="1"/>
    </xf>
    <xf numFmtId="166" fontId="0" fillId="8" borderId="0" xfId="0" applyNumberFormat="1" applyFill="1" applyBorder="1" applyAlignment="1" applyProtection="1">
      <protection hidden="1"/>
    </xf>
    <xf numFmtId="0" fontId="0" fillId="9" borderId="0" xfId="0" applyFill="1" applyBorder="1" applyAlignment="1" applyProtection="1">
      <alignment horizontal="left"/>
      <protection locked="0" hidden="1"/>
    </xf>
    <xf numFmtId="0" fontId="0" fillId="9" borderId="0" xfId="0" applyFill="1" applyBorder="1" applyAlignment="1" applyProtection="1">
      <alignment horizontal="left"/>
      <protection hidden="1"/>
    </xf>
    <xf numFmtId="164" fontId="0" fillId="10" borderId="0" xfId="0" applyNumberFormat="1" applyFill="1" applyBorder="1" applyAlignment="1" applyProtection="1">
      <protection locked="0" hidden="1"/>
    </xf>
    <xf numFmtId="164" fontId="0" fillId="11" borderId="2" xfId="0" applyNumberFormat="1" applyFill="1" applyBorder="1" applyAlignment="1" applyProtection="1">
      <protection hidden="1"/>
    </xf>
    <xf numFmtId="164" fontId="0" fillId="10" borderId="0" xfId="0" applyNumberFormat="1" applyFill="1" applyBorder="1" applyAlignment="1" applyProtection="1">
      <alignment horizontal="right"/>
      <protection locked="0" hidden="1"/>
    </xf>
    <xf numFmtId="0" fontId="0" fillId="10" borderId="0" xfId="0" applyFill="1" applyBorder="1" applyAlignment="1" applyProtection="1">
      <alignment horizontal="center"/>
      <protection locked="0" hidden="1"/>
    </xf>
    <xf numFmtId="164" fontId="0" fillId="12" borderId="0" xfId="0" applyNumberFormat="1" applyFill="1" applyBorder="1" applyAlignment="1" applyProtection="1">
      <alignment horizontal="right"/>
      <protection locked="0" hidden="1"/>
    </xf>
    <xf numFmtId="0" fontId="2" fillId="13" borderId="3" xfId="0" applyFont="1" applyFill="1" applyBorder="1" applyAlignment="1" applyProtection="1">
      <alignment horizontal="left"/>
      <protection hidden="1"/>
    </xf>
    <xf numFmtId="181" fontId="0" fillId="14" borderId="4" xfId="0" applyNumberFormat="1" applyFill="1" applyBorder="1" applyProtection="1">
      <protection hidden="1"/>
    </xf>
    <xf numFmtId="0" fontId="2" fillId="15" borderId="3" xfId="0" applyFont="1" applyFill="1" applyBorder="1" applyAlignment="1" applyProtection="1">
      <alignment horizontal="left"/>
      <protection hidden="1"/>
    </xf>
    <xf numFmtId="164" fontId="0" fillId="16" borderId="0" xfId="0" applyNumberFormat="1" applyFill="1" applyBorder="1" applyAlignment="1" applyProtection="1">
      <alignment horizontal="right"/>
      <protection locked="0" hidden="1"/>
    </xf>
    <xf numFmtId="164" fontId="0" fillId="10" borderId="0" xfId="0" applyNumberFormat="1" applyFill="1" applyBorder="1" applyAlignment="1" applyProtection="1">
      <alignment horizontal="right"/>
      <protection hidden="1"/>
    </xf>
    <xf numFmtId="0" fontId="3" fillId="14" borderId="4" xfId="0" applyFont="1" applyFill="1" applyBorder="1" applyAlignment="1" applyProtection="1">
      <alignment horizontal="left"/>
      <protection hidden="1"/>
    </xf>
    <xf numFmtId="164" fontId="0" fillId="14" borderId="4" xfId="0" applyNumberFormat="1" applyFill="1" applyBorder="1" applyAlignment="1" applyProtection="1">
      <alignment horizontal="right"/>
      <protection hidden="1"/>
    </xf>
    <xf numFmtId="0" fontId="3" fillId="15" borderId="4" xfId="0" applyFont="1" applyFill="1" applyBorder="1" applyAlignment="1" applyProtection="1">
      <alignment horizontal="left"/>
      <protection hidden="1"/>
    </xf>
    <xf numFmtId="164" fontId="0" fillId="15" borderId="4" xfId="0" applyNumberFormat="1" applyFill="1" applyBorder="1" applyAlignment="1" applyProtection="1">
      <alignment horizontal="right"/>
      <protection hidden="1"/>
    </xf>
    <xf numFmtId="164" fontId="2" fillId="13" borderId="3" xfId="0" applyNumberFormat="1" applyFont="1" applyFill="1" applyBorder="1" applyAlignment="1" applyProtection="1">
      <protection hidden="1"/>
    </xf>
    <xf numFmtId="164" fontId="2" fillId="15" borderId="3" xfId="0" applyNumberFormat="1" applyFont="1" applyFill="1" applyBorder="1" applyAlignment="1" applyProtection="1">
      <protection hidden="1"/>
    </xf>
    <xf numFmtId="165" fontId="3" fillId="8" borderId="0" xfId="13" applyNumberFormat="1" applyFill="1" applyBorder="1" applyAlignment="1" applyProtection="1">
      <alignment horizontal="left"/>
      <protection hidden="1"/>
    </xf>
    <xf numFmtId="164" fontId="3" fillId="11" borderId="0" xfId="13" applyNumberFormat="1" applyFill="1" applyBorder="1" applyAlignment="1" applyProtection="1">
      <protection hidden="1"/>
    </xf>
    <xf numFmtId="164" fontId="3" fillId="8" borderId="0" xfId="13" applyNumberFormat="1" applyFill="1" applyBorder="1" applyAlignment="1" applyProtection="1">
      <alignment horizontal="right"/>
      <protection hidden="1"/>
    </xf>
    <xf numFmtId="164" fontId="3" fillId="8" borderId="0" xfId="13" applyNumberFormat="1" applyFill="1" applyBorder="1" applyAlignment="1" applyProtection="1">
      <protection hidden="1"/>
    </xf>
    <xf numFmtId="164" fontId="3" fillId="8" borderId="0" xfId="13" applyNumberFormat="1" applyFill="1" applyBorder="1" applyProtection="1">
      <protection hidden="1"/>
    </xf>
    <xf numFmtId="164" fontId="1" fillId="8" borderId="0" xfId="13" applyNumberFormat="1" applyFont="1" applyFill="1" applyBorder="1" applyProtection="1">
      <protection hidden="1"/>
    </xf>
    <xf numFmtId="165" fontId="3" fillId="7" borderId="0" xfId="13" applyNumberFormat="1" applyFill="1" applyBorder="1" applyAlignment="1" applyProtection="1">
      <alignment horizontal="left"/>
      <protection locked="0"/>
    </xf>
    <xf numFmtId="165" fontId="3" fillId="2" borderId="0" xfId="13" applyNumberFormat="1" applyFill="1" applyBorder="1" applyAlignment="1" applyProtection="1">
      <alignment horizontal="left"/>
      <protection locked="0"/>
    </xf>
    <xf numFmtId="0" fontId="1" fillId="7" borderId="0" xfId="13" applyFont="1" applyFill="1" applyBorder="1" applyAlignment="1" applyProtection="1">
      <alignment horizontal="center"/>
      <protection locked="0"/>
    </xf>
    <xf numFmtId="164" fontId="3" fillId="2" borderId="0" xfId="13" applyNumberFormat="1" applyFill="1" applyBorder="1" applyAlignment="1" applyProtection="1">
      <protection locked="0"/>
    </xf>
    <xf numFmtId="1" fontId="3" fillId="2" borderId="0" xfId="13" applyNumberFormat="1" applyFill="1" applyBorder="1" applyAlignment="1" applyProtection="1">
      <alignment horizontal="center"/>
      <protection locked="0"/>
    </xf>
    <xf numFmtId="164" fontId="3" fillId="2" borderId="0" xfId="13" applyNumberFormat="1" applyFill="1" applyBorder="1" applyAlignment="1" applyProtection="1">
      <alignment horizontal="right"/>
      <protection locked="0"/>
    </xf>
    <xf numFmtId="0" fontId="0" fillId="8" borderId="0" xfId="0" applyFill="1" applyBorder="1" applyAlignment="1" applyProtection="1">
      <alignment horizontal="center"/>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KBLENHVAK.xlsx" TargetMode="External"/><Relationship Id="rId7" Type="http://schemas.openxmlformats.org/officeDocument/2006/relationships/printerSettings" Target="../printerSettings/printerSettings1.bin"/><Relationship Id="rId2" Type="http://schemas.openxmlformats.org/officeDocument/2006/relationships/hyperlink" Target="VKBLENHVAV.xlsx" TargetMode="External"/><Relationship Id="rId1" Type="http://schemas.openxmlformats.org/officeDocument/2006/relationships/hyperlink" Target="http://www.huisvesting.irisnet.be/nl/premies-en-steunmaatregelen/zoek-uw-perimeter?set_language=nl" TargetMode="External"/><Relationship Id="rId6" Type="http://schemas.openxmlformats.org/officeDocument/2006/relationships/hyperlink" Target="Boekje.xlsx" TargetMode="External"/><Relationship Id="rId5" Type="http://schemas.openxmlformats.org/officeDocument/2006/relationships/hyperlink" Target="VKBLENHVDV.xlsx" TargetMode="External"/><Relationship Id="rId4" Type="http://schemas.openxmlformats.org/officeDocument/2006/relationships/hyperlink" Target="VKBLENHVDAC.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249"/>
  <sheetViews>
    <sheetView tabSelected="1" topLeftCell="A3" zoomScaleNormal="100" workbookViewId="0">
      <selection activeCell="B3" sqref="B3"/>
    </sheetView>
  </sheetViews>
  <sheetFormatPr defaultRowHeight="12.75" x14ac:dyDescent="0.2"/>
  <cols>
    <col min="1" max="1" width="35.42578125" style="4" customWidth="1"/>
    <col min="2" max="2" width="15" style="4" customWidth="1"/>
    <col min="3" max="3" width="19.5703125" style="4" bestFit="1" customWidth="1"/>
    <col min="4" max="4" width="15.42578125" style="4" customWidth="1"/>
    <col min="5" max="5" width="16.7109375" style="4" customWidth="1"/>
    <col min="6" max="6" width="12.28515625" style="4" customWidth="1"/>
    <col min="7" max="7" width="15.85546875" style="4" bestFit="1" customWidth="1"/>
    <col min="8" max="16" width="9.140625" style="4"/>
    <col min="17" max="17" width="12.140625" style="4" bestFit="1" customWidth="1"/>
    <col min="18" max="16384" width="9.140625" style="4"/>
  </cols>
  <sheetData>
    <row r="1" spans="1:8" ht="25.5" customHeight="1" thickTop="1" x14ac:dyDescent="0.2">
      <c r="A1" s="58" t="s">
        <v>112</v>
      </c>
      <c r="B1" s="56"/>
      <c r="C1" s="56"/>
      <c r="D1" s="56"/>
      <c r="E1" s="57"/>
      <c r="F1" s="76"/>
      <c r="G1" s="76"/>
      <c r="H1" s="77"/>
    </row>
    <row r="2" spans="1:8" s="105" customFormat="1" ht="12.75" customHeight="1" x14ac:dyDescent="0.2">
      <c r="A2" s="106"/>
      <c r="B2" s="104"/>
      <c r="C2" s="104"/>
      <c r="D2" s="104"/>
      <c r="E2" s="107"/>
      <c r="F2" s="108"/>
      <c r="G2" s="108"/>
    </row>
    <row r="3" spans="1:8" x14ac:dyDescent="0.2">
      <c r="A3" s="5" t="s">
        <v>0</v>
      </c>
      <c r="B3" s="2"/>
      <c r="C3" s="5"/>
      <c r="D3" s="5"/>
      <c r="E3" s="6"/>
      <c r="F3" s="6"/>
      <c r="G3" s="6"/>
    </row>
    <row r="4" spans="1:8" x14ac:dyDescent="0.2">
      <c r="A4" s="5" t="s">
        <v>1</v>
      </c>
      <c r="B4" s="109"/>
      <c r="C4" s="110"/>
      <c r="D4" s="5"/>
      <c r="E4" s="6"/>
      <c r="F4" s="6"/>
      <c r="G4" s="9"/>
    </row>
    <row r="5" spans="1:8" x14ac:dyDescent="0.2">
      <c r="A5" s="6" t="s">
        <v>2</v>
      </c>
      <c r="B5" s="111">
        <v>0</v>
      </c>
      <c r="F5" s="6"/>
    </row>
    <row r="6" spans="1:8" x14ac:dyDescent="0.2">
      <c r="A6" s="6" t="s">
        <v>3</v>
      </c>
      <c r="B6" s="61"/>
      <c r="C6" s="8"/>
      <c r="F6" s="6"/>
    </row>
    <row r="7" spans="1:8" x14ac:dyDescent="0.2">
      <c r="A7" s="10" t="s">
        <v>4</v>
      </c>
      <c r="B7" s="112">
        <f>B5+B6</f>
        <v>0</v>
      </c>
      <c r="C7" s="8"/>
      <c r="D7" s="6"/>
      <c r="E7" s="11"/>
      <c r="F7" s="6"/>
    </row>
    <row r="8" spans="1:8" x14ac:dyDescent="0.2">
      <c r="A8" s="8" t="s">
        <v>5</v>
      </c>
      <c r="B8" s="3"/>
      <c r="C8" s="8"/>
      <c r="F8" s="6"/>
    </row>
    <row r="9" spans="1:8" x14ac:dyDescent="0.2">
      <c r="A9" s="12" t="s">
        <v>6</v>
      </c>
      <c r="B9" s="8"/>
      <c r="C9" s="1" t="s">
        <v>7</v>
      </c>
      <c r="D9" s="13"/>
      <c r="E9" s="11"/>
      <c r="F9" s="6"/>
    </row>
    <row r="10" spans="1:8" x14ac:dyDescent="0.2">
      <c r="A10" s="12" t="s">
        <v>8</v>
      </c>
      <c r="B10" s="14" t="s">
        <v>9</v>
      </c>
      <c r="C10" s="59" t="s">
        <v>7</v>
      </c>
      <c r="F10" s="6"/>
      <c r="G10" s="11"/>
    </row>
    <row r="11" spans="1:8" x14ac:dyDescent="0.2">
      <c r="A11" s="15" t="s">
        <v>84</v>
      </c>
      <c r="B11" s="16"/>
      <c r="C11" s="60" t="s">
        <v>7</v>
      </c>
      <c r="F11" s="6"/>
      <c r="G11" s="11"/>
    </row>
    <row r="12" spans="1:8" ht="13.5" thickBot="1" x14ac:dyDescent="0.25">
      <c r="A12" s="17" t="s">
        <v>11</v>
      </c>
      <c r="B12" s="5"/>
      <c r="C12" s="5"/>
      <c r="D12" s="5"/>
      <c r="E12" s="6"/>
      <c r="F12" s="6"/>
      <c r="G12" s="6"/>
    </row>
    <row r="13" spans="1:8" ht="14.25" thickTop="1" thickBot="1" x14ac:dyDescent="0.25">
      <c r="A13" s="116" t="s">
        <v>12</v>
      </c>
      <c r="B13" s="5"/>
      <c r="C13" s="5"/>
      <c r="D13" s="5"/>
      <c r="E13" s="6"/>
      <c r="F13" s="6"/>
      <c r="G13" s="6"/>
    </row>
    <row r="14" spans="1:8" ht="14.25" thickTop="1" thickBot="1" x14ac:dyDescent="0.25">
      <c r="A14" s="5"/>
      <c r="B14" s="5"/>
      <c r="C14" s="5"/>
      <c r="D14" s="5"/>
      <c r="E14" s="6"/>
      <c r="F14" s="6"/>
      <c r="G14" s="6"/>
    </row>
    <row r="15" spans="1:8" ht="14.25" thickTop="1" thickBot="1" x14ac:dyDescent="0.25">
      <c r="A15" s="19" t="s">
        <v>13</v>
      </c>
      <c r="B15" s="5"/>
      <c r="C15" s="5"/>
      <c r="E15" s="62">
        <f>IF(AND(C11="ja",C9="ja"),F247-250,F247)</f>
        <v>0</v>
      </c>
    </row>
    <row r="16" spans="1:8" ht="13.5" thickTop="1" x14ac:dyDescent="0.2">
      <c r="A16" s="12" t="s">
        <v>14</v>
      </c>
      <c r="B16" s="8"/>
      <c r="C16" s="8"/>
      <c r="D16" s="66">
        <f>C200</f>
        <v>0</v>
      </c>
      <c r="E16" s="63"/>
      <c r="F16" s="13"/>
      <c r="G16" s="11"/>
    </row>
    <row r="17" spans="1:7" x14ac:dyDescent="0.2">
      <c r="A17" s="12" t="s">
        <v>15</v>
      </c>
      <c r="B17" s="8"/>
      <c r="C17" s="8"/>
      <c r="D17" s="66">
        <f>IF(C9="ja",-7500,0)</f>
        <v>0</v>
      </c>
      <c r="E17" s="63"/>
      <c r="F17" s="13"/>
      <c r="G17" s="11"/>
    </row>
    <row r="18" spans="1:7" x14ac:dyDescent="0.2">
      <c r="A18" s="12" t="s">
        <v>16</v>
      </c>
      <c r="B18" s="8"/>
      <c r="C18" s="8"/>
      <c r="D18" s="66">
        <f>IF(AND(C9="ja",C10="ja"),-1875,0)</f>
        <v>0</v>
      </c>
      <c r="E18" s="63"/>
      <c r="F18" s="13"/>
      <c r="G18" s="11"/>
    </row>
    <row r="19" spans="1:7" x14ac:dyDescent="0.2">
      <c r="A19" s="8" t="s">
        <v>17</v>
      </c>
      <c r="B19" s="8"/>
      <c r="C19" s="8"/>
      <c r="D19" s="113">
        <v>0</v>
      </c>
      <c r="E19" s="63"/>
      <c r="F19" s="6"/>
      <c r="G19" s="6"/>
    </row>
    <row r="20" spans="1:7" x14ac:dyDescent="0.2">
      <c r="A20" s="12" t="s">
        <v>18</v>
      </c>
      <c r="B20" s="114">
        <v>0</v>
      </c>
      <c r="C20" s="8"/>
      <c r="D20" s="66">
        <f>B20*30</f>
        <v>0</v>
      </c>
      <c r="E20" s="63"/>
      <c r="F20" s="6"/>
      <c r="G20" s="6"/>
    </row>
    <row r="21" spans="1:7" x14ac:dyDescent="0.2">
      <c r="A21" s="12" t="s">
        <v>19</v>
      </c>
      <c r="B21" s="8"/>
      <c r="C21" s="8"/>
      <c r="D21" s="113">
        <v>770</v>
      </c>
      <c r="E21" s="63"/>
      <c r="F21" s="6"/>
      <c r="G21" s="6"/>
    </row>
    <row r="22" spans="1:7" ht="13.5" thickBot="1" x14ac:dyDescent="0.25">
      <c r="A22" s="12" t="s">
        <v>20</v>
      </c>
      <c r="B22" s="8"/>
      <c r="C22" s="8"/>
      <c r="D22" s="115">
        <v>0</v>
      </c>
      <c r="E22" s="63"/>
      <c r="F22" s="6"/>
      <c r="G22" s="6"/>
    </row>
    <row r="23" spans="1:7" ht="14.25" thickTop="1" thickBot="1" x14ac:dyDescent="0.25">
      <c r="A23" s="21" t="s">
        <v>21</v>
      </c>
      <c r="B23" s="8"/>
      <c r="C23" s="8"/>
      <c r="E23" s="65">
        <f>SUM(D16:D22)</f>
        <v>770</v>
      </c>
      <c r="F23" s="6"/>
      <c r="G23" s="6"/>
    </row>
    <row r="24" spans="1:7" ht="14.25" thickTop="1" thickBot="1" x14ac:dyDescent="0.25">
      <c r="B24" s="8"/>
      <c r="C24" s="8"/>
      <c r="D24" s="22" t="s">
        <v>22</v>
      </c>
      <c r="E24" s="62">
        <f>(E15+D21)*21%</f>
        <v>161.69999999999999</v>
      </c>
      <c r="F24" s="6"/>
      <c r="G24" s="6"/>
    </row>
    <row r="25" spans="1:7" ht="14.25" thickTop="1" thickBot="1" x14ac:dyDescent="0.25">
      <c r="A25" s="23"/>
      <c r="B25" s="8"/>
      <c r="C25" s="8"/>
      <c r="D25" s="24"/>
      <c r="E25" s="64"/>
      <c r="F25" s="6"/>
      <c r="G25" s="6"/>
    </row>
    <row r="26" spans="1:7" ht="14.25" thickTop="1" thickBot="1" x14ac:dyDescent="0.25">
      <c r="A26" s="21" t="s">
        <v>23</v>
      </c>
      <c r="B26" s="8"/>
      <c r="C26" s="8"/>
      <c r="D26" s="26"/>
      <c r="E26" s="117">
        <f>SUM(E15:E24)</f>
        <v>931.7</v>
      </c>
      <c r="F26" s="6"/>
      <c r="G26" s="6"/>
    </row>
    <row r="27" spans="1:7" ht="14.25" thickTop="1" thickBot="1" x14ac:dyDescent="0.25">
      <c r="A27" s="12"/>
      <c r="B27" s="8"/>
      <c r="C27" s="8"/>
      <c r="D27" s="26"/>
      <c r="E27" s="27"/>
      <c r="F27" s="6"/>
      <c r="G27" s="6"/>
    </row>
    <row r="28" spans="1:7" ht="14.25" thickTop="1" thickBot="1" x14ac:dyDescent="0.25">
      <c r="A28" s="118" t="s">
        <v>24</v>
      </c>
      <c r="B28" s="8"/>
      <c r="C28" s="8"/>
      <c r="D28" s="20"/>
      <c r="E28" s="6"/>
      <c r="F28" s="6"/>
      <c r="G28" s="6"/>
    </row>
    <row r="29" spans="1:7" ht="13.5" thickTop="1" x14ac:dyDescent="0.2">
      <c r="E29" s="6"/>
      <c r="F29" s="6"/>
      <c r="G29" s="6"/>
    </row>
    <row r="30" spans="1:7" x14ac:dyDescent="0.2">
      <c r="A30" s="12" t="s">
        <v>25</v>
      </c>
      <c r="B30" s="8"/>
      <c r="C30" s="8"/>
      <c r="D30" s="119">
        <v>0</v>
      </c>
      <c r="E30" s="6"/>
      <c r="F30" s="6"/>
      <c r="G30" s="6"/>
    </row>
    <row r="31" spans="1:7" ht="13.5" thickBot="1" x14ac:dyDescent="0.25">
      <c r="A31" s="12"/>
      <c r="B31" s="8"/>
      <c r="C31" s="8"/>
      <c r="D31" s="66"/>
      <c r="E31" s="6"/>
      <c r="F31" s="6"/>
      <c r="G31" s="6"/>
    </row>
    <row r="32" spans="1:7" ht="14.25" thickTop="1" thickBot="1" x14ac:dyDescent="0.25">
      <c r="A32" s="28" t="s">
        <v>26</v>
      </c>
      <c r="B32" s="29"/>
      <c r="C32" s="30"/>
      <c r="D32" s="66"/>
      <c r="E32" s="6"/>
      <c r="F32" s="6"/>
      <c r="G32" s="6"/>
    </row>
    <row r="33" spans="1:7" ht="13.5" thickTop="1" x14ac:dyDescent="0.2">
      <c r="A33" s="12"/>
      <c r="B33" s="8"/>
      <c r="C33" s="8"/>
      <c r="D33" s="66"/>
      <c r="E33" s="6"/>
      <c r="F33" s="6"/>
      <c r="G33" s="6"/>
    </row>
    <row r="34" spans="1:7" x14ac:dyDescent="0.2">
      <c r="A34" s="12" t="s">
        <v>27</v>
      </c>
      <c r="B34" s="8"/>
      <c r="C34" s="7" t="s">
        <v>59</v>
      </c>
      <c r="D34" s="113">
        <v>0</v>
      </c>
    </row>
    <row r="35" spans="1:7" x14ac:dyDescent="0.2">
      <c r="A35" s="12" t="s">
        <v>29</v>
      </c>
      <c r="B35" s="8"/>
      <c r="C35" s="7" t="s">
        <v>28</v>
      </c>
      <c r="D35" s="113">
        <v>0</v>
      </c>
      <c r="E35" s="6"/>
      <c r="F35" s="6"/>
      <c r="G35" s="6"/>
    </row>
    <row r="36" spans="1:7" x14ac:dyDescent="0.2">
      <c r="A36" s="12" t="s">
        <v>30</v>
      </c>
      <c r="B36" s="114">
        <v>1</v>
      </c>
      <c r="C36" s="7" t="s">
        <v>59</v>
      </c>
      <c r="D36" s="120">
        <f>B36*35</f>
        <v>35</v>
      </c>
      <c r="E36" s="6"/>
      <c r="F36" s="6"/>
      <c r="G36" s="6"/>
    </row>
    <row r="37" spans="1:7" x14ac:dyDescent="0.2">
      <c r="A37" s="12" t="s">
        <v>31</v>
      </c>
      <c r="B37" s="8"/>
      <c r="C37" s="7" t="s">
        <v>28</v>
      </c>
      <c r="D37" s="113">
        <v>0</v>
      </c>
      <c r="E37" s="6"/>
      <c r="F37" s="6"/>
      <c r="G37" s="6"/>
    </row>
    <row r="38" spans="1:7" ht="13.5" thickBot="1" x14ac:dyDescent="0.25">
      <c r="A38" s="12"/>
      <c r="B38" s="8"/>
      <c r="C38" s="8"/>
      <c r="D38" s="66"/>
      <c r="E38" s="6"/>
      <c r="F38" s="6"/>
      <c r="G38" s="6"/>
    </row>
    <row r="39" spans="1:7" ht="14.25" thickTop="1" thickBot="1" x14ac:dyDescent="0.25">
      <c r="A39" s="121" t="s">
        <v>32</v>
      </c>
      <c r="B39" s="8"/>
      <c r="C39" s="8"/>
      <c r="D39" s="122">
        <f>E213</f>
        <v>0</v>
      </c>
      <c r="E39" s="6"/>
      <c r="F39" s="6"/>
      <c r="G39" s="6"/>
    </row>
    <row r="40" spans="1:7" ht="14.25" thickTop="1" thickBot="1" x14ac:dyDescent="0.25">
      <c r="A40" s="12"/>
      <c r="B40" s="8"/>
      <c r="C40" s="22" t="s">
        <v>22</v>
      </c>
      <c r="D40" s="122">
        <f>F212</f>
        <v>0</v>
      </c>
      <c r="F40" s="6"/>
      <c r="G40" s="6"/>
    </row>
    <row r="41" spans="1:7" ht="14.25" thickTop="1" thickBot="1" x14ac:dyDescent="0.25">
      <c r="A41" s="12"/>
      <c r="B41" s="8"/>
      <c r="C41" s="8"/>
      <c r="D41" s="66"/>
      <c r="E41" s="6"/>
      <c r="F41" s="6"/>
      <c r="G41" s="6"/>
    </row>
    <row r="42" spans="1:7" ht="14.25" thickTop="1" thickBot="1" x14ac:dyDescent="0.25">
      <c r="A42" s="123" t="s">
        <v>33</v>
      </c>
      <c r="B42" s="8"/>
      <c r="C42" s="8"/>
      <c r="D42" s="124">
        <f>E219</f>
        <v>35</v>
      </c>
      <c r="E42" s="6"/>
      <c r="F42" s="6"/>
      <c r="G42" s="6"/>
    </row>
    <row r="43" spans="1:7" ht="14.25" thickTop="1" thickBot="1" x14ac:dyDescent="0.25">
      <c r="A43" s="8"/>
      <c r="B43" s="8"/>
      <c r="C43" s="22" t="s">
        <v>22</v>
      </c>
      <c r="D43" s="124">
        <f>F219</f>
        <v>7.35</v>
      </c>
      <c r="F43" s="6"/>
      <c r="G43" s="11"/>
    </row>
    <row r="44" spans="1:7" ht="14.25" thickTop="1" thickBot="1" x14ac:dyDescent="0.25">
      <c r="A44" s="8"/>
      <c r="B44" s="8"/>
      <c r="C44" s="8"/>
      <c r="D44" s="24"/>
      <c r="E44" s="11"/>
      <c r="F44" s="6"/>
      <c r="G44" s="11"/>
    </row>
    <row r="45" spans="1:7" ht="14.25" thickTop="1" thickBot="1" x14ac:dyDescent="0.25">
      <c r="A45" s="18" t="s">
        <v>34</v>
      </c>
      <c r="B45" s="8"/>
      <c r="C45" s="8"/>
      <c r="D45" s="24"/>
      <c r="E45" s="125">
        <f>E26+D39+D40</f>
        <v>931.7</v>
      </c>
      <c r="F45" s="6"/>
      <c r="G45" s="11"/>
    </row>
    <row r="46" spans="1:7" ht="14.25" thickTop="1" thickBot="1" x14ac:dyDescent="0.25">
      <c r="A46" s="8"/>
      <c r="B46" s="8"/>
      <c r="C46" s="8"/>
      <c r="D46" s="24"/>
      <c r="E46" s="67"/>
      <c r="F46" s="6"/>
      <c r="G46" s="11"/>
    </row>
    <row r="47" spans="1:7" ht="14.25" thickTop="1" thickBot="1" x14ac:dyDescent="0.25">
      <c r="A47" s="18" t="s">
        <v>35</v>
      </c>
      <c r="B47" s="31"/>
      <c r="C47" s="8"/>
      <c r="D47" s="32"/>
      <c r="E47" s="126">
        <f>D30+D42+D43</f>
        <v>42.35</v>
      </c>
      <c r="F47" s="33"/>
      <c r="G47" s="11"/>
    </row>
    <row r="48" spans="1:7" ht="13.5" thickTop="1" x14ac:dyDescent="0.2"/>
    <row r="49" spans="1:12" ht="18" x14ac:dyDescent="0.2">
      <c r="A49" s="68" t="s">
        <v>85</v>
      </c>
      <c r="B49" s="70"/>
      <c r="C49" s="69"/>
      <c r="D49" s="69"/>
      <c r="E49" s="69"/>
      <c r="F49" s="69"/>
      <c r="G49" s="69"/>
      <c r="H49" s="69"/>
    </row>
    <row r="50" spans="1:12" x14ac:dyDescent="0.2">
      <c r="A50" s="70"/>
      <c r="B50" s="70"/>
      <c r="C50" s="69"/>
      <c r="D50" s="69"/>
      <c r="E50" s="69"/>
      <c r="F50" s="69"/>
      <c r="G50" s="69"/>
      <c r="H50" s="69"/>
    </row>
    <row r="51" spans="1:12" x14ac:dyDescent="0.2">
      <c r="A51" s="70" t="s">
        <v>86</v>
      </c>
      <c r="B51" s="71"/>
      <c r="C51" s="70" t="s">
        <v>87</v>
      </c>
      <c r="D51" s="133">
        <v>0</v>
      </c>
      <c r="E51" s="69"/>
      <c r="F51" s="69"/>
      <c r="G51" s="69"/>
      <c r="H51" s="69"/>
    </row>
    <row r="52" spans="1:12" x14ac:dyDescent="0.2">
      <c r="A52" s="70"/>
      <c r="B52" s="71"/>
      <c r="C52" s="70" t="s">
        <v>88</v>
      </c>
      <c r="D52" s="133">
        <v>0</v>
      </c>
      <c r="E52" s="69"/>
      <c r="F52" s="69"/>
      <c r="G52" s="69"/>
      <c r="H52" s="69"/>
    </row>
    <row r="53" spans="1:12" x14ac:dyDescent="0.2">
      <c r="A53" s="70"/>
      <c r="B53" s="71"/>
      <c r="C53" s="70" t="s">
        <v>4</v>
      </c>
      <c r="D53" s="72">
        <f>SUM(D51:D52)</f>
        <v>0</v>
      </c>
      <c r="E53" s="69"/>
      <c r="F53" s="69"/>
      <c r="G53" s="69"/>
      <c r="H53" s="69"/>
    </row>
    <row r="54" spans="1:12" x14ac:dyDescent="0.2">
      <c r="A54" s="70"/>
      <c r="B54" s="71"/>
      <c r="C54" s="70"/>
      <c r="D54" s="73"/>
      <c r="E54" s="69"/>
      <c r="F54" s="69"/>
      <c r="G54" s="69"/>
      <c r="H54" s="69"/>
    </row>
    <row r="55" spans="1:12" x14ac:dyDescent="0.2">
      <c r="A55" s="70" t="s">
        <v>89</v>
      </c>
      <c r="B55" s="71"/>
      <c r="C55" s="70"/>
      <c r="D55" s="134">
        <v>0</v>
      </c>
      <c r="E55" s="69"/>
      <c r="F55" s="69"/>
      <c r="G55" s="69"/>
      <c r="H55" s="69"/>
    </row>
    <row r="56" spans="1:12" x14ac:dyDescent="0.2">
      <c r="A56" s="70"/>
      <c r="B56" s="71"/>
      <c r="C56" s="70"/>
      <c r="D56" s="69"/>
      <c r="E56" s="69"/>
      <c r="F56" s="69"/>
      <c r="G56" s="69"/>
      <c r="H56" s="69"/>
    </row>
    <row r="57" spans="1:12" x14ac:dyDescent="0.2">
      <c r="A57" s="70" t="s">
        <v>90</v>
      </c>
      <c r="B57" s="71"/>
      <c r="C57" s="135" t="s">
        <v>7</v>
      </c>
      <c r="D57" s="69"/>
      <c r="E57" s="69"/>
      <c r="F57" s="69"/>
      <c r="G57" s="69"/>
      <c r="H57" s="69"/>
    </row>
    <row r="58" spans="1:12" x14ac:dyDescent="0.2">
      <c r="A58" s="103" t="s">
        <v>121</v>
      </c>
      <c r="B58" s="105"/>
      <c r="C58" s="102">
        <v>1</v>
      </c>
      <c r="D58" s="69"/>
      <c r="E58" s="69"/>
      <c r="F58" s="69"/>
      <c r="G58" s="69"/>
      <c r="H58" s="69"/>
    </row>
    <row r="59" spans="1:12" x14ac:dyDescent="0.2">
      <c r="A59" s="70" t="s">
        <v>11</v>
      </c>
      <c r="B59" s="71"/>
      <c r="C59" s="70"/>
      <c r="D59" s="69"/>
      <c r="E59" s="69"/>
      <c r="F59" s="69"/>
      <c r="G59" s="69"/>
      <c r="H59" s="69"/>
    </row>
    <row r="60" spans="1:12" x14ac:dyDescent="0.2">
      <c r="A60" s="70"/>
      <c r="B60" s="69"/>
      <c r="C60" s="69"/>
      <c r="D60" s="69"/>
      <c r="E60" s="69" t="s">
        <v>13</v>
      </c>
      <c r="F60" s="127">
        <f>IF(C57="ja",E186/2+4.239,E186)</f>
        <v>0</v>
      </c>
    </row>
    <row r="61" spans="1:12" x14ac:dyDescent="0.2">
      <c r="A61" s="70" t="s">
        <v>91</v>
      </c>
      <c r="B61" s="69"/>
      <c r="C61" s="73">
        <f>D53/100</f>
        <v>0</v>
      </c>
      <c r="D61" s="69"/>
      <c r="E61" s="69" t="s">
        <v>92</v>
      </c>
      <c r="F61" s="73">
        <f>F60*21/100</f>
        <v>0</v>
      </c>
    </row>
    <row r="62" spans="1:12" x14ac:dyDescent="0.2">
      <c r="A62" s="70" t="s">
        <v>93</v>
      </c>
      <c r="B62" s="69"/>
      <c r="C62" s="134">
        <v>0</v>
      </c>
      <c r="D62" s="69"/>
      <c r="E62" s="69"/>
      <c r="F62" s="73"/>
    </row>
    <row r="63" spans="1:12" x14ac:dyDescent="0.2">
      <c r="A63" s="70"/>
      <c r="B63" s="69"/>
      <c r="C63" s="73"/>
      <c r="D63" s="69"/>
      <c r="E63" s="69"/>
      <c r="F63" s="73"/>
    </row>
    <row r="64" spans="1:12" x14ac:dyDescent="0.2">
      <c r="A64" s="70" t="s">
        <v>94</v>
      </c>
      <c r="B64" s="73">
        <f>D53*0.3%</f>
        <v>0</v>
      </c>
      <c r="C64" s="73"/>
      <c r="D64" s="69"/>
      <c r="E64" s="69"/>
      <c r="F64" s="73"/>
      <c r="J64" s="104"/>
      <c r="K64" s="105"/>
      <c r="L64" s="139"/>
    </row>
    <row r="65" spans="1:6" x14ac:dyDescent="0.2">
      <c r="A65" s="70" t="s">
        <v>95</v>
      </c>
      <c r="B65" s="73">
        <f>A111*C58</f>
        <v>87.31</v>
      </c>
      <c r="C65" s="73"/>
      <c r="D65" s="69"/>
      <c r="E65" s="69"/>
      <c r="F65" s="73"/>
    </row>
    <row r="66" spans="1:6" x14ac:dyDescent="0.2">
      <c r="A66" s="70" t="s">
        <v>96</v>
      </c>
      <c r="B66" s="69"/>
      <c r="C66" s="73">
        <f>IF((D172-B64-B65)&lt;22,D172+50,D172)</f>
        <v>150</v>
      </c>
      <c r="D66" s="69"/>
      <c r="E66" s="69"/>
      <c r="F66" s="73"/>
    </row>
    <row r="67" spans="1:6" x14ac:dyDescent="0.2">
      <c r="A67" s="70"/>
      <c r="B67" s="69"/>
      <c r="C67" s="73"/>
      <c r="D67" s="69"/>
      <c r="E67" s="69"/>
      <c r="F67" s="73"/>
    </row>
    <row r="68" spans="1:6" x14ac:dyDescent="0.2">
      <c r="A68" s="70" t="s">
        <v>97</v>
      </c>
      <c r="B68" s="69"/>
      <c r="C68" s="73">
        <v>50</v>
      </c>
      <c r="D68" s="69"/>
      <c r="E68" s="69"/>
      <c r="F68" s="73"/>
    </row>
    <row r="69" spans="1:6" x14ac:dyDescent="0.2">
      <c r="A69" s="70"/>
      <c r="B69" s="69" t="s">
        <v>92</v>
      </c>
      <c r="C69" s="73">
        <f>C68*21%</f>
        <v>10.5</v>
      </c>
      <c r="D69" s="69"/>
      <c r="E69" s="69"/>
      <c r="F69" s="73"/>
    </row>
    <row r="70" spans="1:6" x14ac:dyDescent="0.2">
      <c r="A70" s="70"/>
      <c r="B70" s="69"/>
      <c r="C70" s="73"/>
      <c r="D70" s="69"/>
      <c r="E70" s="69"/>
      <c r="F70" s="73"/>
    </row>
    <row r="71" spans="1:6" x14ac:dyDescent="0.2">
      <c r="A71" s="70" t="s">
        <v>98</v>
      </c>
      <c r="B71" s="69"/>
      <c r="C71" s="134">
        <v>660</v>
      </c>
      <c r="D71" s="69"/>
      <c r="E71" s="69"/>
      <c r="F71" s="73"/>
    </row>
    <row r="72" spans="1:6" x14ac:dyDescent="0.2">
      <c r="A72" s="70"/>
      <c r="B72" s="69" t="s">
        <v>92</v>
      </c>
      <c r="C72" s="73">
        <f>C71*21%</f>
        <v>138.6</v>
      </c>
      <c r="D72" s="69"/>
      <c r="E72" s="69"/>
      <c r="F72" s="73"/>
    </row>
    <row r="73" spans="1:6" x14ac:dyDescent="0.2">
      <c r="A73" s="70"/>
      <c r="B73" s="69"/>
      <c r="C73" s="73"/>
      <c r="D73" s="69"/>
      <c r="E73" s="69"/>
      <c r="F73" s="73"/>
    </row>
    <row r="74" spans="1:6" x14ac:dyDescent="0.2">
      <c r="A74" s="70" t="s">
        <v>99</v>
      </c>
      <c r="B74" s="69"/>
      <c r="C74" s="134">
        <v>0</v>
      </c>
      <c r="D74" s="69"/>
      <c r="E74" s="69"/>
      <c r="F74" s="73"/>
    </row>
    <row r="75" spans="1:6" x14ac:dyDescent="0.2">
      <c r="A75" s="70"/>
      <c r="B75" s="69" t="s">
        <v>92</v>
      </c>
      <c r="C75" s="73">
        <f>C74*21%</f>
        <v>0</v>
      </c>
      <c r="D75" s="69"/>
      <c r="E75" s="69"/>
      <c r="F75" s="73"/>
    </row>
    <row r="76" spans="1:6" x14ac:dyDescent="0.2">
      <c r="A76" s="70"/>
      <c r="B76" s="69"/>
      <c r="C76" s="73"/>
      <c r="D76" s="69"/>
      <c r="E76" s="69"/>
      <c r="F76" s="73"/>
    </row>
    <row r="77" spans="1:6" x14ac:dyDescent="0.2">
      <c r="A77" s="70"/>
      <c r="B77" s="69" t="s">
        <v>100</v>
      </c>
      <c r="C77" s="127">
        <f>A143</f>
        <v>860</v>
      </c>
      <c r="D77" s="69"/>
      <c r="E77" s="69" t="s">
        <v>101</v>
      </c>
      <c r="F77" s="127">
        <f>F60</f>
        <v>0</v>
      </c>
    </row>
    <row r="78" spans="1:6" x14ac:dyDescent="0.2">
      <c r="A78" s="70"/>
      <c r="B78" s="69"/>
      <c r="C78" s="73"/>
      <c r="D78" s="69"/>
      <c r="E78" s="69" t="s">
        <v>102</v>
      </c>
      <c r="F78" s="127">
        <f>C77</f>
        <v>860</v>
      </c>
    </row>
    <row r="79" spans="1:6" x14ac:dyDescent="0.2">
      <c r="A79" s="70"/>
      <c r="B79" s="69"/>
      <c r="C79" s="69"/>
      <c r="D79" s="69"/>
      <c r="E79" s="69" t="s">
        <v>103</v>
      </c>
      <c r="F79" s="127">
        <f>SUM(F77+C77)</f>
        <v>860</v>
      </c>
    </row>
    <row r="80" spans="1:6" x14ac:dyDescent="0.2">
      <c r="A80" s="70"/>
      <c r="B80" s="69"/>
      <c r="C80" s="69"/>
      <c r="D80" s="69"/>
      <c r="E80" s="69"/>
      <c r="F80" s="127"/>
    </row>
    <row r="81" spans="1:7" x14ac:dyDescent="0.2">
      <c r="A81" s="70"/>
      <c r="B81" s="69"/>
      <c r="C81" s="69"/>
      <c r="D81" s="69"/>
      <c r="E81" s="69" t="s">
        <v>22</v>
      </c>
      <c r="F81" s="127">
        <f>SUM(C69,C72,C75,F61)</f>
        <v>149.1</v>
      </c>
    </row>
    <row r="82" spans="1:7" x14ac:dyDescent="0.2">
      <c r="A82" s="70"/>
      <c r="B82" s="69"/>
      <c r="C82" s="69"/>
      <c r="D82" s="69"/>
      <c r="E82" s="69"/>
      <c r="F82" s="73"/>
    </row>
    <row r="83" spans="1:7" x14ac:dyDescent="0.2">
      <c r="A83" s="70"/>
      <c r="B83" s="69"/>
      <c r="C83" s="69"/>
      <c r="D83" s="69"/>
      <c r="E83" s="69" t="s">
        <v>104</v>
      </c>
      <c r="F83" s="74">
        <f>SUM(F79:F81)</f>
        <v>1009.1</v>
      </c>
    </row>
    <row r="84" spans="1:7" x14ac:dyDescent="0.2">
      <c r="A84" s="70"/>
      <c r="B84" s="69"/>
      <c r="C84" s="69"/>
      <c r="D84" s="69"/>
      <c r="E84" s="69"/>
      <c r="F84" s="73"/>
    </row>
    <row r="85" spans="1:7" ht="18" x14ac:dyDescent="0.2">
      <c r="A85" s="78" t="s">
        <v>113</v>
      </c>
      <c r="B85" s="79"/>
      <c r="C85" s="80"/>
      <c r="D85" s="80"/>
      <c r="E85" s="80"/>
      <c r="F85" s="80"/>
      <c r="G85" s="80"/>
    </row>
    <row r="86" spans="1:7" x14ac:dyDescent="0.2">
      <c r="A86" s="81" t="s">
        <v>87</v>
      </c>
      <c r="B86" s="136">
        <v>0</v>
      </c>
      <c r="C86" s="82"/>
      <c r="D86" s="81"/>
      <c r="E86" s="81"/>
      <c r="F86" s="81"/>
    </row>
    <row r="87" spans="1:7" x14ac:dyDescent="0.2">
      <c r="A87" s="81" t="s">
        <v>88</v>
      </c>
      <c r="B87" s="136">
        <v>0</v>
      </c>
      <c r="C87" s="82"/>
      <c r="D87" s="82"/>
      <c r="E87" s="82"/>
      <c r="F87" s="82"/>
    </row>
    <row r="88" spans="1:7" x14ac:dyDescent="0.2">
      <c r="A88" s="81" t="s">
        <v>4</v>
      </c>
      <c r="B88" s="128">
        <f>SUM(B86:B87)</f>
        <v>0</v>
      </c>
      <c r="C88" s="82"/>
      <c r="D88" s="82"/>
      <c r="E88" s="82"/>
      <c r="F88" s="82"/>
    </row>
    <row r="89" spans="1:7" x14ac:dyDescent="0.2">
      <c r="A89" s="69"/>
      <c r="B89" s="80"/>
      <c r="C89" s="69"/>
      <c r="D89" s="82"/>
      <c r="E89" s="82"/>
      <c r="F89" s="82"/>
    </row>
    <row r="90" spans="1:7" x14ac:dyDescent="0.2">
      <c r="A90" s="70" t="s">
        <v>114</v>
      </c>
      <c r="B90" s="137">
        <v>1</v>
      </c>
      <c r="C90" s="82"/>
      <c r="D90" s="81"/>
      <c r="E90" s="81"/>
      <c r="F90" s="83"/>
    </row>
    <row r="91" spans="1:7" x14ac:dyDescent="0.2">
      <c r="A91" s="84" t="s">
        <v>11</v>
      </c>
      <c r="B91" s="16"/>
      <c r="C91" s="16"/>
      <c r="D91" s="81"/>
      <c r="E91" s="81"/>
      <c r="F91" s="83"/>
    </row>
    <row r="92" spans="1:7" x14ac:dyDescent="0.2">
      <c r="A92" s="69" t="s">
        <v>97</v>
      </c>
      <c r="B92" s="69"/>
      <c r="C92" s="85">
        <v>50</v>
      </c>
      <c r="D92" s="81"/>
      <c r="E92" s="81" t="s">
        <v>13</v>
      </c>
      <c r="F92" s="130">
        <f>E130</f>
        <v>0</v>
      </c>
    </row>
    <row r="93" spans="1:7" x14ac:dyDescent="0.2">
      <c r="A93" s="69" t="s">
        <v>115</v>
      </c>
      <c r="B93" s="69"/>
      <c r="C93" s="85">
        <v>50</v>
      </c>
      <c r="D93" s="81"/>
      <c r="E93" s="81"/>
      <c r="F93" s="130"/>
    </row>
    <row r="94" spans="1:7" x14ac:dyDescent="0.2">
      <c r="A94" s="69" t="s">
        <v>116</v>
      </c>
      <c r="B94" s="69"/>
      <c r="C94" s="138">
        <v>0</v>
      </c>
      <c r="D94" s="81"/>
      <c r="E94" s="81"/>
      <c r="F94" s="130"/>
    </row>
    <row r="95" spans="1:7" x14ac:dyDescent="0.2">
      <c r="A95" s="70" t="s">
        <v>111</v>
      </c>
      <c r="B95" s="69"/>
      <c r="C95" s="138">
        <f>C115</f>
        <v>185</v>
      </c>
      <c r="D95" s="81"/>
      <c r="E95" s="81"/>
      <c r="F95" s="130"/>
    </row>
    <row r="96" spans="1:7" x14ac:dyDescent="0.2">
      <c r="A96" s="69"/>
      <c r="B96" s="69"/>
      <c r="C96" s="85"/>
      <c r="D96" s="81"/>
      <c r="E96" s="81"/>
      <c r="F96" s="130"/>
    </row>
    <row r="97" spans="1:23" x14ac:dyDescent="0.2">
      <c r="A97" s="69"/>
      <c r="B97" s="69" t="s">
        <v>100</v>
      </c>
      <c r="C97" s="129">
        <f>SUM(C92:C96)</f>
        <v>285</v>
      </c>
      <c r="D97" s="81"/>
      <c r="E97" s="81" t="s">
        <v>101</v>
      </c>
      <c r="F97" s="130">
        <f>F92</f>
        <v>0</v>
      </c>
    </row>
    <row r="98" spans="1:23" x14ac:dyDescent="0.2">
      <c r="A98" s="69"/>
      <c r="B98" s="69"/>
      <c r="C98" s="69"/>
      <c r="D98" s="81"/>
      <c r="E98" s="81" t="s">
        <v>102</v>
      </c>
      <c r="F98" s="130">
        <f>SUM(C92:C96)</f>
        <v>285</v>
      </c>
    </row>
    <row r="99" spans="1:23" x14ac:dyDescent="0.2">
      <c r="A99" s="69"/>
      <c r="B99" s="69"/>
      <c r="C99" s="69"/>
      <c r="D99" s="81"/>
      <c r="E99" s="81" t="s">
        <v>103</v>
      </c>
      <c r="F99" s="130">
        <f>SUM(F97:F98)</f>
        <v>285</v>
      </c>
    </row>
    <row r="100" spans="1:23" x14ac:dyDescent="0.2">
      <c r="A100" s="80"/>
      <c r="B100" s="80"/>
      <c r="C100" s="80"/>
      <c r="D100" s="80"/>
      <c r="E100" s="80"/>
      <c r="F100" s="131"/>
    </row>
    <row r="101" spans="1:23" x14ac:dyDescent="0.2">
      <c r="A101" s="80"/>
      <c r="B101" s="80"/>
      <c r="C101" s="80"/>
      <c r="D101" s="80"/>
      <c r="E101" s="87" t="s">
        <v>22</v>
      </c>
      <c r="F101" s="132">
        <f>(C92+C95+F92)*21%</f>
        <v>49.35</v>
      </c>
    </row>
    <row r="102" spans="1:23" x14ac:dyDescent="0.2">
      <c r="A102" s="80"/>
      <c r="B102" s="80"/>
      <c r="C102" s="80"/>
      <c r="D102" s="80"/>
      <c r="E102" s="80"/>
      <c r="F102" s="86"/>
    </row>
    <row r="103" spans="1:23" x14ac:dyDescent="0.2">
      <c r="A103" s="80"/>
      <c r="B103" s="80"/>
      <c r="C103" s="80"/>
      <c r="D103" s="80"/>
      <c r="E103" s="88" t="s">
        <v>101</v>
      </c>
      <c r="F103" s="89">
        <f>SUM(F99:F101)</f>
        <v>334.35</v>
      </c>
    </row>
    <row r="104" spans="1:23" x14ac:dyDescent="0.2">
      <c r="A104" s="70"/>
      <c r="B104" s="69"/>
      <c r="C104" s="69"/>
      <c r="D104" s="69"/>
      <c r="E104" s="69"/>
      <c r="F104" s="73"/>
    </row>
    <row r="105" spans="1:23" x14ac:dyDescent="0.2">
      <c r="C105" s="34" t="s">
        <v>36</v>
      </c>
      <c r="D105" s="34" t="s">
        <v>37</v>
      </c>
      <c r="F105" s="27"/>
    </row>
    <row r="106" spans="1:23" x14ac:dyDescent="0.2">
      <c r="D106" s="26"/>
      <c r="F106" s="26"/>
      <c r="G106" s="25"/>
      <c r="H106" s="35"/>
      <c r="I106" s="35"/>
      <c r="J106" s="35"/>
      <c r="K106" s="35"/>
      <c r="L106" s="35"/>
      <c r="M106" s="35"/>
      <c r="N106" s="35"/>
      <c r="O106" s="35"/>
      <c r="P106" s="35"/>
      <c r="Q106" s="35"/>
      <c r="R106" s="35"/>
      <c r="S106" s="35"/>
      <c r="T106" s="35"/>
      <c r="U106" s="35"/>
      <c r="V106" s="35"/>
      <c r="W106" s="35"/>
    </row>
    <row r="107" spans="1:23" x14ac:dyDescent="0.2">
      <c r="B107" s="35"/>
      <c r="C107" s="34" t="s">
        <v>38</v>
      </c>
      <c r="D107" s="34" t="s">
        <v>39</v>
      </c>
      <c r="F107" s="36"/>
      <c r="G107" s="35"/>
      <c r="H107" s="35"/>
      <c r="I107" s="35"/>
      <c r="J107" s="35"/>
      <c r="K107" s="35"/>
      <c r="L107" s="35"/>
      <c r="M107" s="35"/>
      <c r="N107" s="35"/>
      <c r="O107" s="35"/>
      <c r="P107" s="35"/>
      <c r="Q107" s="35"/>
      <c r="R107" s="35"/>
      <c r="S107" s="35"/>
      <c r="T107" s="35"/>
      <c r="U107" s="35"/>
      <c r="V107" s="35"/>
      <c r="W107" s="35"/>
    </row>
    <row r="108" spans="1:23" x14ac:dyDescent="0.2">
      <c r="B108" s="35"/>
      <c r="C108" s="35"/>
      <c r="D108" s="35"/>
      <c r="E108" s="35"/>
      <c r="F108" s="35"/>
      <c r="G108" s="35"/>
      <c r="H108" s="35"/>
      <c r="I108" s="35"/>
      <c r="J108" s="35"/>
      <c r="K108" s="35"/>
      <c r="L108" s="35"/>
      <c r="M108" s="35"/>
      <c r="N108" s="35"/>
      <c r="O108" s="35"/>
      <c r="P108" s="35"/>
      <c r="Q108" s="35"/>
      <c r="R108" s="35"/>
      <c r="S108" s="35"/>
      <c r="T108" s="35"/>
      <c r="U108" s="35"/>
      <c r="V108" s="35"/>
      <c r="W108" s="35"/>
    </row>
    <row r="109" spans="1:23" x14ac:dyDescent="0.2">
      <c r="B109" s="35"/>
      <c r="C109" s="34" t="s">
        <v>122</v>
      </c>
      <c r="D109" s="35"/>
      <c r="E109" s="35"/>
      <c r="F109" s="35"/>
      <c r="G109" s="35"/>
      <c r="H109" s="35"/>
      <c r="I109" s="35"/>
      <c r="J109" s="35"/>
      <c r="K109" s="35"/>
      <c r="L109" s="35"/>
      <c r="M109" s="35"/>
      <c r="N109" s="35"/>
      <c r="O109" s="35"/>
      <c r="P109" s="35"/>
      <c r="Q109" s="35"/>
      <c r="R109" s="35"/>
      <c r="S109" s="35"/>
      <c r="T109" s="35"/>
      <c r="U109" s="35"/>
      <c r="V109" s="35"/>
      <c r="W109" s="35"/>
    </row>
    <row r="110" spans="1:23" hidden="1" x14ac:dyDescent="0.2">
      <c r="B110" s="35"/>
      <c r="C110" s="35"/>
      <c r="D110" s="35"/>
      <c r="E110" s="35"/>
      <c r="F110" s="35"/>
      <c r="G110" s="35"/>
      <c r="H110" s="35"/>
      <c r="I110" s="35"/>
      <c r="J110" s="35"/>
      <c r="K110" s="35"/>
      <c r="L110" s="35"/>
      <c r="M110" s="35"/>
      <c r="N110" s="35"/>
      <c r="O110" s="35"/>
      <c r="P110" s="35"/>
      <c r="Q110" s="35"/>
      <c r="R110" s="35"/>
      <c r="S110" s="35"/>
      <c r="T110" s="35"/>
      <c r="U110" s="35"/>
      <c r="V110" s="35"/>
      <c r="W110" s="35"/>
    </row>
    <row r="111" spans="1:23" hidden="1" x14ac:dyDescent="0.2">
      <c r="A111" s="4">
        <f>(A133+ROUNDDOWN((D51+D52-1)/C134,0)*A134)+20</f>
        <v>87.31</v>
      </c>
      <c r="B111" s="35"/>
      <c r="C111" s="35"/>
      <c r="D111" s="35"/>
      <c r="E111" s="35"/>
      <c r="F111" s="35"/>
      <c r="G111" s="35"/>
      <c r="H111" s="35"/>
      <c r="I111" s="35"/>
      <c r="J111" s="35"/>
      <c r="K111" s="35"/>
      <c r="L111" s="35"/>
      <c r="M111" s="35"/>
      <c r="N111" s="35"/>
      <c r="O111" s="35"/>
      <c r="P111" s="35"/>
      <c r="Q111" s="35"/>
      <c r="R111" s="35"/>
      <c r="S111" s="35"/>
      <c r="T111" s="35"/>
      <c r="U111" s="35"/>
      <c r="V111" s="35"/>
      <c r="W111" s="35"/>
    </row>
    <row r="112" spans="1:23" hidden="1" x14ac:dyDescent="0.2">
      <c r="B112" s="35"/>
      <c r="C112" s="35"/>
      <c r="D112" s="35"/>
      <c r="E112" s="35"/>
      <c r="F112" s="35"/>
      <c r="G112" s="35"/>
      <c r="H112" s="35"/>
      <c r="I112" s="35"/>
      <c r="J112" s="35"/>
      <c r="K112" s="35"/>
      <c r="L112" s="35"/>
      <c r="M112" s="35"/>
      <c r="N112" s="35"/>
      <c r="O112" s="35"/>
      <c r="P112" s="35"/>
      <c r="Q112" s="35"/>
      <c r="R112" s="35"/>
      <c r="S112" s="35"/>
      <c r="T112" s="35"/>
      <c r="U112" s="35"/>
      <c r="V112" s="35"/>
      <c r="W112" s="35"/>
    </row>
    <row r="113" spans="1:23" hidden="1" x14ac:dyDescent="0.2">
      <c r="A113" s="71"/>
      <c r="B113" s="75"/>
      <c r="C113" s="75">
        <f>IF(B90=1,185,0)</f>
        <v>185</v>
      </c>
      <c r="D113" s="75">
        <f>IF(B90=2,335,0)</f>
        <v>0</v>
      </c>
      <c r="E113" s="75">
        <f>IF(B90&gt;2,(335+(B90-2)*200),0)</f>
        <v>0</v>
      </c>
      <c r="F113" s="35"/>
      <c r="G113" s="35"/>
      <c r="H113" s="35"/>
      <c r="I113" s="35"/>
      <c r="J113" s="35"/>
      <c r="K113" s="35"/>
      <c r="L113" s="35"/>
      <c r="M113" s="35"/>
      <c r="N113" s="35"/>
      <c r="O113" s="35"/>
      <c r="P113" s="35"/>
      <c r="Q113" s="35"/>
      <c r="R113" s="35"/>
      <c r="S113" s="35"/>
      <c r="T113" s="35"/>
      <c r="U113" s="35"/>
      <c r="V113" s="35"/>
      <c r="W113" s="35"/>
    </row>
    <row r="114" spans="1:23" hidden="1" x14ac:dyDescent="0.2">
      <c r="A114" s="71"/>
      <c r="B114" s="75"/>
      <c r="C114" s="75"/>
      <c r="D114" s="75"/>
      <c r="E114" s="75"/>
      <c r="F114" s="35"/>
      <c r="G114" s="35"/>
      <c r="H114" s="35"/>
      <c r="I114" s="35"/>
      <c r="J114" s="35"/>
      <c r="K114" s="35"/>
      <c r="L114" s="35"/>
      <c r="M114" s="35"/>
      <c r="N114" s="35"/>
      <c r="O114" s="35"/>
      <c r="P114" s="35"/>
      <c r="Q114" s="35"/>
      <c r="R114" s="35"/>
      <c r="S114" s="35"/>
      <c r="T114" s="35"/>
      <c r="U114" s="35"/>
      <c r="V114" s="35"/>
      <c r="W114" s="35"/>
    </row>
    <row r="115" spans="1:23" hidden="1" x14ac:dyDescent="0.2">
      <c r="A115" s="71"/>
      <c r="B115" s="75"/>
      <c r="C115" s="75">
        <f>SUM(C113:E113)</f>
        <v>185</v>
      </c>
      <c r="D115" s="75"/>
      <c r="E115" s="75"/>
      <c r="F115" s="35"/>
      <c r="G115" s="35"/>
      <c r="H115" s="35"/>
      <c r="I115" s="35"/>
      <c r="J115" s="35"/>
      <c r="K115" s="35"/>
      <c r="L115" s="35"/>
      <c r="M115" s="35"/>
      <c r="N115" s="35"/>
      <c r="O115" s="35"/>
      <c r="P115" s="35"/>
      <c r="Q115" s="35"/>
      <c r="R115" s="35"/>
      <c r="S115" s="35"/>
      <c r="T115" s="35"/>
      <c r="U115" s="35"/>
      <c r="V115" s="35"/>
      <c r="W115" s="35"/>
    </row>
    <row r="116" spans="1:23" hidden="1" x14ac:dyDescent="0.2">
      <c r="A116" s="71"/>
      <c r="B116" s="75"/>
      <c r="C116" s="75"/>
      <c r="D116" s="75"/>
      <c r="E116" s="75"/>
      <c r="F116" s="35"/>
      <c r="G116" s="35"/>
      <c r="H116" s="35"/>
      <c r="I116" s="35"/>
      <c r="J116" s="35"/>
      <c r="K116" s="35"/>
      <c r="L116" s="35"/>
      <c r="M116" s="35"/>
      <c r="N116" s="35"/>
      <c r="O116" s="35"/>
      <c r="P116" s="35"/>
      <c r="Q116" s="35"/>
      <c r="R116" s="35"/>
      <c r="S116" s="35"/>
      <c r="T116" s="35"/>
      <c r="U116" s="35"/>
      <c r="V116" s="35"/>
      <c r="W116" s="35"/>
    </row>
    <row r="117" spans="1:23" hidden="1" x14ac:dyDescent="0.2">
      <c r="A117" s="71"/>
      <c r="B117" s="75"/>
      <c r="C117" s="75"/>
      <c r="D117" s="75"/>
      <c r="E117" s="75"/>
      <c r="F117" s="35"/>
      <c r="G117" s="35"/>
      <c r="H117" s="35"/>
      <c r="I117" s="35"/>
      <c r="J117" s="35"/>
      <c r="K117" s="35"/>
      <c r="L117" s="35"/>
      <c r="M117" s="35"/>
      <c r="N117" s="35"/>
      <c r="O117" s="35"/>
      <c r="P117" s="35"/>
      <c r="Q117" s="35"/>
      <c r="R117" s="35"/>
      <c r="S117" s="35"/>
      <c r="T117" s="35"/>
      <c r="U117" s="35"/>
      <c r="V117" s="35"/>
      <c r="W117" s="35"/>
    </row>
    <row r="118" spans="1:23" hidden="1" x14ac:dyDescent="0.2">
      <c r="A118" s="71"/>
      <c r="B118" s="75"/>
      <c r="C118" s="75"/>
      <c r="D118" s="75"/>
      <c r="E118" s="75"/>
      <c r="F118" s="35"/>
      <c r="G118" s="35"/>
      <c r="H118" s="35"/>
      <c r="I118" s="35"/>
      <c r="J118" s="35"/>
      <c r="K118" s="35"/>
      <c r="L118" s="35"/>
      <c r="M118" s="35"/>
      <c r="N118" s="35"/>
      <c r="O118" s="35"/>
      <c r="P118" s="35"/>
      <c r="Q118" s="35"/>
      <c r="R118" s="35"/>
      <c r="S118" s="35"/>
      <c r="T118" s="35"/>
      <c r="U118" s="35"/>
      <c r="V118" s="35"/>
      <c r="W118" s="35"/>
    </row>
    <row r="119" spans="1:23" ht="15" hidden="1" x14ac:dyDescent="0.25">
      <c r="A119" s="90" t="s">
        <v>4</v>
      </c>
      <c r="B119" s="90"/>
      <c r="C119" s="91">
        <f>B88</f>
        <v>0</v>
      </c>
      <c r="D119" s="92"/>
      <c r="E119" s="93"/>
      <c r="F119" s="35"/>
      <c r="G119" s="35"/>
      <c r="H119" s="35"/>
      <c r="I119" s="35"/>
      <c r="J119" s="35"/>
      <c r="K119" s="35"/>
      <c r="L119" s="35"/>
      <c r="M119" s="35"/>
      <c r="N119" s="35"/>
      <c r="O119" s="35"/>
      <c r="P119" s="35"/>
      <c r="Q119" s="35"/>
      <c r="R119" s="35"/>
      <c r="S119" s="35"/>
      <c r="T119" s="35"/>
      <c r="U119" s="35"/>
      <c r="V119" s="35"/>
      <c r="W119" s="35"/>
    </row>
    <row r="120" spans="1:23" ht="14.25" hidden="1" x14ac:dyDescent="0.2">
      <c r="A120" s="94" t="s">
        <v>81</v>
      </c>
      <c r="B120" s="94"/>
      <c r="C120" s="94" t="s">
        <v>81</v>
      </c>
      <c r="D120" s="95" t="s">
        <v>117</v>
      </c>
      <c r="E120" s="94" t="s">
        <v>118</v>
      </c>
      <c r="F120" s="35"/>
      <c r="G120" s="35"/>
      <c r="H120" s="35"/>
      <c r="I120" s="35"/>
      <c r="J120" s="35"/>
      <c r="K120" s="35"/>
      <c r="L120" s="35"/>
      <c r="M120" s="35"/>
      <c r="N120" s="35"/>
      <c r="O120" s="35"/>
      <c r="P120" s="35"/>
      <c r="Q120" s="35"/>
      <c r="R120" s="35"/>
      <c r="S120" s="35"/>
      <c r="T120" s="35"/>
      <c r="U120" s="35"/>
      <c r="V120" s="35"/>
      <c r="W120" s="35"/>
    </row>
    <row r="121" spans="1:23" ht="15" hidden="1" x14ac:dyDescent="0.25">
      <c r="A121" s="91">
        <v>0</v>
      </c>
      <c r="B121" s="91"/>
      <c r="C121" s="91">
        <v>7500</v>
      </c>
      <c r="D121" s="96">
        <v>1.4250000000000001E-2</v>
      </c>
      <c r="E121" s="91">
        <f>IF(B88&lt;C121,B88*D121,C121*D121)</f>
        <v>0</v>
      </c>
      <c r="F121" s="35"/>
      <c r="G121" s="35"/>
      <c r="H121" s="35"/>
      <c r="I121" s="35"/>
      <c r="J121" s="35"/>
      <c r="K121" s="35"/>
      <c r="L121" s="35"/>
      <c r="M121" s="35"/>
      <c r="N121" s="35"/>
      <c r="O121" s="35"/>
      <c r="P121" s="35"/>
      <c r="Q121" s="35"/>
      <c r="R121" s="35"/>
      <c r="S121" s="35"/>
      <c r="T121" s="35"/>
      <c r="U121" s="35"/>
      <c r="V121" s="35"/>
      <c r="W121" s="35"/>
    </row>
    <row r="122" spans="1:23" ht="15" hidden="1" x14ac:dyDescent="0.25">
      <c r="A122" s="91">
        <v>7500</v>
      </c>
      <c r="B122" s="91"/>
      <c r="C122" s="91">
        <v>17500</v>
      </c>
      <c r="D122" s="96">
        <v>1.14E-2</v>
      </c>
      <c r="E122" s="91" t="str">
        <f>IF(B88&lt;=A122," ",IF(B88&lt;C122,(B88-C121)*D122,(C122-A122)*D122))</f>
        <v xml:space="preserve"> </v>
      </c>
      <c r="F122" s="35"/>
      <c r="G122" s="35"/>
      <c r="H122" s="35"/>
      <c r="I122" s="35"/>
      <c r="J122" s="35"/>
      <c r="K122" s="35"/>
      <c r="L122" s="35"/>
      <c r="M122" s="35"/>
      <c r="N122" s="35"/>
      <c r="O122" s="35"/>
      <c r="P122" s="35"/>
      <c r="Q122" s="35"/>
      <c r="R122" s="35"/>
      <c r="S122" s="35"/>
      <c r="T122" s="35"/>
      <c r="U122" s="35"/>
      <c r="V122" s="35"/>
      <c r="W122" s="35"/>
    </row>
    <row r="123" spans="1:23" ht="15" hidden="1" x14ac:dyDescent="0.25">
      <c r="A123" s="91">
        <v>17500</v>
      </c>
      <c r="B123" s="91"/>
      <c r="C123" s="91">
        <v>30000</v>
      </c>
      <c r="D123" s="96">
        <v>6.8399999999999997E-3</v>
      </c>
      <c r="E123" s="91" t="str">
        <f>IF(B88&lt;=A123," ",IF(B88&lt;C123,(B88-C122)*D123,(C123-A123)*D123))</f>
        <v xml:space="preserve"> </v>
      </c>
      <c r="F123" s="35"/>
      <c r="G123" s="35"/>
      <c r="H123" s="35"/>
      <c r="I123" s="35"/>
      <c r="J123" s="35"/>
      <c r="K123" s="35"/>
      <c r="L123" s="35"/>
      <c r="M123" s="35"/>
      <c r="N123" s="35"/>
      <c r="O123" s="35"/>
      <c r="P123" s="35"/>
      <c r="Q123" s="35"/>
      <c r="R123" s="35"/>
      <c r="S123" s="35"/>
      <c r="T123" s="35"/>
      <c r="U123" s="35"/>
      <c r="V123" s="35"/>
      <c r="W123" s="35"/>
    </row>
    <row r="124" spans="1:23" ht="15" hidden="1" x14ac:dyDescent="0.25">
      <c r="A124" s="91">
        <v>30000</v>
      </c>
      <c r="B124" s="91"/>
      <c r="C124" s="91">
        <v>45495</v>
      </c>
      <c r="D124" s="96">
        <v>5.7000000000000002E-3</v>
      </c>
      <c r="E124" s="91" t="str">
        <f>IF(B88&lt;=A124," ",IF(B88&lt;C124,(B88-C123)*D124,(C124-A124)*D124))</f>
        <v xml:space="preserve"> </v>
      </c>
      <c r="F124" s="35"/>
      <c r="G124" s="35"/>
      <c r="H124" s="35"/>
      <c r="I124" s="35"/>
      <c r="J124" s="35"/>
      <c r="K124" s="35"/>
      <c r="L124" s="35"/>
      <c r="M124" s="35"/>
      <c r="N124" s="35"/>
      <c r="O124" s="35"/>
      <c r="P124" s="35"/>
      <c r="Q124" s="35"/>
      <c r="R124" s="35"/>
      <c r="S124" s="35"/>
      <c r="T124" s="35"/>
      <c r="U124" s="35"/>
      <c r="V124" s="35"/>
      <c r="W124" s="35"/>
    </row>
    <row r="125" spans="1:23" ht="15" hidden="1" x14ac:dyDescent="0.25">
      <c r="A125" s="91">
        <v>45495</v>
      </c>
      <c r="B125" s="91"/>
      <c r="C125" s="91">
        <v>64095</v>
      </c>
      <c r="D125" s="96">
        <v>4.5599999999999998E-3</v>
      </c>
      <c r="E125" s="91" t="str">
        <f>IF(B88&lt;=A125," ",IF(B88&lt;C125,(B88-C124)*D125,(C125-A125)*D125))</f>
        <v xml:space="preserve"> </v>
      </c>
      <c r="F125" s="35"/>
      <c r="G125" s="35"/>
      <c r="H125" s="35"/>
      <c r="I125" s="35"/>
      <c r="J125" s="35"/>
      <c r="K125" s="35"/>
      <c r="L125" s="35"/>
      <c r="M125" s="35"/>
      <c r="N125" s="35"/>
      <c r="O125" s="35"/>
      <c r="P125" s="35"/>
      <c r="Q125" s="35"/>
      <c r="R125" s="35"/>
      <c r="S125" s="35"/>
      <c r="T125" s="35"/>
      <c r="U125" s="35"/>
      <c r="V125" s="35"/>
      <c r="W125" s="35"/>
    </row>
    <row r="126" spans="1:23" ht="15" hidden="1" x14ac:dyDescent="0.25">
      <c r="A126" s="91">
        <v>64095</v>
      </c>
      <c r="B126" s="91"/>
      <c r="C126" s="91">
        <v>250095</v>
      </c>
      <c r="D126" s="96">
        <v>2.2799999999999999E-3</v>
      </c>
      <c r="E126" s="91" t="str">
        <f>IF(B88&lt;=A126," ",IF(B88&lt;C126,(B88-C125)*D126,(C126-A126)*D126))</f>
        <v xml:space="preserve"> </v>
      </c>
      <c r="F126" s="35"/>
      <c r="G126" s="35"/>
      <c r="H126" s="35"/>
      <c r="I126" s="35"/>
      <c r="J126" s="35"/>
      <c r="K126" s="35"/>
      <c r="L126" s="35"/>
      <c r="M126" s="35"/>
      <c r="N126" s="35"/>
      <c r="O126" s="35"/>
      <c r="P126" s="35"/>
      <c r="Q126" s="35"/>
      <c r="R126" s="35"/>
      <c r="S126" s="35"/>
      <c r="T126" s="35"/>
      <c r="U126" s="35"/>
      <c r="V126" s="35"/>
      <c r="W126" s="35"/>
    </row>
    <row r="127" spans="1:23" ht="15" hidden="1" x14ac:dyDescent="0.25">
      <c r="A127" s="91">
        <v>250095</v>
      </c>
      <c r="B127" s="91"/>
      <c r="C127" s="91">
        <f>B88</f>
        <v>0</v>
      </c>
      <c r="D127" s="97">
        <v>4.5600000000000003E-4</v>
      </c>
      <c r="E127" s="91" t="str">
        <f>IF(B88&lt;=A127,"E90",IF(B88&lt;C127,(B88-C126)*D127,(C127-A127)*D127))</f>
        <v>E90</v>
      </c>
      <c r="F127" s="35"/>
      <c r="G127" s="35"/>
      <c r="H127" s="35"/>
      <c r="I127" s="35"/>
      <c r="J127" s="35"/>
      <c r="K127" s="35"/>
      <c r="L127" s="35"/>
      <c r="M127" s="35"/>
      <c r="N127" s="35"/>
      <c r="O127" s="35"/>
      <c r="P127" s="35"/>
      <c r="Q127" s="35"/>
      <c r="R127" s="35"/>
      <c r="S127" s="35"/>
      <c r="T127" s="35"/>
      <c r="U127" s="35"/>
      <c r="V127" s="35"/>
      <c r="W127" s="35"/>
    </row>
    <row r="128" spans="1:23" ht="15" hidden="1" x14ac:dyDescent="0.25">
      <c r="A128" s="93"/>
      <c r="B128" s="93"/>
      <c r="C128" s="93"/>
      <c r="D128" s="93"/>
      <c r="E128" s="93"/>
      <c r="F128" s="35"/>
      <c r="G128" s="35"/>
      <c r="H128" s="35"/>
      <c r="I128" s="35"/>
      <c r="J128" s="35"/>
      <c r="K128" s="35"/>
      <c r="L128" s="35"/>
      <c r="M128" s="35"/>
      <c r="N128" s="35"/>
      <c r="O128" s="35"/>
      <c r="P128" s="35"/>
      <c r="Q128" s="35"/>
      <c r="R128" s="35"/>
      <c r="S128" s="35"/>
      <c r="T128" s="35"/>
      <c r="U128" s="35"/>
      <c r="V128" s="35"/>
      <c r="W128" s="35"/>
    </row>
    <row r="129" spans="1:23" ht="15" hidden="1" x14ac:dyDescent="0.25">
      <c r="A129" s="94" t="s">
        <v>83</v>
      </c>
      <c r="B129" s="98"/>
      <c r="C129" s="93"/>
      <c r="D129" s="93" t="s">
        <v>119</v>
      </c>
      <c r="E129" s="99">
        <f>SUM(E121:E128)</f>
        <v>0</v>
      </c>
      <c r="F129" s="35"/>
      <c r="G129" s="35"/>
      <c r="H129" s="35"/>
      <c r="I129" s="35"/>
      <c r="J129" s="35"/>
      <c r="K129" s="35"/>
      <c r="L129" s="35"/>
      <c r="M129" s="35"/>
      <c r="N129" s="35"/>
      <c r="O129" s="35"/>
      <c r="P129" s="35"/>
      <c r="Q129" s="35"/>
      <c r="R129" s="35"/>
      <c r="S129" s="35"/>
      <c r="T129" s="35"/>
      <c r="U129" s="35"/>
      <c r="V129" s="35"/>
      <c r="W129" s="35"/>
    </row>
    <row r="130" spans="1:23" hidden="1" x14ac:dyDescent="0.2">
      <c r="A130" s="100"/>
      <c r="B130" s="100"/>
      <c r="C130" s="100"/>
      <c r="D130" s="100" t="s">
        <v>120</v>
      </c>
      <c r="E130" s="101">
        <f>E129/4</f>
        <v>0</v>
      </c>
      <c r="F130" s="35"/>
      <c r="G130" s="35"/>
      <c r="H130" s="35"/>
      <c r="I130" s="35"/>
      <c r="J130" s="35"/>
      <c r="K130" s="35"/>
      <c r="L130" s="35"/>
      <c r="M130" s="35"/>
      <c r="N130" s="35"/>
      <c r="O130" s="35"/>
      <c r="P130" s="35"/>
      <c r="Q130" s="35"/>
      <c r="R130" s="35"/>
      <c r="S130" s="35"/>
      <c r="T130" s="35"/>
      <c r="U130" s="35"/>
      <c r="V130" s="35"/>
      <c r="W130" s="35"/>
    </row>
    <row r="131" spans="1:23" hidden="1" x14ac:dyDescent="0.2">
      <c r="B131" s="35"/>
      <c r="C131" s="35"/>
      <c r="D131" s="35"/>
      <c r="E131" s="35"/>
      <c r="F131" s="35"/>
      <c r="G131" s="35"/>
      <c r="H131" s="35"/>
      <c r="I131" s="35"/>
      <c r="J131" s="35"/>
      <c r="K131" s="35"/>
      <c r="L131" s="35"/>
      <c r="M131" s="35"/>
      <c r="N131" s="35"/>
      <c r="O131" s="35"/>
      <c r="P131" s="35"/>
      <c r="Q131" s="35"/>
      <c r="R131" s="35"/>
      <c r="S131" s="35"/>
      <c r="T131" s="35"/>
      <c r="U131" s="35"/>
      <c r="V131" s="35"/>
      <c r="W131" s="35"/>
    </row>
    <row r="132" spans="1:23" hidden="1" x14ac:dyDescent="0.2">
      <c r="A132" s="71" t="s">
        <v>105</v>
      </c>
      <c r="B132" s="71"/>
      <c r="C132" s="75"/>
      <c r="D132" s="75"/>
      <c r="E132" s="75"/>
      <c r="F132" s="75" t="s">
        <v>106</v>
      </c>
      <c r="G132" s="75"/>
      <c r="H132" s="35"/>
      <c r="I132" s="35"/>
      <c r="J132" s="35"/>
      <c r="K132" s="35"/>
      <c r="L132" s="35"/>
      <c r="M132" s="35"/>
      <c r="N132" s="35"/>
      <c r="O132" s="35"/>
      <c r="P132" s="35"/>
      <c r="Q132" s="35"/>
      <c r="R132" s="35"/>
      <c r="S132" s="35"/>
      <c r="T132" s="35"/>
      <c r="U132" s="35"/>
      <c r="V132" s="35"/>
      <c r="W132" s="35"/>
    </row>
    <row r="133" spans="1:23" hidden="1" x14ac:dyDescent="0.2">
      <c r="A133" s="71">
        <v>67.31</v>
      </c>
      <c r="B133" s="71" t="s">
        <v>107</v>
      </c>
      <c r="C133" s="75">
        <v>25000</v>
      </c>
      <c r="D133" s="75"/>
      <c r="E133" s="75"/>
      <c r="F133" s="75"/>
      <c r="G133" s="75"/>
      <c r="H133" s="35"/>
      <c r="I133" s="35"/>
      <c r="J133" s="35"/>
      <c r="K133" s="35"/>
      <c r="L133" s="35"/>
      <c r="M133" s="35"/>
      <c r="N133" s="35"/>
      <c r="O133" s="35"/>
      <c r="P133" s="35"/>
      <c r="Q133" s="35"/>
      <c r="R133" s="35"/>
      <c r="S133" s="35"/>
      <c r="T133" s="35"/>
      <c r="U133" s="35"/>
      <c r="V133" s="35"/>
      <c r="W133" s="35"/>
    </row>
    <row r="134" spans="1:23" hidden="1" x14ac:dyDescent="0.2">
      <c r="A134" s="71">
        <v>23.56</v>
      </c>
      <c r="B134" s="71" t="s">
        <v>108</v>
      </c>
      <c r="C134" s="75">
        <v>25000</v>
      </c>
      <c r="D134" s="75" t="s">
        <v>109</v>
      </c>
      <c r="E134" s="75"/>
      <c r="F134" s="75"/>
      <c r="G134" s="75"/>
      <c r="H134" s="35"/>
      <c r="I134" s="35"/>
      <c r="J134" s="35"/>
      <c r="K134" s="35"/>
      <c r="L134" s="35"/>
      <c r="M134" s="35"/>
      <c r="N134" s="35"/>
      <c r="O134" s="35"/>
      <c r="P134" s="35"/>
      <c r="Q134" s="35"/>
      <c r="R134" s="35"/>
      <c r="S134" s="35"/>
      <c r="T134" s="35"/>
      <c r="U134" s="35"/>
      <c r="V134" s="35"/>
      <c r="W134" s="35"/>
    </row>
    <row r="135" spans="1:23" hidden="1" x14ac:dyDescent="0.2">
      <c r="A135" s="71"/>
      <c r="B135" s="71"/>
      <c r="C135" s="75"/>
      <c r="D135" s="75"/>
      <c r="E135" s="75"/>
      <c r="F135" s="75"/>
      <c r="G135" s="75"/>
      <c r="H135" s="35"/>
      <c r="I135" s="35"/>
      <c r="J135" s="35"/>
      <c r="K135" s="35"/>
      <c r="L135" s="35"/>
      <c r="M135" s="35"/>
      <c r="N135" s="35"/>
      <c r="O135" s="35"/>
      <c r="P135" s="35"/>
      <c r="Q135" s="35"/>
      <c r="R135" s="35"/>
      <c r="S135" s="35"/>
      <c r="T135" s="35"/>
      <c r="U135" s="35"/>
      <c r="V135" s="35"/>
      <c r="W135" s="35"/>
    </row>
    <row r="136" spans="1:23" hidden="1" x14ac:dyDescent="0.2">
      <c r="A136" s="71"/>
      <c r="B136" s="71"/>
      <c r="C136" s="75"/>
      <c r="D136" s="75"/>
      <c r="E136" s="75"/>
      <c r="F136" s="75"/>
      <c r="G136" s="75"/>
      <c r="H136" s="35"/>
      <c r="I136" s="35"/>
      <c r="J136" s="35"/>
      <c r="K136" s="35"/>
      <c r="L136" s="35"/>
      <c r="M136" s="35"/>
      <c r="N136" s="35"/>
      <c r="O136" s="35"/>
      <c r="P136" s="35"/>
      <c r="Q136" s="35"/>
      <c r="R136" s="35"/>
      <c r="S136" s="35"/>
      <c r="T136" s="35"/>
      <c r="U136" s="35"/>
      <c r="V136" s="35"/>
      <c r="W136" s="35"/>
    </row>
    <row r="137" spans="1:23" hidden="1" x14ac:dyDescent="0.2">
      <c r="A137" s="71"/>
      <c r="B137" s="71"/>
      <c r="C137" s="75"/>
      <c r="D137" s="75"/>
      <c r="E137" s="75"/>
      <c r="F137" s="75"/>
      <c r="G137" s="75">
        <f>SUM(C71,C74)</f>
        <v>660</v>
      </c>
      <c r="H137" s="35"/>
      <c r="I137" s="35"/>
      <c r="J137" s="35"/>
      <c r="K137" s="35"/>
      <c r="L137" s="35"/>
      <c r="M137" s="35"/>
      <c r="N137" s="35"/>
      <c r="O137" s="35"/>
      <c r="P137" s="35"/>
      <c r="Q137" s="35"/>
      <c r="R137" s="35"/>
      <c r="S137" s="35"/>
      <c r="T137" s="35"/>
      <c r="U137" s="35"/>
      <c r="V137" s="35"/>
      <c r="W137" s="35"/>
    </row>
    <row r="138" spans="1:23" hidden="1" x14ac:dyDescent="0.2">
      <c r="A138" s="71" t="s">
        <v>110</v>
      </c>
      <c r="B138" s="71"/>
      <c r="C138" s="75" t="s">
        <v>81</v>
      </c>
      <c r="D138" s="75" t="s">
        <v>111</v>
      </c>
      <c r="E138" s="75"/>
      <c r="F138" s="75"/>
      <c r="G138" s="75"/>
      <c r="H138" s="35"/>
      <c r="I138" s="35"/>
      <c r="J138" s="35"/>
      <c r="K138" s="35"/>
      <c r="L138" s="35"/>
      <c r="M138" s="35"/>
      <c r="N138" s="35"/>
      <c r="O138" s="35"/>
      <c r="P138" s="35"/>
      <c r="Q138" s="35"/>
      <c r="R138" s="35"/>
      <c r="S138" s="35"/>
      <c r="T138" s="35"/>
      <c r="U138" s="35"/>
      <c r="V138" s="35"/>
      <c r="W138" s="35"/>
    </row>
    <row r="139" spans="1:23" hidden="1" x14ac:dyDescent="0.2">
      <c r="A139" s="71"/>
      <c r="B139" s="71"/>
      <c r="C139" s="75">
        <f>C62</f>
        <v>0</v>
      </c>
      <c r="D139" s="75">
        <f>IF(C62=0,575,550)</f>
        <v>575</v>
      </c>
      <c r="E139" s="75"/>
      <c r="F139" s="75"/>
      <c r="G139" s="75"/>
      <c r="H139" s="35"/>
      <c r="I139" s="35"/>
      <c r="J139" s="35"/>
      <c r="K139" s="35"/>
      <c r="L139" s="35"/>
      <c r="M139" s="35"/>
      <c r="N139" s="35"/>
      <c r="O139" s="35"/>
      <c r="P139" s="35"/>
      <c r="Q139" s="35"/>
      <c r="R139" s="35"/>
      <c r="S139" s="35"/>
      <c r="T139" s="35"/>
      <c r="U139" s="35"/>
      <c r="V139" s="35"/>
      <c r="W139" s="35"/>
    </row>
    <row r="140" spans="1:23" hidden="1" x14ac:dyDescent="0.2">
      <c r="A140" s="71"/>
      <c r="B140" s="71"/>
      <c r="C140" s="75"/>
      <c r="D140" s="75"/>
      <c r="E140" s="75"/>
      <c r="F140" s="75"/>
      <c r="G140" s="75"/>
      <c r="H140" s="35"/>
      <c r="I140" s="35"/>
      <c r="J140" s="35"/>
      <c r="K140" s="35"/>
      <c r="L140" s="35"/>
      <c r="M140" s="35"/>
      <c r="N140" s="35"/>
      <c r="O140" s="35"/>
      <c r="P140" s="35"/>
      <c r="Q140" s="35"/>
      <c r="R140" s="35"/>
      <c r="S140" s="35"/>
      <c r="T140" s="35"/>
      <c r="U140" s="35"/>
      <c r="V140" s="35"/>
      <c r="W140" s="35"/>
    </row>
    <row r="141" spans="1:23" hidden="1" x14ac:dyDescent="0.2">
      <c r="A141" s="71"/>
      <c r="B141" s="71"/>
      <c r="C141" s="75"/>
      <c r="D141" s="75"/>
      <c r="E141" s="75"/>
      <c r="F141" s="75"/>
      <c r="G141" s="75"/>
      <c r="H141" s="35"/>
      <c r="I141" s="35"/>
      <c r="J141" s="35"/>
      <c r="K141" s="35"/>
      <c r="L141" s="35"/>
      <c r="M141" s="35"/>
      <c r="N141" s="35"/>
      <c r="O141" s="35"/>
      <c r="P141" s="35"/>
      <c r="Q141" s="35"/>
      <c r="R141" s="35"/>
      <c r="S141" s="35"/>
      <c r="T141" s="35"/>
      <c r="U141" s="35"/>
      <c r="V141" s="35"/>
      <c r="W141" s="35"/>
    </row>
    <row r="142" spans="1:23" hidden="1" x14ac:dyDescent="0.2">
      <c r="A142" s="71"/>
      <c r="B142" s="71"/>
      <c r="C142" s="75"/>
      <c r="D142" s="75"/>
      <c r="E142" s="75"/>
      <c r="F142" s="75"/>
      <c r="G142" s="75"/>
      <c r="H142" s="35"/>
      <c r="I142" s="35"/>
      <c r="J142" s="35"/>
      <c r="K142" s="35"/>
      <c r="L142" s="35"/>
      <c r="M142" s="35"/>
      <c r="N142" s="35"/>
      <c r="O142" s="35"/>
      <c r="P142" s="35"/>
      <c r="Q142" s="35"/>
      <c r="R142" s="35"/>
      <c r="S142" s="35"/>
      <c r="T142" s="35"/>
      <c r="U142" s="35"/>
      <c r="V142" s="35"/>
      <c r="W142" s="35"/>
    </row>
    <row r="143" spans="1:23" hidden="1" x14ac:dyDescent="0.2">
      <c r="A143" s="71">
        <f>C61+C62+C66+C68+C71+C74</f>
        <v>860</v>
      </c>
      <c r="B143" s="71"/>
      <c r="C143" s="75"/>
      <c r="D143" s="75"/>
      <c r="E143" s="75" t="s">
        <v>10</v>
      </c>
      <c r="F143" s="75"/>
      <c r="G143" s="75"/>
      <c r="H143" s="35"/>
      <c r="I143" s="35"/>
      <c r="J143" s="35"/>
      <c r="K143" s="35"/>
      <c r="L143" s="35"/>
      <c r="M143" s="35"/>
      <c r="N143" s="35"/>
      <c r="O143" s="35"/>
      <c r="P143" s="35"/>
      <c r="Q143" s="35"/>
      <c r="R143" s="35"/>
      <c r="S143" s="35"/>
      <c r="T143" s="35"/>
      <c r="U143" s="35"/>
      <c r="V143" s="35"/>
      <c r="W143" s="35"/>
    </row>
    <row r="144" spans="1:23" hidden="1" x14ac:dyDescent="0.2">
      <c r="A144" s="71"/>
      <c r="B144" s="71"/>
      <c r="C144" s="75"/>
      <c r="D144" s="75"/>
      <c r="E144" s="75" t="s">
        <v>7</v>
      </c>
      <c r="F144" s="75"/>
      <c r="G144" s="75"/>
      <c r="H144" s="35"/>
      <c r="I144" s="35"/>
      <c r="J144" s="35"/>
      <c r="K144" s="35"/>
      <c r="L144" s="35"/>
      <c r="M144" s="35"/>
      <c r="N144" s="35"/>
      <c r="O144" s="35"/>
      <c r="P144" s="35"/>
      <c r="Q144" s="35"/>
      <c r="R144" s="35"/>
      <c r="S144" s="35"/>
      <c r="T144" s="35"/>
      <c r="U144" s="35"/>
      <c r="V144" s="35"/>
      <c r="W144" s="35"/>
    </row>
    <row r="145" spans="1:23" hidden="1" x14ac:dyDescent="0.2">
      <c r="A145" s="71"/>
      <c r="B145" s="71"/>
      <c r="C145" s="75"/>
      <c r="D145" s="75"/>
      <c r="E145" s="75"/>
      <c r="F145" s="75"/>
      <c r="G145" s="75"/>
      <c r="H145" s="35"/>
      <c r="I145" s="35"/>
      <c r="J145" s="35"/>
      <c r="K145" s="35"/>
      <c r="L145" s="35"/>
      <c r="M145" s="35"/>
      <c r="N145" s="35"/>
      <c r="O145" s="35"/>
      <c r="P145" s="35"/>
      <c r="Q145" s="35"/>
      <c r="R145" s="35"/>
      <c r="S145" s="35"/>
      <c r="T145" s="35"/>
      <c r="U145" s="35"/>
      <c r="V145" s="35"/>
      <c r="W145" s="35"/>
    </row>
    <row r="146" spans="1:23" hidden="1" x14ac:dyDescent="0.2">
      <c r="A146" s="71"/>
      <c r="B146" s="71"/>
      <c r="C146" s="75"/>
      <c r="D146" s="75"/>
      <c r="E146" s="75"/>
      <c r="F146" s="75"/>
      <c r="G146" s="75"/>
      <c r="H146" s="35"/>
      <c r="I146" s="35"/>
      <c r="J146" s="35"/>
      <c r="K146" s="35"/>
      <c r="L146" s="35"/>
      <c r="M146" s="35"/>
      <c r="N146" s="35"/>
      <c r="O146" s="35"/>
      <c r="P146" s="35"/>
      <c r="Q146" s="35"/>
      <c r="R146" s="35"/>
      <c r="S146" s="35"/>
      <c r="T146" s="35"/>
      <c r="U146" s="35"/>
      <c r="V146" s="35"/>
      <c r="W146" s="35"/>
    </row>
    <row r="147" spans="1:23" hidden="1" x14ac:dyDescent="0.2">
      <c r="A147" s="71"/>
      <c r="B147" s="71"/>
      <c r="C147" s="75"/>
      <c r="D147" s="75"/>
      <c r="E147" s="75"/>
      <c r="F147" s="75"/>
      <c r="G147" s="75"/>
      <c r="H147" s="35"/>
      <c r="I147" s="35"/>
      <c r="J147" s="35"/>
      <c r="K147" s="35"/>
      <c r="L147" s="35"/>
      <c r="M147" s="35"/>
      <c r="N147" s="35"/>
      <c r="O147" s="35"/>
      <c r="P147" s="35"/>
      <c r="Q147" s="35"/>
      <c r="R147" s="35"/>
      <c r="S147" s="35"/>
      <c r="T147" s="35"/>
      <c r="U147" s="35"/>
      <c r="V147" s="35"/>
      <c r="W147" s="35"/>
    </row>
    <row r="148" spans="1:23" hidden="1" x14ac:dyDescent="0.2">
      <c r="A148" s="71"/>
      <c r="B148" s="71"/>
      <c r="C148" s="75"/>
      <c r="D148" s="75"/>
      <c r="E148" s="75"/>
      <c r="F148" s="75"/>
      <c r="G148" s="75"/>
      <c r="H148" s="35"/>
      <c r="I148" s="35"/>
      <c r="J148" s="35"/>
      <c r="K148" s="35"/>
      <c r="L148" s="35"/>
      <c r="M148" s="35"/>
      <c r="N148" s="35"/>
      <c r="O148" s="35"/>
      <c r="P148" s="35"/>
      <c r="Q148" s="35"/>
      <c r="R148" s="35"/>
      <c r="S148" s="35"/>
      <c r="T148" s="35"/>
      <c r="U148" s="35"/>
      <c r="V148" s="35"/>
      <c r="W148" s="35"/>
    </row>
    <row r="149" spans="1:23" hidden="1" x14ac:dyDescent="0.2">
      <c r="A149" s="71"/>
      <c r="B149" s="71"/>
      <c r="C149" s="75"/>
      <c r="D149" s="75"/>
      <c r="E149" s="75"/>
      <c r="F149" s="75"/>
      <c r="G149" s="75"/>
      <c r="H149" s="35"/>
      <c r="I149" s="35"/>
      <c r="J149" s="35"/>
      <c r="K149" s="35"/>
      <c r="L149" s="35"/>
      <c r="M149" s="35"/>
      <c r="N149" s="35"/>
      <c r="O149" s="35"/>
      <c r="P149" s="35"/>
      <c r="Q149" s="35"/>
      <c r="R149" s="35"/>
      <c r="S149" s="35"/>
      <c r="T149" s="35"/>
      <c r="U149" s="35"/>
      <c r="V149" s="35"/>
      <c r="W149" s="35"/>
    </row>
    <row r="150" spans="1:23" hidden="1" x14ac:dyDescent="0.2">
      <c r="A150" s="71"/>
      <c r="B150" s="71"/>
      <c r="C150" s="75"/>
      <c r="D150" s="75"/>
      <c r="E150" s="75"/>
      <c r="F150" s="75"/>
      <c r="G150" s="75"/>
      <c r="H150" s="35"/>
      <c r="I150" s="35"/>
      <c r="J150" s="35"/>
      <c r="K150" s="35"/>
      <c r="L150" s="35"/>
      <c r="M150" s="35"/>
      <c r="N150" s="35"/>
      <c r="O150" s="35"/>
      <c r="P150" s="35"/>
      <c r="Q150" s="35"/>
      <c r="R150" s="35"/>
      <c r="S150" s="35"/>
      <c r="T150" s="35"/>
      <c r="U150" s="35"/>
      <c r="V150" s="35"/>
      <c r="W150" s="35"/>
    </row>
    <row r="151" spans="1:23" hidden="1" x14ac:dyDescent="0.2">
      <c r="A151" s="71"/>
      <c r="B151" s="71"/>
      <c r="C151" s="75"/>
      <c r="D151" s="75"/>
      <c r="E151" s="75"/>
      <c r="F151" s="75"/>
      <c r="G151" s="75"/>
      <c r="H151" s="35"/>
      <c r="I151" s="35"/>
      <c r="J151" s="35"/>
      <c r="K151" s="35"/>
      <c r="L151" s="35"/>
      <c r="M151" s="35"/>
      <c r="N151" s="35"/>
      <c r="O151" s="35"/>
      <c r="P151" s="35"/>
      <c r="Q151" s="35"/>
      <c r="R151" s="35"/>
      <c r="S151" s="35"/>
      <c r="T151" s="35"/>
      <c r="U151" s="35"/>
      <c r="V151" s="35"/>
      <c r="W151" s="35"/>
    </row>
    <row r="152" spans="1:23" hidden="1" x14ac:dyDescent="0.2">
      <c r="A152" s="71"/>
      <c r="B152" s="71"/>
      <c r="C152" s="75"/>
      <c r="D152" s="75"/>
      <c r="E152" s="75"/>
      <c r="F152" s="75"/>
      <c r="G152" s="75"/>
      <c r="H152" s="35"/>
      <c r="I152" s="35"/>
      <c r="J152" s="35"/>
      <c r="K152" s="35"/>
      <c r="L152" s="35"/>
      <c r="M152" s="35"/>
      <c r="N152" s="35"/>
      <c r="O152" s="35"/>
      <c r="P152" s="35"/>
      <c r="Q152" s="35"/>
      <c r="R152" s="35"/>
      <c r="S152" s="35"/>
      <c r="T152" s="35"/>
      <c r="U152" s="35"/>
      <c r="V152" s="35"/>
      <c r="W152" s="35"/>
    </row>
    <row r="153" spans="1:23" hidden="1" x14ac:dyDescent="0.2">
      <c r="A153" s="71"/>
      <c r="B153" s="71"/>
      <c r="C153" s="75"/>
      <c r="D153" s="75"/>
      <c r="E153" s="75"/>
      <c r="F153" s="75"/>
      <c r="G153" s="75"/>
      <c r="H153" s="35"/>
      <c r="I153" s="35"/>
      <c r="J153" s="35"/>
      <c r="K153" s="35"/>
      <c r="L153" s="35"/>
      <c r="M153" s="35"/>
      <c r="N153" s="35"/>
      <c r="O153" s="35"/>
      <c r="P153" s="35"/>
      <c r="Q153" s="35"/>
      <c r="R153" s="35"/>
      <c r="S153" s="35"/>
      <c r="T153" s="35"/>
      <c r="U153" s="35"/>
      <c r="V153" s="35"/>
      <c r="W153" s="35"/>
    </row>
    <row r="154" spans="1:23" hidden="1" x14ac:dyDescent="0.2">
      <c r="A154" s="71"/>
      <c r="B154" s="71"/>
      <c r="C154" s="75"/>
      <c r="D154" s="75"/>
      <c r="E154" s="75"/>
      <c r="F154" s="75"/>
      <c r="G154" s="75"/>
      <c r="H154" s="35"/>
      <c r="I154" s="35"/>
      <c r="J154" s="35"/>
      <c r="K154" s="35"/>
      <c r="L154" s="35"/>
      <c r="M154" s="35"/>
      <c r="N154" s="35"/>
      <c r="O154" s="35"/>
      <c r="P154" s="35"/>
      <c r="Q154" s="35"/>
      <c r="R154" s="35"/>
      <c r="S154" s="35"/>
      <c r="T154" s="35"/>
      <c r="U154" s="35"/>
      <c r="V154" s="35"/>
      <c r="W154" s="35"/>
    </row>
    <row r="155" spans="1:23" hidden="1" x14ac:dyDescent="0.2">
      <c r="A155" s="71"/>
      <c r="B155" s="71"/>
      <c r="C155" s="75"/>
      <c r="D155" s="75"/>
      <c r="E155" s="75"/>
      <c r="F155" s="75"/>
      <c r="G155" s="75"/>
      <c r="H155" s="35"/>
      <c r="I155" s="35"/>
      <c r="J155" s="35"/>
      <c r="K155" s="35"/>
      <c r="L155" s="35"/>
      <c r="M155" s="35"/>
      <c r="N155" s="35"/>
      <c r="O155" s="35"/>
      <c r="P155" s="35"/>
      <c r="Q155" s="35"/>
      <c r="R155" s="35"/>
      <c r="S155" s="35"/>
      <c r="T155" s="35"/>
      <c r="U155" s="35"/>
      <c r="V155" s="35"/>
      <c r="W155" s="35"/>
    </row>
    <row r="156" spans="1:23" hidden="1" x14ac:dyDescent="0.2">
      <c r="A156" s="71"/>
      <c r="B156" s="71"/>
      <c r="C156" s="75"/>
      <c r="D156" s="75"/>
      <c r="E156" s="75"/>
      <c r="F156" s="75"/>
      <c r="G156" s="75"/>
      <c r="H156" s="35"/>
      <c r="I156" s="35"/>
      <c r="J156" s="35"/>
      <c r="K156" s="35"/>
      <c r="L156" s="35"/>
      <c r="M156" s="35"/>
      <c r="N156" s="35"/>
      <c r="O156" s="35"/>
      <c r="P156" s="35"/>
      <c r="Q156" s="35"/>
      <c r="R156" s="35"/>
      <c r="S156" s="35"/>
      <c r="T156" s="35"/>
      <c r="U156" s="35"/>
      <c r="V156" s="35"/>
      <c r="W156" s="35"/>
    </row>
    <row r="157" spans="1:23" hidden="1" x14ac:dyDescent="0.2">
      <c r="A157" s="71"/>
      <c r="B157" s="71"/>
      <c r="C157" s="75"/>
      <c r="D157" s="75"/>
      <c r="E157" s="75"/>
      <c r="F157" s="75"/>
      <c r="G157" s="75"/>
      <c r="H157" s="35"/>
      <c r="I157" s="35"/>
      <c r="J157" s="35"/>
      <c r="K157" s="35"/>
      <c r="L157" s="35"/>
      <c r="M157" s="35"/>
      <c r="N157" s="35"/>
      <c r="O157" s="35"/>
      <c r="P157" s="35"/>
      <c r="Q157" s="35"/>
      <c r="R157" s="35"/>
      <c r="S157" s="35"/>
      <c r="T157" s="35"/>
      <c r="U157" s="35"/>
      <c r="V157" s="35"/>
      <c r="W157" s="35"/>
    </row>
    <row r="158" spans="1:23" hidden="1" x14ac:dyDescent="0.2">
      <c r="A158" s="71"/>
      <c r="B158" s="71"/>
      <c r="C158" s="75"/>
      <c r="D158" s="75"/>
      <c r="E158" s="75"/>
      <c r="F158" s="75"/>
      <c r="G158" s="75"/>
      <c r="H158" s="35"/>
      <c r="I158" s="35"/>
      <c r="J158" s="35"/>
      <c r="K158" s="35"/>
      <c r="L158" s="35"/>
      <c r="M158" s="35"/>
      <c r="N158" s="35"/>
      <c r="O158" s="35"/>
      <c r="P158" s="35"/>
      <c r="Q158" s="35"/>
      <c r="R158" s="35"/>
      <c r="S158" s="35"/>
      <c r="T158" s="35"/>
      <c r="U158" s="35"/>
      <c r="V158" s="35"/>
      <c r="W158" s="35"/>
    </row>
    <row r="159" spans="1:23" hidden="1" x14ac:dyDescent="0.2">
      <c r="A159" s="71"/>
      <c r="B159" s="71"/>
      <c r="C159" s="75"/>
      <c r="D159" s="75"/>
      <c r="E159" s="75"/>
      <c r="F159" s="75"/>
      <c r="G159" s="75"/>
      <c r="H159" s="35"/>
      <c r="I159" s="35"/>
      <c r="J159" s="35"/>
      <c r="K159" s="35"/>
      <c r="L159" s="35"/>
      <c r="M159" s="35"/>
      <c r="N159" s="35"/>
      <c r="O159" s="35"/>
      <c r="P159" s="35"/>
      <c r="Q159" s="35"/>
      <c r="R159" s="35"/>
      <c r="S159" s="35"/>
      <c r="T159" s="35"/>
      <c r="U159" s="35"/>
      <c r="V159" s="35"/>
      <c r="W159" s="35"/>
    </row>
    <row r="160" spans="1:23" hidden="1" x14ac:dyDescent="0.2">
      <c r="A160" s="71"/>
      <c r="B160" s="71"/>
      <c r="C160" s="75"/>
      <c r="D160" s="75"/>
      <c r="E160" s="75"/>
      <c r="F160" s="75"/>
      <c r="G160" s="75"/>
      <c r="H160" s="35"/>
      <c r="I160" s="35"/>
      <c r="J160" s="35"/>
      <c r="K160" s="35"/>
      <c r="L160" s="35"/>
      <c r="M160" s="35"/>
      <c r="N160" s="35"/>
      <c r="O160" s="35"/>
      <c r="P160" s="35"/>
      <c r="Q160" s="35"/>
      <c r="R160" s="35"/>
      <c r="S160" s="35"/>
      <c r="T160" s="35"/>
      <c r="U160" s="35"/>
      <c r="V160" s="35"/>
      <c r="W160" s="35"/>
    </row>
    <row r="161" spans="1:23" hidden="1" x14ac:dyDescent="0.2">
      <c r="A161" s="71"/>
      <c r="B161" s="71"/>
      <c r="C161" s="75"/>
      <c r="D161" s="75"/>
      <c r="E161" s="75"/>
      <c r="F161" s="75"/>
      <c r="G161" s="75"/>
      <c r="H161" s="35"/>
      <c r="I161" s="35"/>
      <c r="J161" s="35"/>
      <c r="K161" s="35"/>
      <c r="L161" s="35"/>
      <c r="M161" s="35"/>
      <c r="N161" s="35"/>
      <c r="O161" s="35"/>
      <c r="P161" s="35"/>
      <c r="Q161" s="35"/>
      <c r="R161" s="35"/>
      <c r="S161" s="35"/>
      <c r="T161" s="35"/>
      <c r="U161" s="35"/>
      <c r="V161" s="35"/>
      <c r="W161" s="35"/>
    </row>
    <row r="162" spans="1:23" hidden="1" x14ac:dyDescent="0.2">
      <c r="A162" s="71"/>
      <c r="B162" s="71"/>
      <c r="C162" s="75"/>
      <c r="D162" s="75"/>
      <c r="E162" s="75"/>
      <c r="F162" s="75"/>
      <c r="G162" s="75"/>
      <c r="H162" s="35"/>
      <c r="I162" s="35"/>
      <c r="J162" s="35"/>
      <c r="K162" s="35"/>
      <c r="L162" s="35"/>
      <c r="M162" s="35"/>
      <c r="N162" s="35"/>
      <c r="O162" s="35"/>
      <c r="P162" s="35"/>
      <c r="Q162" s="35"/>
      <c r="R162" s="35"/>
      <c r="S162" s="35"/>
      <c r="T162" s="35"/>
      <c r="U162" s="35"/>
      <c r="V162" s="35"/>
      <c r="W162" s="35"/>
    </row>
    <row r="163" spans="1:23" hidden="1" x14ac:dyDescent="0.2">
      <c r="A163" s="71"/>
      <c r="B163" s="71"/>
      <c r="C163" s="75"/>
      <c r="D163" s="75"/>
      <c r="E163" s="75"/>
      <c r="F163" s="75"/>
      <c r="G163" s="75"/>
      <c r="H163" s="35"/>
      <c r="I163" s="35"/>
      <c r="J163" s="35"/>
      <c r="K163" s="35"/>
      <c r="L163" s="35"/>
      <c r="M163" s="35"/>
      <c r="N163" s="35"/>
      <c r="O163" s="35"/>
      <c r="P163" s="35"/>
      <c r="Q163" s="35"/>
      <c r="R163" s="35"/>
      <c r="S163" s="35"/>
      <c r="T163" s="35"/>
      <c r="U163" s="35"/>
      <c r="V163" s="35"/>
      <c r="W163" s="35"/>
    </row>
    <row r="164" spans="1:23" hidden="1" x14ac:dyDescent="0.2">
      <c r="A164" s="71"/>
      <c r="B164" s="71"/>
      <c r="C164" s="75"/>
      <c r="D164" s="75"/>
      <c r="E164" s="75"/>
      <c r="F164" s="75"/>
      <c r="G164" s="75"/>
      <c r="H164" s="35"/>
      <c r="I164" s="35"/>
      <c r="J164" s="35"/>
      <c r="K164" s="35"/>
      <c r="L164" s="35"/>
      <c r="M164" s="35"/>
      <c r="N164" s="35"/>
      <c r="O164" s="35"/>
      <c r="P164" s="35"/>
      <c r="Q164" s="35"/>
      <c r="R164" s="35"/>
      <c r="S164" s="35"/>
      <c r="T164" s="35"/>
      <c r="U164" s="35"/>
      <c r="V164" s="35"/>
      <c r="W164" s="35"/>
    </row>
    <row r="165" spans="1:23" hidden="1" x14ac:dyDescent="0.2">
      <c r="A165" s="71"/>
      <c r="B165" s="71"/>
      <c r="C165" s="75"/>
      <c r="D165" s="75"/>
      <c r="E165" s="75"/>
      <c r="F165" s="75"/>
      <c r="G165" s="75"/>
      <c r="H165" s="35"/>
      <c r="I165" s="35"/>
      <c r="J165" s="35"/>
      <c r="K165" s="35"/>
      <c r="L165" s="35"/>
      <c r="M165" s="35"/>
      <c r="N165" s="35"/>
      <c r="O165" s="35"/>
      <c r="P165" s="35"/>
      <c r="Q165" s="35"/>
      <c r="R165" s="35"/>
      <c r="S165" s="35"/>
      <c r="T165" s="35"/>
      <c r="U165" s="35"/>
      <c r="V165" s="35"/>
      <c r="W165" s="35"/>
    </row>
    <row r="166" spans="1:23" hidden="1" x14ac:dyDescent="0.2">
      <c r="A166" s="71"/>
      <c r="B166" s="71"/>
      <c r="C166" s="75"/>
      <c r="D166" s="75"/>
      <c r="E166" s="75"/>
      <c r="F166" s="75"/>
      <c r="G166" s="75"/>
      <c r="H166" s="35"/>
      <c r="I166" s="35"/>
      <c r="J166" s="35"/>
      <c r="K166" s="35"/>
      <c r="L166" s="35"/>
      <c r="M166" s="35"/>
      <c r="N166" s="35"/>
      <c r="O166" s="35"/>
      <c r="P166" s="35"/>
      <c r="Q166" s="35"/>
      <c r="R166" s="35"/>
      <c r="S166" s="35"/>
      <c r="T166" s="35"/>
      <c r="U166" s="35"/>
      <c r="V166" s="35"/>
      <c r="W166" s="35"/>
    </row>
    <row r="167" spans="1:23" hidden="1" x14ac:dyDescent="0.2">
      <c r="A167" s="71"/>
      <c r="B167" s="71"/>
      <c r="C167" s="75"/>
      <c r="D167" s="75"/>
      <c r="E167" s="75"/>
      <c r="F167" s="75"/>
      <c r="G167" s="75"/>
      <c r="H167" s="35"/>
      <c r="I167" s="35"/>
      <c r="J167" s="35"/>
      <c r="K167" s="35"/>
      <c r="L167" s="35"/>
      <c r="M167" s="35"/>
      <c r="N167" s="35"/>
      <c r="O167" s="35"/>
      <c r="P167" s="35"/>
      <c r="Q167" s="35"/>
      <c r="R167" s="35"/>
      <c r="S167" s="35"/>
      <c r="T167" s="35"/>
      <c r="U167" s="35"/>
      <c r="V167" s="35"/>
      <c r="W167" s="35"/>
    </row>
    <row r="168" spans="1:23" hidden="1" x14ac:dyDescent="0.2">
      <c r="A168" s="71"/>
      <c r="B168" s="71"/>
      <c r="C168" s="75"/>
      <c r="D168" s="75"/>
      <c r="E168" s="75"/>
      <c r="F168" s="75"/>
      <c r="G168" s="75"/>
      <c r="H168" s="35"/>
      <c r="I168" s="35"/>
      <c r="J168" s="35"/>
      <c r="K168" s="35"/>
      <c r="L168" s="35"/>
      <c r="M168" s="35"/>
      <c r="N168" s="35"/>
      <c r="O168" s="35"/>
      <c r="P168" s="35"/>
      <c r="Q168" s="35"/>
      <c r="R168" s="35"/>
      <c r="S168" s="35"/>
      <c r="T168" s="35"/>
      <c r="U168" s="35"/>
      <c r="V168" s="35"/>
      <c r="W168" s="35"/>
    </row>
    <row r="169" spans="1:23" hidden="1" x14ac:dyDescent="0.2">
      <c r="A169" s="71"/>
      <c r="B169" s="71"/>
      <c r="C169" s="75"/>
      <c r="D169" s="75"/>
      <c r="E169" s="75"/>
      <c r="F169" s="75"/>
      <c r="G169" s="75"/>
      <c r="H169" s="35"/>
      <c r="I169" s="35"/>
      <c r="J169" s="35"/>
      <c r="K169" s="35"/>
      <c r="L169" s="35"/>
      <c r="M169" s="35"/>
      <c r="N169" s="35"/>
      <c r="O169" s="35"/>
      <c r="P169" s="35"/>
      <c r="Q169" s="35"/>
      <c r="R169" s="35"/>
      <c r="S169" s="35"/>
      <c r="T169" s="35"/>
      <c r="U169" s="35"/>
      <c r="V169" s="35"/>
      <c r="W169" s="35"/>
    </row>
    <row r="170" spans="1:23" hidden="1" x14ac:dyDescent="0.2">
      <c r="A170" s="71"/>
      <c r="B170" s="71"/>
      <c r="C170" s="75"/>
      <c r="D170" s="75"/>
      <c r="E170" s="75"/>
      <c r="F170" s="75"/>
      <c r="G170" s="75"/>
      <c r="H170" s="35"/>
      <c r="I170" s="35"/>
      <c r="J170" s="35"/>
      <c r="K170" s="35"/>
      <c r="L170" s="35"/>
      <c r="M170" s="35"/>
      <c r="N170" s="35"/>
      <c r="O170" s="35"/>
      <c r="P170" s="35"/>
      <c r="Q170" s="35"/>
      <c r="R170" s="35"/>
      <c r="S170" s="35"/>
      <c r="T170" s="35"/>
      <c r="U170" s="35"/>
      <c r="V170" s="35"/>
      <c r="W170" s="35"/>
    </row>
    <row r="171" spans="1:23" hidden="1" x14ac:dyDescent="0.2">
      <c r="A171" s="71"/>
      <c r="B171" s="71"/>
      <c r="C171" s="75"/>
      <c r="D171" s="75"/>
      <c r="E171" s="75"/>
      <c r="F171" s="75"/>
      <c r="G171" s="75"/>
      <c r="H171" s="35"/>
      <c r="I171" s="35"/>
      <c r="J171" s="35"/>
      <c r="K171" s="35"/>
      <c r="L171" s="35"/>
      <c r="M171" s="35"/>
      <c r="N171" s="35"/>
      <c r="O171" s="35"/>
      <c r="P171" s="35"/>
      <c r="Q171" s="35"/>
      <c r="R171" s="35"/>
      <c r="S171" s="35"/>
      <c r="T171" s="35"/>
      <c r="U171" s="35"/>
      <c r="V171" s="35"/>
      <c r="W171" s="35"/>
    </row>
    <row r="172" spans="1:23" hidden="1" x14ac:dyDescent="0.2">
      <c r="A172" s="71"/>
      <c r="B172" s="71"/>
      <c r="C172" s="75"/>
      <c r="D172" s="75">
        <f>ROUNDUP(B64+B65,-2)</f>
        <v>100</v>
      </c>
      <c r="E172" s="75"/>
      <c r="F172" s="75"/>
      <c r="G172" s="75"/>
      <c r="H172" s="35"/>
      <c r="I172" s="35"/>
      <c r="J172" s="35"/>
      <c r="K172" s="35"/>
      <c r="L172" s="35"/>
      <c r="M172" s="35"/>
      <c r="N172" s="35"/>
      <c r="O172" s="35"/>
      <c r="P172" s="35"/>
      <c r="Q172" s="35"/>
      <c r="R172" s="35"/>
      <c r="S172" s="35"/>
      <c r="T172" s="35"/>
      <c r="U172" s="35"/>
      <c r="V172" s="35"/>
      <c r="W172" s="35"/>
    </row>
    <row r="173" spans="1:23" hidden="1" x14ac:dyDescent="0.2">
      <c r="A173" s="71"/>
      <c r="B173" s="71"/>
      <c r="C173" s="75"/>
      <c r="D173" s="75"/>
      <c r="E173" s="75"/>
      <c r="F173" s="75"/>
      <c r="G173" s="75"/>
      <c r="H173" s="35"/>
      <c r="I173" s="35"/>
      <c r="J173" s="35"/>
      <c r="K173" s="35"/>
      <c r="L173" s="35"/>
      <c r="M173" s="35"/>
      <c r="N173" s="35"/>
      <c r="O173" s="35"/>
      <c r="P173" s="35"/>
      <c r="Q173" s="35"/>
      <c r="R173" s="35"/>
      <c r="S173" s="35"/>
      <c r="T173" s="35"/>
      <c r="U173" s="35"/>
      <c r="V173" s="35"/>
      <c r="W173" s="35"/>
    </row>
    <row r="174" spans="1:23" hidden="1" x14ac:dyDescent="0.2">
      <c r="A174" s="71"/>
      <c r="B174" s="71"/>
      <c r="C174" s="75"/>
      <c r="D174" s="75"/>
      <c r="E174" s="75"/>
      <c r="F174" s="75"/>
      <c r="G174" s="75"/>
      <c r="H174" s="35"/>
      <c r="I174" s="35"/>
      <c r="J174" s="35"/>
      <c r="K174" s="35"/>
      <c r="L174" s="35"/>
      <c r="M174" s="35"/>
      <c r="N174" s="35"/>
      <c r="O174" s="35"/>
      <c r="P174" s="35"/>
      <c r="Q174" s="35"/>
      <c r="R174" s="35"/>
      <c r="S174" s="35"/>
      <c r="T174" s="35"/>
      <c r="U174" s="35"/>
      <c r="V174" s="35"/>
      <c r="W174" s="35"/>
    </row>
    <row r="175" spans="1:23" hidden="1" x14ac:dyDescent="0.2">
      <c r="A175" s="71"/>
      <c r="B175" s="71"/>
      <c r="C175" s="75"/>
      <c r="D175" s="75"/>
      <c r="E175" s="75"/>
      <c r="F175" s="75"/>
      <c r="G175" s="75"/>
      <c r="H175" s="35"/>
      <c r="I175" s="35"/>
      <c r="J175" s="35"/>
      <c r="K175" s="35"/>
      <c r="L175" s="35"/>
      <c r="M175" s="35"/>
      <c r="N175" s="35"/>
      <c r="O175" s="35"/>
      <c r="P175" s="35"/>
      <c r="Q175" s="35"/>
      <c r="R175" s="35"/>
      <c r="S175" s="35"/>
      <c r="T175" s="35"/>
      <c r="U175" s="35"/>
      <c r="V175" s="35"/>
      <c r="W175" s="35"/>
    </row>
    <row r="176" spans="1:23" hidden="1" x14ac:dyDescent="0.2">
      <c r="A176" s="71" t="s">
        <v>4</v>
      </c>
      <c r="B176" s="71"/>
      <c r="C176" s="75">
        <f>C55</f>
        <v>0</v>
      </c>
      <c r="D176" s="75"/>
      <c r="E176" s="75"/>
      <c r="F176" s="75"/>
      <c r="G176" s="75"/>
      <c r="H176" s="35"/>
      <c r="I176" s="35"/>
      <c r="J176" s="35"/>
      <c r="K176" s="35"/>
      <c r="L176" s="35"/>
      <c r="M176" s="35"/>
      <c r="N176" s="35"/>
      <c r="O176" s="35"/>
      <c r="P176" s="35"/>
      <c r="Q176" s="35"/>
      <c r="R176" s="35"/>
      <c r="S176" s="35"/>
      <c r="T176" s="35"/>
      <c r="U176" s="35"/>
      <c r="V176" s="35"/>
      <c r="W176" s="35"/>
    </row>
    <row r="177" spans="1:23" hidden="1" x14ac:dyDescent="0.2">
      <c r="A177" s="71">
        <v>0</v>
      </c>
      <c r="B177" s="71"/>
      <c r="C177" s="75">
        <v>7500</v>
      </c>
      <c r="D177" s="75">
        <v>1.4250000000000001E-2</v>
      </c>
      <c r="E177" s="75"/>
      <c r="F177" s="75">
        <f>IF(D55&lt;C177,D55*D177,C177*D177)</f>
        <v>0</v>
      </c>
      <c r="G177" s="75"/>
      <c r="H177" s="35"/>
      <c r="I177" s="35"/>
      <c r="J177" s="35"/>
      <c r="K177" s="35"/>
      <c r="L177" s="35"/>
      <c r="M177" s="35"/>
      <c r="N177" s="35"/>
      <c r="O177" s="35"/>
      <c r="P177" s="35"/>
      <c r="Q177" s="35"/>
      <c r="R177" s="35"/>
      <c r="S177" s="35"/>
      <c r="T177" s="35"/>
      <c r="U177" s="35"/>
      <c r="V177" s="35"/>
      <c r="W177" s="35"/>
    </row>
    <row r="178" spans="1:23" hidden="1" x14ac:dyDescent="0.2">
      <c r="A178" s="71">
        <v>7500</v>
      </c>
      <c r="B178" s="71"/>
      <c r="C178" s="75">
        <v>17500</v>
      </c>
      <c r="D178" s="75">
        <v>1.14E-2</v>
      </c>
      <c r="E178" s="75"/>
      <c r="F178" s="75" t="str">
        <f>IF(D55&lt;=A178," ",IF(D55&lt;C178,(D55-C177)*D178,(C178-A178)*D178))</f>
        <v xml:space="preserve"> </v>
      </c>
      <c r="G178" s="75"/>
      <c r="H178" s="35"/>
      <c r="I178" s="35"/>
      <c r="J178" s="35"/>
      <c r="K178" s="35"/>
      <c r="L178" s="35"/>
      <c r="M178" s="35"/>
      <c r="N178" s="35"/>
      <c r="O178" s="35"/>
      <c r="P178" s="35"/>
      <c r="Q178" s="35"/>
      <c r="R178" s="35"/>
      <c r="S178" s="35"/>
      <c r="T178" s="35"/>
      <c r="U178" s="35"/>
      <c r="V178" s="35"/>
      <c r="W178" s="35"/>
    </row>
    <row r="179" spans="1:23" hidden="1" x14ac:dyDescent="0.2">
      <c r="A179" s="71">
        <v>17500</v>
      </c>
      <c r="B179" s="71"/>
      <c r="C179" s="75">
        <v>30000</v>
      </c>
      <c r="D179" s="75">
        <v>6.8399999999999997E-3</v>
      </c>
      <c r="E179" s="75"/>
      <c r="F179" s="75" t="str">
        <f>IF(D55&lt;=A179," ",IF(D55&lt;C179,(D55-C178)*D179,(C179-A179)*D179))</f>
        <v xml:space="preserve"> </v>
      </c>
      <c r="G179" s="75"/>
      <c r="H179" s="35"/>
      <c r="I179" s="35"/>
      <c r="J179" s="35"/>
      <c r="K179" s="35"/>
      <c r="L179" s="35"/>
      <c r="M179" s="35"/>
      <c r="N179" s="35"/>
      <c r="O179" s="35"/>
      <c r="P179" s="35"/>
      <c r="Q179" s="35"/>
      <c r="R179" s="35"/>
      <c r="S179" s="35"/>
      <c r="T179" s="35"/>
      <c r="U179" s="35"/>
      <c r="V179" s="35"/>
      <c r="W179" s="35"/>
    </row>
    <row r="180" spans="1:23" hidden="1" x14ac:dyDescent="0.2">
      <c r="A180" s="71">
        <v>30000</v>
      </c>
      <c r="B180" s="71"/>
      <c r="C180" s="75">
        <v>45495</v>
      </c>
      <c r="D180" s="75">
        <v>5.7000000000000002E-3</v>
      </c>
      <c r="E180" s="75"/>
      <c r="F180" s="75" t="str">
        <f>IF(D55&lt;=A180," ",IF(D55&lt;C180,(D55-C179)*D180,(C180-A180)*D180))</f>
        <v xml:space="preserve"> </v>
      </c>
      <c r="G180" s="75"/>
      <c r="H180" s="35"/>
      <c r="I180" s="35"/>
      <c r="J180" s="35"/>
      <c r="K180" s="35"/>
      <c r="L180" s="35"/>
      <c r="M180" s="35"/>
      <c r="N180" s="35"/>
      <c r="O180" s="35"/>
      <c r="P180" s="35"/>
      <c r="Q180" s="35"/>
      <c r="R180" s="35"/>
      <c r="S180" s="35"/>
      <c r="T180" s="35"/>
      <c r="U180" s="35"/>
      <c r="V180" s="35"/>
      <c r="W180" s="35"/>
    </row>
    <row r="181" spans="1:23" hidden="1" x14ac:dyDescent="0.2">
      <c r="A181" s="71">
        <v>45495</v>
      </c>
      <c r="B181" s="71"/>
      <c r="C181" s="75">
        <v>64095</v>
      </c>
      <c r="D181" s="75">
        <v>4.5599999999999998E-3</v>
      </c>
      <c r="E181" s="75"/>
      <c r="F181" s="75" t="str">
        <f>IF(D55&lt;=A181," ",IF(D55&lt;C181,(D55-C180)*D181,(C181-A181)*D181))</f>
        <v xml:space="preserve"> </v>
      </c>
      <c r="G181" s="75"/>
      <c r="H181" s="35"/>
      <c r="I181" s="35"/>
      <c r="J181" s="35"/>
      <c r="K181" s="35"/>
      <c r="L181" s="35"/>
      <c r="M181" s="35"/>
      <c r="N181" s="35"/>
      <c r="O181" s="35"/>
      <c r="P181" s="35"/>
      <c r="Q181" s="35"/>
      <c r="R181" s="35"/>
      <c r="S181" s="35"/>
      <c r="T181" s="35"/>
      <c r="U181" s="35"/>
      <c r="V181" s="35"/>
      <c r="W181" s="35"/>
    </row>
    <row r="182" spans="1:23" hidden="1" x14ac:dyDescent="0.2">
      <c r="A182" s="71">
        <v>64095</v>
      </c>
      <c r="B182" s="71"/>
      <c r="C182" s="75">
        <v>250095</v>
      </c>
      <c r="D182" s="75">
        <v>2.2799999999999999E-3</v>
      </c>
      <c r="E182" s="75"/>
      <c r="F182" s="75" t="str">
        <f>IF(D55&lt;=A182," ",IF(D55&lt;C182,(D55-C181)*D182,(C182-A182)*D182))</f>
        <v xml:space="preserve"> </v>
      </c>
      <c r="G182" s="75"/>
      <c r="H182" s="35"/>
      <c r="I182" s="35"/>
      <c r="J182" s="35"/>
      <c r="K182" s="35"/>
      <c r="L182" s="35"/>
      <c r="M182" s="35"/>
      <c r="N182" s="35"/>
      <c r="O182" s="35"/>
      <c r="P182" s="35"/>
      <c r="Q182" s="35"/>
      <c r="R182" s="35"/>
      <c r="S182" s="35"/>
      <c r="T182" s="35"/>
      <c r="U182" s="35"/>
      <c r="V182" s="35"/>
      <c r="W182" s="35"/>
    </row>
    <row r="183" spans="1:23" hidden="1" x14ac:dyDescent="0.2">
      <c r="A183" s="71">
        <v>250095</v>
      </c>
      <c r="B183" s="71"/>
      <c r="C183" s="75">
        <v>999999999</v>
      </c>
      <c r="D183" s="75">
        <v>4.5600000000000003E-4</v>
      </c>
      <c r="E183" s="75"/>
      <c r="F183" s="75" t="str">
        <f>IF(D55&lt;=A183," ",IF(D55&lt;C183,(D55-C182)*D183,(C183-A183)*D183))</f>
        <v xml:space="preserve"> </v>
      </c>
      <c r="G183" s="75"/>
      <c r="H183" s="35"/>
      <c r="I183" s="35"/>
      <c r="J183" s="35"/>
      <c r="K183" s="35"/>
      <c r="L183" s="35"/>
      <c r="M183" s="35"/>
      <c r="N183" s="35"/>
      <c r="O183" s="35"/>
      <c r="P183" s="35"/>
      <c r="Q183" s="35"/>
      <c r="R183" s="35"/>
      <c r="S183" s="35"/>
      <c r="T183" s="35"/>
      <c r="U183" s="35"/>
      <c r="V183" s="35"/>
      <c r="W183" s="35"/>
    </row>
    <row r="184" spans="1:23" hidden="1" x14ac:dyDescent="0.2">
      <c r="A184" s="71"/>
      <c r="B184" s="71"/>
      <c r="C184" s="75"/>
      <c r="D184" s="75"/>
      <c r="E184" s="75"/>
      <c r="F184" s="75"/>
      <c r="G184" s="75"/>
      <c r="H184" s="35"/>
      <c r="I184" s="35"/>
      <c r="J184" s="35"/>
      <c r="K184" s="35"/>
      <c r="L184" s="35"/>
      <c r="M184" s="35"/>
      <c r="N184" s="35"/>
      <c r="O184" s="35"/>
      <c r="P184" s="35"/>
      <c r="Q184" s="35"/>
      <c r="R184" s="35"/>
      <c r="S184" s="35"/>
      <c r="T184" s="35"/>
      <c r="U184" s="35"/>
      <c r="V184" s="35"/>
      <c r="W184" s="35"/>
    </row>
    <row r="185" spans="1:23" hidden="1" x14ac:dyDescent="0.2">
      <c r="A185" s="71"/>
      <c r="B185" s="71"/>
      <c r="C185" s="75"/>
      <c r="D185" s="75"/>
      <c r="E185" s="75"/>
      <c r="F185" s="75"/>
      <c r="G185" s="75"/>
      <c r="H185" s="35"/>
      <c r="I185" s="35"/>
      <c r="J185" s="35"/>
      <c r="K185" s="35"/>
      <c r="L185" s="35"/>
      <c r="M185" s="35"/>
      <c r="N185" s="35"/>
      <c r="O185" s="35"/>
      <c r="P185" s="35"/>
      <c r="Q185" s="35"/>
      <c r="R185" s="35"/>
      <c r="S185" s="35"/>
      <c r="T185" s="35"/>
      <c r="U185" s="35"/>
      <c r="V185" s="35"/>
      <c r="W185" s="35"/>
    </row>
    <row r="186" spans="1:23" hidden="1" x14ac:dyDescent="0.2">
      <c r="A186" s="71" t="s">
        <v>83</v>
      </c>
      <c r="B186" s="71"/>
      <c r="C186" s="75"/>
      <c r="D186" s="75"/>
      <c r="E186" s="75">
        <f>SUM(F177:F184)</f>
        <v>0</v>
      </c>
      <c r="F186" s="75"/>
      <c r="G186" s="75"/>
      <c r="H186" s="35"/>
      <c r="I186" s="35"/>
      <c r="J186" s="35"/>
      <c r="K186" s="35"/>
      <c r="L186" s="35"/>
      <c r="M186" s="35"/>
      <c r="N186" s="35"/>
      <c r="O186" s="35"/>
      <c r="P186" s="35"/>
      <c r="Q186" s="35"/>
      <c r="R186" s="35"/>
      <c r="S186" s="35"/>
      <c r="T186" s="35"/>
      <c r="U186" s="35"/>
      <c r="V186" s="35"/>
      <c r="W186" s="35"/>
    </row>
    <row r="187" spans="1:23" hidden="1" x14ac:dyDescent="0.2">
      <c r="B187" s="35"/>
      <c r="C187" s="35"/>
      <c r="D187" s="35"/>
      <c r="E187" s="35"/>
      <c r="F187" s="35"/>
      <c r="G187" s="35"/>
      <c r="H187" s="35"/>
      <c r="I187" s="35"/>
      <c r="J187" s="35"/>
      <c r="K187" s="35"/>
      <c r="L187" s="35"/>
      <c r="M187" s="35"/>
      <c r="N187" s="35"/>
      <c r="O187" s="35"/>
      <c r="P187" s="35"/>
      <c r="Q187" s="35"/>
      <c r="R187" s="35"/>
      <c r="S187" s="35"/>
      <c r="T187" s="35"/>
      <c r="U187" s="35"/>
      <c r="V187" s="35"/>
      <c r="W187" s="35"/>
    </row>
    <row r="188" spans="1:23" hidden="1" x14ac:dyDescent="0.2">
      <c r="B188" s="35"/>
      <c r="C188" s="35"/>
      <c r="D188" s="35"/>
      <c r="E188" s="35"/>
      <c r="F188" s="35"/>
      <c r="G188" s="35"/>
      <c r="H188" s="35"/>
      <c r="I188" s="35"/>
      <c r="J188" s="35"/>
      <c r="K188" s="35"/>
      <c r="L188" s="35"/>
      <c r="M188" s="35"/>
      <c r="N188" s="35"/>
      <c r="O188" s="35"/>
      <c r="P188" s="35"/>
      <c r="Q188" s="35"/>
      <c r="R188" s="35"/>
      <c r="S188" s="35"/>
      <c r="T188" s="35"/>
      <c r="U188" s="35"/>
      <c r="V188" s="35"/>
      <c r="W188" s="35"/>
    </row>
    <row r="189" spans="1:23" hidden="1" x14ac:dyDescent="0.2">
      <c r="B189" s="35"/>
      <c r="C189" s="35"/>
      <c r="D189" s="35"/>
      <c r="E189" s="35"/>
      <c r="F189" s="35"/>
      <c r="G189" s="35"/>
      <c r="H189" s="35"/>
      <c r="I189" s="35"/>
      <c r="J189" s="35"/>
      <c r="K189" s="35"/>
      <c r="L189" s="35"/>
      <c r="M189" s="35"/>
      <c r="N189" s="35"/>
      <c r="O189" s="35"/>
      <c r="P189" s="35"/>
      <c r="Q189" s="35"/>
      <c r="R189" s="35"/>
      <c r="S189" s="35"/>
      <c r="T189" s="35"/>
      <c r="U189" s="35"/>
      <c r="V189" s="35"/>
      <c r="W189" s="35"/>
    </row>
    <row r="190" spans="1:23" hidden="1" x14ac:dyDescent="0.2">
      <c r="B190" s="35"/>
      <c r="C190" s="35"/>
      <c r="D190" s="35"/>
      <c r="E190" s="35"/>
      <c r="F190" s="35"/>
      <c r="G190" s="35"/>
      <c r="H190" s="35"/>
      <c r="I190" s="35"/>
      <c r="J190" s="35"/>
      <c r="K190" s="35"/>
      <c r="L190" s="35"/>
      <c r="M190" s="35"/>
      <c r="N190" s="35"/>
      <c r="O190" s="35"/>
      <c r="P190" s="35"/>
      <c r="Q190" s="35"/>
      <c r="R190" s="35"/>
      <c r="S190" s="35"/>
      <c r="T190" s="35"/>
      <c r="U190" s="35"/>
      <c r="V190" s="35"/>
      <c r="W190" s="35"/>
    </row>
    <row r="191" spans="1:23" hidden="1" x14ac:dyDescent="0.2">
      <c r="B191" s="35"/>
      <c r="C191" s="35"/>
      <c r="D191" s="35"/>
      <c r="E191" s="35"/>
      <c r="F191" s="35"/>
      <c r="G191" s="35"/>
      <c r="H191" s="35"/>
      <c r="I191" s="35"/>
      <c r="J191" s="35"/>
      <c r="K191" s="35"/>
      <c r="L191" s="35"/>
      <c r="M191" s="35"/>
      <c r="N191" s="35"/>
      <c r="O191" s="35"/>
      <c r="P191" s="35"/>
      <c r="Q191" s="35"/>
      <c r="R191" s="35"/>
      <c r="S191" s="35"/>
      <c r="T191" s="35"/>
      <c r="U191" s="35"/>
      <c r="V191" s="35"/>
      <c r="W191" s="35"/>
    </row>
    <row r="192" spans="1:23" hidden="1" x14ac:dyDescent="0.2">
      <c r="B192" s="35"/>
      <c r="C192" s="35"/>
      <c r="D192" s="35"/>
      <c r="E192" s="35"/>
      <c r="F192" s="35"/>
      <c r="G192" s="35"/>
      <c r="H192" s="35"/>
      <c r="I192" s="35"/>
      <c r="J192" s="35"/>
      <c r="K192" s="35"/>
      <c r="L192" s="35"/>
      <c r="M192" s="35"/>
      <c r="N192" s="35"/>
      <c r="O192" s="35"/>
      <c r="P192" s="35"/>
      <c r="Q192" s="35"/>
      <c r="R192" s="35"/>
      <c r="S192" s="35"/>
      <c r="T192" s="35"/>
      <c r="U192" s="35"/>
      <c r="V192" s="35"/>
      <c r="W192" s="35"/>
    </row>
    <row r="193" spans="1:23" hidden="1" x14ac:dyDescent="0.2">
      <c r="B193" s="35"/>
      <c r="C193" s="35"/>
      <c r="D193" s="35"/>
      <c r="E193" s="35"/>
      <c r="F193" s="35"/>
      <c r="G193" s="35"/>
      <c r="H193" s="35"/>
      <c r="I193" s="35"/>
      <c r="J193" s="35"/>
      <c r="K193" s="35"/>
      <c r="L193" s="35"/>
      <c r="M193" s="35"/>
      <c r="N193" s="35"/>
      <c r="O193" s="35"/>
      <c r="P193" s="35"/>
      <c r="Q193" s="35"/>
      <c r="R193" s="35"/>
      <c r="S193" s="35"/>
      <c r="T193" s="35"/>
      <c r="U193" s="35"/>
      <c r="V193" s="35"/>
      <c r="W193" s="35"/>
    </row>
    <row r="194" spans="1:23" hidden="1" x14ac:dyDescent="0.2">
      <c r="B194" s="35"/>
      <c r="C194" s="35"/>
      <c r="D194" s="35"/>
      <c r="E194" s="35"/>
      <c r="F194" s="35"/>
      <c r="G194" s="35"/>
      <c r="H194" s="35"/>
      <c r="I194" s="35"/>
      <c r="J194" s="35"/>
      <c r="K194" s="35"/>
      <c r="L194" s="35"/>
      <c r="M194" s="35"/>
      <c r="N194" s="35"/>
      <c r="O194" s="35"/>
      <c r="P194" s="35"/>
      <c r="Q194" s="35"/>
      <c r="R194" s="35"/>
      <c r="S194" s="35"/>
      <c r="T194" s="35"/>
      <c r="U194" s="35"/>
      <c r="V194" s="35"/>
      <c r="W194" s="35"/>
    </row>
    <row r="195" spans="1:23" hidden="1" x14ac:dyDescent="0.2">
      <c r="B195" s="35"/>
      <c r="C195" s="35"/>
      <c r="D195" s="35"/>
      <c r="E195" s="35"/>
      <c r="F195" s="35"/>
      <c r="G195" s="35"/>
      <c r="H195" s="35"/>
      <c r="I195" s="35"/>
      <c r="J195" s="35"/>
      <c r="K195" s="35"/>
      <c r="L195" s="35"/>
      <c r="M195" s="35"/>
      <c r="N195" s="35"/>
      <c r="O195" s="35"/>
      <c r="P195" s="35"/>
      <c r="Q195" s="35"/>
      <c r="R195" s="35"/>
      <c r="S195" s="35"/>
      <c r="T195" s="35"/>
      <c r="U195" s="35"/>
      <c r="V195" s="35"/>
      <c r="W195" s="35"/>
    </row>
    <row r="196" spans="1:23" hidden="1" x14ac:dyDescent="0.2">
      <c r="B196" s="35"/>
      <c r="C196" s="35"/>
      <c r="D196" s="35"/>
      <c r="E196" s="35"/>
      <c r="F196" s="35"/>
      <c r="G196" s="35"/>
      <c r="H196" s="35"/>
      <c r="I196" s="35"/>
      <c r="J196" s="35"/>
      <c r="K196" s="35"/>
      <c r="L196" s="35"/>
      <c r="M196" s="35"/>
      <c r="N196" s="35"/>
      <c r="O196" s="35"/>
      <c r="P196" s="35"/>
      <c r="Q196" s="35"/>
      <c r="R196" s="35"/>
      <c r="S196" s="35"/>
      <c r="T196" s="35"/>
      <c r="U196" s="35"/>
      <c r="V196" s="35"/>
      <c r="W196" s="35"/>
    </row>
    <row r="197" spans="1:23" hidden="1" x14ac:dyDescent="0.2">
      <c r="A197" s="4" t="s">
        <v>40</v>
      </c>
      <c r="B197" s="35" t="s">
        <v>40</v>
      </c>
      <c r="C197" s="35" t="s">
        <v>10</v>
      </c>
      <c r="D197" s="35" t="s">
        <v>10</v>
      </c>
      <c r="E197" s="35">
        <f>IF(B36*33-33&lt;0,0,B36*33-33)</f>
        <v>0</v>
      </c>
      <c r="F197" s="35"/>
      <c r="G197" s="35" t="s">
        <v>10</v>
      </c>
      <c r="H197" s="35"/>
      <c r="I197" s="35"/>
      <c r="J197" s="35"/>
      <c r="K197" s="35"/>
      <c r="L197" s="35"/>
      <c r="M197" s="35"/>
      <c r="N197" s="35"/>
      <c r="O197" s="35"/>
      <c r="P197" s="35"/>
      <c r="Q197" s="35"/>
      <c r="R197" s="35"/>
      <c r="S197" s="35"/>
      <c r="T197" s="35"/>
      <c r="U197" s="35"/>
      <c r="V197" s="35"/>
      <c r="W197" s="35"/>
    </row>
    <row r="198" spans="1:23" ht="15.75" hidden="1" x14ac:dyDescent="0.25">
      <c r="A198" s="37" t="s">
        <v>41</v>
      </c>
      <c r="B198" s="37" t="s">
        <v>42</v>
      </c>
      <c r="C198" s="35" t="s">
        <v>7</v>
      </c>
      <c r="D198" s="35" t="s">
        <v>7</v>
      </c>
      <c r="E198" s="35"/>
      <c r="F198" s="35"/>
      <c r="G198" s="35" t="s">
        <v>7</v>
      </c>
      <c r="H198" s="35"/>
      <c r="I198" s="35"/>
      <c r="J198" s="35"/>
      <c r="K198" s="35"/>
      <c r="L198" s="35"/>
      <c r="M198" s="35"/>
      <c r="N198" s="35"/>
      <c r="O198" s="35"/>
      <c r="P198" s="35"/>
      <c r="Q198" s="35"/>
      <c r="R198" s="35"/>
      <c r="S198" s="35"/>
      <c r="T198" s="35"/>
      <c r="U198" s="35"/>
      <c r="V198" s="35"/>
      <c r="W198" s="35"/>
    </row>
    <row r="199" spans="1:23" ht="15.75" hidden="1" x14ac:dyDescent="0.25">
      <c r="A199" s="37" t="s">
        <v>43</v>
      </c>
      <c r="B199" s="37" t="s">
        <v>44</v>
      </c>
      <c r="C199" s="35"/>
      <c r="D199" s="35"/>
      <c r="E199" s="35"/>
      <c r="F199" s="35"/>
      <c r="G199" s="35"/>
      <c r="H199" s="35"/>
      <c r="I199" s="35"/>
      <c r="J199" s="35"/>
      <c r="K199" s="35"/>
      <c r="L199" s="35"/>
      <c r="M199" s="35"/>
      <c r="N199" s="35"/>
      <c r="O199" s="35"/>
      <c r="P199" s="35"/>
      <c r="Q199" s="35"/>
      <c r="R199" s="35"/>
      <c r="S199" s="35"/>
      <c r="T199" s="35"/>
      <c r="U199" s="35"/>
      <c r="V199" s="35"/>
      <c r="W199" s="35"/>
    </row>
    <row r="200" spans="1:23" ht="15.75" hidden="1" x14ac:dyDescent="0.25">
      <c r="A200" s="37" t="s">
        <v>45</v>
      </c>
      <c r="B200" s="37" t="s">
        <v>46</v>
      </c>
      <c r="C200" s="38">
        <f>B7*12.5/100</f>
        <v>0</v>
      </c>
      <c r="D200" s="35"/>
      <c r="E200" s="35"/>
      <c r="F200" s="35"/>
      <c r="G200" s="35"/>
      <c r="H200" s="35"/>
      <c r="I200" s="35"/>
      <c r="J200" s="35"/>
      <c r="K200" s="35"/>
      <c r="L200" s="35"/>
      <c r="M200" s="35"/>
      <c r="N200" s="35"/>
      <c r="O200" s="35"/>
      <c r="P200" s="35"/>
      <c r="Q200" s="35"/>
      <c r="R200" s="35"/>
      <c r="S200" s="35"/>
      <c r="T200" s="35"/>
      <c r="U200" s="35"/>
      <c r="V200" s="35"/>
      <c r="W200" s="35"/>
    </row>
    <row r="201" spans="1:23" ht="15.75" hidden="1" x14ac:dyDescent="0.25">
      <c r="A201" s="37" t="s">
        <v>47</v>
      </c>
      <c r="B201" s="37" t="s">
        <v>48</v>
      </c>
      <c r="C201" s="35">
        <f>B7*10%</f>
        <v>0</v>
      </c>
      <c r="D201" s="35"/>
      <c r="E201" s="35"/>
      <c r="F201" s="35"/>
      <c r="G201" s="35"/>
      <c r="H201" s="35"/>
      <c r="I201" s="35"/>
      <c r="J201" s="35"/>
      <c r="K201" s="35"/>
      <c r="L201" s="35"/>
      <c r="M201" s="35"/>
      <c r="N201" s="35"/>
      <c r="O201" s="35"/>
      <c r="P201" s="35"/>
      <c r="Q201" s="35"/>
      <c r="R201" s="35"/>
      <c r="S201" s="35"/>
      <c r="T201" s="35"/>
      <c r="U201" s="35"/>
      <c r="V201" s="35"/>
      <c r="W201" s="35"/>
    </row>
    <row r="202" spans="1:23" ht="15.75" hidden="1" x14ac:dyDescent="0.25">
      <c r="A202" s="37" t="s">
        <v>49</v>
      </c>
      <c r="B202" s="37" t="s">
        <v>50</v>
      </c>
      <c r="C202" s="35">
        <f>IF(B7&gt;195695.88,11741.75+(B7-195695.88)*12.5%,B7*6%)</f>
        <v>0</v>
      </c>
      <c r="D202" s="35">
        <f>IF(B7&gt;204917.15,12295.03+(B7-204917.15)*12.5%,B7*6%)</f>
        <v>0</v>
      </c>
      <c r="E202" s="35">
        <f>IF(B7&gt;215163,12909.78+(B7-215163)*12.5%,B7*6%)</f>
        <v>0</v>
      </c>
      <c r="F202" s="35"/>
      <c r="G202" s="35"/>
      <c r="H202" s="35"/>
      <c r="I202" s="35"/>
      <c r="J202" s="35"/>
      <c r="K202" s="35"/>
      <c r="L202" s="35"/>
      <c r="M202" s="35"/>
      <c r="N202" s="35"/>
      <c r="O202" s="35"/>
      <c r="P202" s="35"/>
      <c r="Q202" s="35"/>
      <c r="R202" s="35"/>
      <c r="S202" s="35"/>
      <c r="T202" s="35"/>
      <c r="U202" s="35"/>
      <c r="V202" s="35"/>
      <c r="W202" s="35"/>
    </row>
    <row r="203" spans="1:23" ht="15.75" hidden="1" x14ac:dyDescent="0.25">
      <c r="A203" s="37" t="s">
        <v>51</v>
      </c>
      <c r="B203" s="37" t="s">
        <v>52</v>
      </c>
      <c r="C203" s="35">
        <f>IF(B7&gt;195695.88,9784.79+(B7-195695.88)*10%,B7*5%)</f>
        <v>0</v>
      </c>
      <c r="D203" s="35">
        <f>IF(B7&gt;204917.15,10245.86+(B7-204917.15)*10%,B7*5%)</f>
        <v>0</v>
      </c>
      <c r="E203" s="35">
        <f>IF(B7&gt;215163,10758.15+(B7-215163)*10%,B7*5%)</f>
        <v>0</v>
      </c>
      <c r="F203" s="35"/>
      <c r="G203" s="35"/>
      <c r="H203" s="35"/>
      <c r="I203" s="35"/>
      <c r="J203" s="35"/>
      <c r="K203" s="35"/>
      <c r="L203" s="35"/>
      <c r="M203" s="35"/>
      <c r="N203" s="35"/>
      <c r="O203" s="35"/>
      <c r="P203" s="35"/>
      <c r="Q203" s="35"/>
      <c r="R203" s="35"/>
      <c r="S203" s="35"/>
      <c r="T203" s="35"/>
      <c r="U203" s="35"/>
      <c r="V203" s="35"/>
      <c r="W203" s="35"/>
    </row>
    <row r="204" spans="1:23" ht="15.75" hidden="1" x14ac:dyDescent="0.25">
      <c r="A204" s="37" t="s">
        <v>53</v>
      </c>
      <c r="B204" s="37" t="s">
        <v>54</v>
      </c>
      <c r="C204" s="35"/>
      <c r="D204" s="35"/>
      <c r="E204" s="35"/>
      <c r="F204" s="35"/>
      <c r="G204" s="35"/>
      <c r="H204" s="35"/>
      <c r="I204" s="35"/>
      <c r="J204" s="35"/>
      <c r="K204" s="35"/>
      <c r="L204" s="35"/>
      <c r="M204" s="35"/>
      <c r="N204" s="35"/>
      <c r="O204" s="35"/>
      <c r="P204" s="35"/>
      <c r="Q204" s="35"/>
      <c r="R204" s="35"/>
      <c r="S204" s="35"/>
      <c r="T204" s="35"/>
      <c r="U204" s="35"/>
      <c r="V204" s="35"/>
      <c r="W204" s="35"/>
    </row>
    <row r="205" spans="1:23" ht="15.75" hidden="1" x14ac:dyDescent="0.25">
      <c r="A205" s="37" t="s">
        <v>55</v>
      </c>
      <c r="B205" s="37" t="s">
        <v>56</v>
      </c>
      <c r="C205" s="35">
        <f>IF(B10="ja",C201,C200)</f>
        <v>0</v>
      </c>
      <c r="D205" s="35"/>
      <c r="E205" s="35" t="s">
        <v>28</v>
      </c>
      <c r="F205" s="35" t="s">
        <v>28</v>
      </c>
      <c r="G205" s="35" t="s">
        <v>28</v>
      </c>
      <c r="H205" s="35" t="s">
        <v>28</v>
      </c>
      <c r="I205" s="35"/>
      <c r="J205" s="35"/>
      <c r="K205" s="35"/>
      <c r="L205" s="35"/>
      <c r="M205" s="35"/>
      <c r="N205" s="35"/>
      <c r="O205" s="35"/>
      <c r="P205" s="35"/>
      <c r="Q205" s="35"/>
      <c r="R205" s="35"/>
      <c r="S205" s="35"/>
      <c r="T205" s="35"/>
      <c r="U205" s="35"/>
      <c r="V205" s="35"/>
      <c r="W205" s="35"/>
    </row>
    <row r="206" spans="1:23" ht="15.75" hidden="1" x14ac:dyDescent="0.25">
      <c r="A206" s="37" t="s">
        <v>57</v>
      </c>
      <c r="B206" s="37" t="s">
        <v>58</v>
      </c>
      <c r="C206" s="35">
        <f>IF(C6="ja",C207,C205)</f>
        <v>0</v>
      </c>
      <c r="D206" s="35"/>
      <c r="E206" s="35" t="s">
        <v>59</v>
      </c>
      <c r="F206" s="35" t="s">
        <v>59</v>
      </c>
      <c r="G206" s="35" t="s">
        <v>59</v>
      </c>
      <c r="H206" s="35" t="s">
        <v>59</v>
      </c>
      <c r="I206" s="35"/>
      <c r="J206" s="35"/>
      <c r="K206" s="35"/>
      <c r="L206" s="35"/>
      <c r="M206" s="35"/>
      <c r="N206" s="35"/>
      <c r="O206" s="35"/>
      <c r="P206" s="35"/>
      <c r="Q206" s="35"/>
      <c r="R206" s="35"/>
      <c r="S206" s="35"/>
      <c r="T206" s="35"/>
      <c r="U206" s="35"/>
      <c r="V206" s="35"/>
      <c r="W206" s="35"/>
    </row>
    <row r="207" spans="1:23" ht="15.75" hidden="1" x14ac:dyDescent="0.25">
      <c r="A207" s="37" t="s">
        <v>60</v>
      </c>
      <c r="B207" s="37" t="s">
        <v>61</v>
      </c>
      <c r="C207" s="35">
        <f>IF(B10="ja",C210,C208)</f>
        <v>0</v>
      </c>
      <c r="D207" s="35"/>
      <c r="E207" s="35"/>
      <c r="F207" s="35"/>
      <c r="G207" s="35"/>
      <c r="H207" s="35"/>
      <c r="I207" s="35"/>
      <c r="J207" s="35"/>
      <c r="K207" s="35"/>
      <c r="L207" s="35"/>
      <c r="M207" s="35"/>
      <c r="N207" s="35"/>
      <c r="O207" s="35"/>
      <c r="P207" s="35"/>
      <c r="Q207" s="35"/>
      <c r="R207" s="35"/>
      <c r="S207" s="35"/>
      <c r="T207" s="35"/>
      <c r="U207" s="35"/>
      <c r="V207" s="35"/>
      <c r="W207" s="35"/>
    </row>
    <row r="208" spans="1:23" ht="15.75" hidden="1" x14ac:dyDescent="0.25">
      <c r="A208" s="37" t="s">
        <v>62</v>
      </c>
      <c r="B208" s="37" t="s">
        <v>63</v>
      </c>
      <c r="C208" s="35">
        <f>IF(AND(C8="NVT",C9="NVT"),C202,C209)</f>
        <v>0</v>
      </c>
      <c r="D208" s="35"/>
      <c r="E208" s="35"/>
      <c r="F208" s="35"/>
      <c r="G208" s="35" t="s">
        <v>28</v>
      </c>
      <c r="H208" s="35"/>
      <c r="I208" s="35"/>
      <c r="J208" s="35"/>
      <c r="K208" s="35"/>
      <c r="L208" s="35"/>
      <c r="M208" s="35"/>
      <c r="N208" s="35"/>
      <c r="O208" s="35"/>
      <c r="P208" s="35"/>
      <c r="Q208" s="35"/>
      <c r="R208" s="35"/>
      <c r="S208" s="35"/>
      <c r="T208" s="35"/>
      <c r="U208" s="35"/>
      <c r="V208" s="35"/>
      <c r="W208" s="35"/>
    </row>
    <row r="209" spans="1:23" ht="15.75" hidden="1" x14ac:dyDescent="0.25">
      <c r="A209" s="37" t="s">
        <v>64</v>
      </c>
      <c r="B209" s="37" t="s">
        <v>65</v>
      </c>
      <c r="C209" s="35">
        <f>IF(C8="NVT",D202,E202)</f>
        <v>0</v>
      </c>
      <c r="D209" s="35"/>
      <c r="E209" s="35">
        <f>IF(C34="koper",D34,0)</f>
        <v>0</v>
      </c>
      <c r="F209" s="35">
        <f>IF(C34="koper",D34*21%,0)</f>
        <v>0</v>
      </c>
      <c r="G209" s="35" t="s">
        <v>59</v>
      </c>
      <c r="H209" s="35"/>
      <c r="I209" s="35"/>
      <c r="J209" s="35"/>
      <c r="K209" s="35"/>
      <c r="L209" s="35"/>
      <c r="M209" s="35"/>
      <c r="N209" s="35"/>
      <c r="O209" s="35"/>
      <c r="P209" s="35"/>
      <c r="Q209" s="35"/>
      <c r="R209" s="35"/>
      <c r="S209" s="35"/>
      <c r="T209" s="35"/>
      <c r="U209" s="35"/>
      <c r="V209" s="35"/>
      <c r="W209" s="35"/>
    </row>
    <row r="210" spans="1:23" ht="15.75" hidden="1" x14ac:dyDescent="0.25">
      <c r="A210" s="37" t="s">
        <v>66</v>
      </c>
      <c r="B210" s="37" t="s">
        <v>67</v>
      </c>
      <c r="C210" s="35">
        <f>IF(AND(C8="NVT",C9="NVT"),C203,C211)</f>
        <v>0</v>
      </c>
      <c r="D210" s="35"/>
      <c r="E210" s="35">
        <f>IF(C35="koper",D35,0)</f>
        <v>0</v>
      </c>
      <c r="F210" s="35">
        <f>IF(C36="koper",D36*21%,0)</f>
        <v>0</v>
      </c>
      <c r="G210" s="35"/>
      <c r="H210" s="35"/>
      <c r="I210" s="35"/>
      <c r="J210" s="35"/>
      <c r="K210" s="35"/>
      <c r="L210" s="35"/>
      <c r="M210" s="35"/>
      <c r="N210" s="35"/>
      <c r="O210" s="35"/>
      <c r="P210" s="35"/>
      <c r="Q210" s="35"/>
      <c r="R210" s="35"/>
      <c r="S210" s="35"/>
      <c r="T210" s="35"/>
      <c r="U210" s="35"/>
      <c r="V210" s="35"/>
      <c r="W210" s="35"/>
    </row>
    <row r="211" spans="1:23" ht="15.75" hidden="1" x14ac:dyDescent="0.25">
      <c r="A211" s="37" t="s">
        <v>68</v>
      </c>
      <c r="B211" s="37" t="s">
        <v>69</v>
      </c>
      <c r="C211" s="35">
        <f>IF(C8="NVT",D203,E203)</f>
        <v>0</v>
      </c>
      <c r="D211" s="35"/>
      <c r="E211" s="35">
        <f>IF(C36="koper",D36,0)</f>
        <v>0</v>
      </c>
      <c r="F211" s="35">
        <f>IF(C37="koper",D37*21%,0)</f>
        <v>0</v>
      </c>
      <c r="G211" s="35"/>
      <c r="H211" s="35"/>
      <c r="I211" s="35"/>
      <c r="J211" s="35"/>
      <c r="K211" s="35"/>
      <c r="L211" s="35"/>
      <c r="M211" s="35"/>
      <c r="N211" s="35"/>
      <c r="O211" s="35"/>
      <c r="P211" s="35"/>
      <c r="Q211" s="35"/>
      <c r="R211" s="35"/>
      <c r="S211" s="35"/>
      <c r="T211" s="35"/>
      <c r="U211" s="35"/>
      <c r="V211" s="35"/>
      <c r="W211" s="35"/>
    </row>
    <row r="212" spans="1:23" ht="15.75" hidden="1" x14ac:dyDescent="0.25">
      <c r="A212" s="37" t="s">
        <v>70</v>
      </c>
      <c r="B212" s="37" t="s">
        <v>71</v>
      </c>
      <c r="C212" s="35"/>
      <c r="D212" s="35"/>
      <c r="E212" s="35">
        <f>IF(C37="koper",D37,0)</f>
        <v>0</v>
      </c>
      <c r="F212" s="35">
        <f>SUM(F209:F211)</f>
        <v>0</v>
      </c>
      <c r="G212" s="35"/>
      <c r="H212" s="35"/>
      <c r="I212" s="35"/>
      <c r="J212" s="35"/>
      <c r="K212" s="35"/>
      <c r="L212" s="35"/>
      <c r="M212" s="35"/>
      <c r="N212" s="35"/>
      <c r="O212" s="35"/>
      <c r="P212" s="35"/>
      <c r="Q212" s="35"/>
      <c r="R212" s="35"/>
      <c r="S212" s="35"/>
      <c r="T212" s="35"/>
      <c r="U212" s="35"/>
      <c r="V212" s="35"/>
      <c r="W212" s="35"/>
    </row>
    <row r="213" spans="1:23" ht="15.75" hidden="1" x14ac:dyDescent="0.25">
      <c r="A213" s="37" t="s">
        <v>72</v>
      </c>
      <c r="B213" s="37" t="s">
        <v>73</v>
      </c>
      <c r="C213" s="35"/>
      <c r="D213" s="35"/>
      <c r="E213" s="35">
        <f>SUM(E209:E212)</f>
        <v>0</v>
      </c>
      <c r="F213" s="35"/>
      <c r="G213" s="35"/>
      <c r="H213" s="35"/>
      <c r="I213" s="35"/>
      <c r="J213" s="35"/>
      <c r="K213" s="35"/>
      <c r="L213" s="35"/>
      <c r="M213" s="35"/>
      <c r="N213" s="35"/>
      <c r="O213" s="35"/>
      <c r="P213" s="35"/>
      <c r="Q213" s="35"/>
      <c r="R213" s="35"/>
      <c r="S213" s="35"/>
      <c r="T213" s="35"/>
      <c r="U213" s="35"/>
      <c r="V213" s="35"/>
      <c r="W213" s="35"/>
    </row>
    <row r="214" spans="1:23" ht="15.75" hidden="1" x14ac:dyDescent="0.25">
      <c r="A214" s="37" t="s">
        <v>74</v>
      </c>
      <c r="B214" s="37" t="s">
        <v>75</v>
      </c>
      <c r="C214" s="35"/>
      <c r="D214" s="35"/>
      <c r="E214" s="35"/>
      <c r="F214" s="35"/>
      <c r="G214" s="35"/>
      <c r="H214" s="35"/>
      <c r="I214" s="35"/>
      <c r="J214" s="35"/>
      <c r="K214" s="35"/>
      <c r="L214" s="35"/>
      <c r="M214" s="35"/>
      <c r="N214" s="35"/>
      <c r="O214" s="35"/>
      <c r="P214" s="35"/>
      <c r="Q214" s="35"/>
      <c r="R214" s="35"/>
      <c r="S214" s="35"/>
      <c r="T214" s="35"/>
      <c r="U214" s="35"/>
      <c r="V214" s="35"/>
      <c r="W214" s="35"/>
    </row>
    <row r="215" spans="1:23" ht="15.75" hidden="1" x14ac:dyDescent="0.25">
      <c r="A215" s="37" t="s">
        <v>76</v>
      </c>
      <c r="B215" s="35"/>
      <c r="C215" s="35"/>
      <c r="D215" s="35"/>
      <c r="E215" s="35">
        <f>IF(C34="verkoper",D34,0)</f>
        <v>0</v>
      </c>
      <c r="F215" s="35"/>
      <c r="G215" s="35"/>
      <c r="H215" s="35"/>
      <c r="I215" s="35"/>
      <c r="J215" s="35"/>
      <c r="K215" s="35"/>
      <c r="L215" s="35"/>
      <c r="M215" s="35"/>
      <c r="N215" s="35"/>
      <c r="O215" s="35"/>
      <c r="P215" s="35"/>
      <c r="Q215" s="35"/>
      <c r="R215" s="35"/>
      <c r="S215" s="35"/>
      <c r="T215" s="35"/>
      <c r="U215" s="35"/>
      <c r="V215" s="35"/>
      <c r="W215" s="35"/>
    </row>
    <row r="216" spans="1:23" ht="15.75" hidden="1" x14ac:dyDescent="0.25">
      <c r="A216" s="37" t="s">
        <v>77</v>
      </c>
      <c r="B216" s="35"/>
      <c r="C216" s="35"/>
      <c r="D216" s="35"/>
      <c r="E216" s="35">
        <f>IF(C35="verkoper",D35,0)</f>
        <v>0</v>
      </c>
      <c r="F216" s="35">
        <f>IF(C34="verkoper",D34*21%,0)</f>
        <v>0</v>
      </c>
      <c r="G216" s="35"/>
      <c r="H216" s="35"/>
      <c r="I216" s="35"/>
      <c r="J216" s="35"/>
      <c r="K216" s="35"/>
      <c r="L216" s="35"/>
      <c r="M216" s="35"/>
      <c r="N216" s="35"/>
      <c r="O216" s="35"/>
      <c r="P216" s="35"/>
      <c r="Q216" s="35"/>
      <c r="R216" s="35"/>
      <c r="S216" s="35"/>
      <c r="T216" s="35"/>
      <c r="U216" s="35"/>
      <c r="V216" s="35"/>
      <c r="W216" s="35"/>
    </row>
    <row r="217" spans="1:23" ht="15.75" hidden="1" x14ac:dyDescent="0.25">
      <c r="A217" s="37" t="s">
        <v>78</v>
      </c>
      <c r="B217" s="35"/>
      <c r="C217" s="35"/>
      <c r="D217" s="35"/>
      <c r="E217" s="35">
        <f>IF(C36="verkoper",D36,0)</f>
        <v>35</v>
      </c>
      <c r="F217" s="35">
        <f>IF(C36="verkoper",D36*21%,0)</f>
        <v>7.35</v>
      </c>
      <c r="G217" s="35"/>
      <c r="H217" s="35"/>
      <c r="I217" s="35"/>
      <c r="J217" s="35"/>
      <c r="K217" s="35"/>
      <c r="L217" s="35"/>
      <c r="M217" s="35"/>
      <c r="N217" s="35"/>
      <c r="O217" s="35"/>
      <c r="P217" s="35"/>
      <c r="Q217" s="35"/>
      <c r="R217" s="35"/>
      <c r="S217" s="35"/>
      <c r="T217" s="35"/>
      <c r="U217" s="35"/>
      <c r="V217" s="35"/>
      <c r="W217" s="35"/>
    </row>
    <row r="218" spans="1:23" hidden="1" x14ac:dyDescent="0.2">
      <c r="B218" s="35"/>
      <c r="C218" s="35"/>
      <c r="D218" s="35"/>
      <c r="E218" s="35">
        <f>IF(C37="verkoper",D37,0)</f>
        <v>0</v>
      </c>
      <c r="F218" s="35">
        <f>IF(C37="verkoper",D37*21%,0)</f>
        <v>0</v>
      </c>
      <c r="G218" s="35"/>
      <c r="H218" s="35"/>
      <c r="I218" s="35"/>
      <c r="J218" s="35"/>
      <c r="K218" s="35"/>
      <c r="L218" s="35"/>
      <c r="M218" s="35"/>
      <c r="N218" s="35"/>
      <c r="O218" s="35"/>
      <c r="P218" s="35"/>
      <c r="Q218" s="35"/>
      <c r="R218" s="35"/>
      <c r="S218" s="35"/>
      <c r="T218" s="35"/>
      <c r="U218" s="35"/>
      <c r="V218" s="35"/>
      <c r="W218" s="35"/>
    </row>
    <row r="219" spans="1:23" hidden="1" x14ac:dyDescent="0.2">
      <c r="A219" s="39"/>
      <c r="B219" s="35"/>
      <c r="C219" s="35"/>
      <c r="D219" s="35"/>
      <c r="E219" s="35">
        <f>SUM(E215:E218)</f>
        <v>35</v>
      </c>
      <c r="F219" s="35">
        <f>SUM(F216:F218)</f>
        <v>7.35</v>
      </c>
      <c r="G219" s="35"/>
      <c r="H219" s="35"/>
      <c r="I219" s="35"/>
      <c r="J219" s="35"/>
      <c r="K219" s="35"/>
      <c r="L219" s="35"/>
      <c r="M219" s="35"/>
      <c r="N219" s="35"/>
      <c r="O219" s="35"/>
      <c r="P219" s="35"/>
      <c r="Q219" s="35"/>
      <c r="R219" s="35"/>
      <c r="S219" s="35"/>
      <c r="T219" s="35"/>
      <c r="U219" s="35"/>
      <c r="V219" s="35"/>
      <c r="W219" s="35"/>
    </row>
    <row r="220" spans="1:23" hidden="1" x14ac:dyDescent="0.2">
      <c r="B220" s="35"/>
      <c r="C220" s="35"/>
      <c r="D220" s="35"/>
      <c r="E220" s="35"/>
      <c r="F220" s="35"/>
      <c r="G220" s="35"/>
      <c r="H220" s="35"/>
      <c r="I220" s="35"/>
      <c r="J220" s="35"/>
      <c r="K220" s="35"/>
      <c r="L220" s="35"/>
      <c r="M220" s="35"/>
      <c r="N220" s="35"/>
      <c r="O220" s="35"/>
      <c r="P220" s="35"/>
      <c r="Q220" s="35"/>
      <c r="R220" s="35"/>
      <c r="S220" s="35"/>
      <c r="T220" s="35"/>
      <c r="U220" s="35"/>
      <c r="V220" s="35"/>
      <c r="W220" s="35"/>
    </row>
    <row r="221" spans="1:23" hidden="1" x14ac:dyDescent="0.2">
      <c r="B221" s="35"/>
      <c r="C221" s="35"/>
      <c r="D221" s="35"/>
      <c r="E221" s="35"/>
      <c r="F221" s="35"/>
      <c r="G221" s="35"/>
      <c r="H221" s="35"/>
      <c r="I221" s="35"/>
      <c r="J221" s="35"/>
      <c r="K221" s="35"/>
      <c r="L221" s="35"/>
      <c r="M221" s="35"/>
      <c r="N221" s="35"/>
      <c r="O221" s="35"/>
      <c r="P221" s="35"/>
      <c r="Q221" s="35"/>
      <c r="R221" s="35"/>
      <c r="S221" s="35"/>
      <c r="T221" s="35"/>
      <c r="U221" s="35"/>
      <c r="V221" s="35"/>
      <c r="W221" s="35"/>
    </row>
    <row r="222" spans="1:23" hidden="1" x14ac:dyDescent="0.2">
      <c r="B222" s="20">
        <f>IF(B10=1,-1500,0)</f>
        <v>0</v>
      </c>
      <c r="C222" s="35">
        <f>IF(AND(C6=1,B10=1),-750,0)</f>
        <v>0</v>
      </c>
      <c r="D222" s="35"/>
      <c r="E222" s="35"/>
      <c r="F222" s="35"/>
      <c r="G222" s="35"/>
      <c r="H222" s="35"/>
      <c r="I222" s="35"/>
      <c r="J222" s="35"/>
      <c r="K222" s="35"/>
      <c r="L222" s="35"/>
      <c r="M222" s="35"/>
      <c r="N222" s="35"/>
      <c r="O222" s="35"/>
      <c r="P222" s="35"/>
      <c r="Q222" s="35"/>
      <c r="R222" s="35"/>
      <c r="S222" s="35"/>
      <c r="T222" s="35"/>
      <c r="U222" s="35"/>
      <c r="V222" s="35"/>
      <c r="W222" s="35"/>
    </row>
    <row r="223" spans="1:23" hidden="1" x14ac:dyDescent="0.2">
      <c r="B223" s="20">
        <f>IF(B10=1,-750,0)</f>
        <v>0</v>
      </c>
      <c r="C223" s="35">
        <f>IF(AND(C6=0,B10=1),-1500,0)</f>
        <v>0</v>
      </c>
      <c r="D223" s="35"/>
      <c r="E223" s="35"/>
      <c r="F223" s="35"/>
      <c r="G223" s="35"/>
      <c r="H223" s="35"/>
      <c r="I223" s="35"/>
      <c r="J223" s="35"/>
      <c r="K223" s="35"/>
      <c r="L223" s="35"/>
      <c r="M223" s="35"/>
      <c r="N223" s="35"/>
      <c r="O223" s="35"/>
      <c r="P223" s="35"/>
      <c r="Q223" s="35"/>
      <c r="R223" s="35"/>
      <c r="S223" s="35"/>
      <c r="T223" s="35"/>
      <c r="U223" s="35"/>
      <c r="V223" s="35"/>
      <c r="W223" s="35"/>
    </row>
    <row r="224" spans="1:23" hidden="1" x14ac:dyDescent="0.2">
      <c r="B224" s="35"/>
      <c r="C224" s="35"/>
      <c r="D224" s="35"/>
      <c r="E224" s="35"/>
      <c r="F224" s="35"/>
      <c r="G224" s="35"/>
      <c r="H224" s="35"/>
      <c r="I224" s="35"/>
      <c r="J224" s="35"/>
      <c r="K224" s="35"/>
      <c r="L224" s="35"/>
      <c r="M224" s="35"/>
      <c r="N224" s="35"/>
      <c r="O224" s="35"/>
      <c r="P224" s="35"/>
      <c r="Q224" s="35"/>
      <c r="R224" s="35"/>
      <c r="S224" s="35"/>
      <c r="T224" s="35"/>
      <c r="U224" s="35"/>
      <c r="V224" s="35"/>
      <c r="W224" s="35"/>
    </row>
    <row r="225" spans="1:23" hidden="1" x14ac:dyDescent="0.2">
      <c r="B225" s="35"/>
      <c r="C225" s="35"/>
      <c r="D225" s="35"/>
      <c r="E225" s="35"/>
      <c r="F225" s="35"/>
      <c r="G225" s="35"/>
      <c r="H225" s="35"/>
      <c r="I225" s="35"/>
      <c r="J225" s="35"/>
      <c r="K225" s="35"/>
      <c r="L225" s="35"/>
      <c r="M225" s="35"/>
      <c r="N225" s="35"/>
      <c r="O225" s="35"/>
      <c r="P225" s="35"/>
      <c r="Q225" s="35"/>
      <c r="R225" s="35"/>
      <c r="S225" s="35"/>
      <c r="T225" s="35"/>
      <c r="U225" s="35"/>
      <c r="V225" s="35"/>
      <c r="W225" s="35"/>
    </row>
    <row r="226" spans="1:23" ht="13.5" hidden="1" thickBot="1" x14ac:dyDescent="0.25">
      <c r="B226" s="35"/>
      <c r="C226" s="35"/>
      <c r="D226" s="35"/>
      <c r="E226" s="35"/>
      <c r="F226" s="35"/>
      <c r="G226" s="35"/>
      <c r="H226" s="35"/>
      <c r="I226" s="35"/>
      <c r="J226" s="35"/>
      <c r="K226" s="35"/>
      <c r="L226" s="35"/>
      <c r="M226" s="35"/>
      <c r="N226" s="35"/>
      <c r="O226" s="35"/>
      <c r="P226" s="35"/>
      <c r="Q226" s="35"/>
      <c r="R226" s="35"/>
      <c r="S226" s="35"/>
      <c r="T226" s="35"/>
      <c r="U226" s="35"/>
      <c r="V226" s="35"/>
      <c r="W226" s="35"/>
    </row>
    <row r="227" spans="1:23" ht="13.5" hidden="1" thickBot="1" x14ac:dyDescent="0.25">
      <c r="B227" s="40"/>
      <c r="C227" s="35"/>
      <c r="D227" s="35"/>
      <c r="E227" s="35"/>
      <c r="F227" s="35"/>
      <c r="G227" s="35"/>
      <c r="H227" s="41"/>
      <c r="I227" s="41"/>
      <c r="J227" s="41"/>
      <c r="K227" s="41"/>
      <c r="L227" s="41"/>
      <c r="M227" s="41"/>
      <c r="N227" s="41"/>
      <c r="O227" s="41"/>
      <c r="P227" s="41"/>
      <c r="Q227" s="41"/>
      <c r="R227" s="41"/>
      <c r="S227" s="41"/>
      <c r="T227" s="41"/>
      <c r="U227" s="41"/>
      <c r="V227" s="41"/>
      <c r="W227" s="41"/>
    </row>
    <row r="228" spans="1:23" ht="13.5" hidden="1" thickBot="1" x14ac:dyDescent="0.25">
      <c r="E228" s="41"/>
      <c r="F228" s="35"/>
      <c r="G228" s="41"/>
    </row>
    <row r="229" spans="1:23" ht="13.5" hidden="1" thickBot="1" x14ac:dyDescent="0.25">
      <c r="F229" s="35"/>
    </row>
    <row r="230" spans="1:23" ht="13.5" hidden="1" thickBot="1" x14ac:dyDescent="0.25">
      <c r="F230" s="41"/>
    </row>
    <row r="231" spans="1:23" hidden="1" x14ac:dyDescent="0.2">
      <c r="A231" s="4" t="s">
        <v>2</v>
      </c>
      <c r="C231" s="4" t="s">
        <v>79</v>
      </c>
      <c r="D231" s="4" t="s">
        <v>80</v>
      </c>
    </row>
    <row r="232" spans="1:23" hidden="1" x14ac:dyDescent="0.2">
      <c r="D232" s="4">
        <v>525</v>
      </c>
    </row>
    <row r="233" spans="1:23" hidden="1" x14ac:dyDescent="0.2">
      <c r="D233" s="4">
        <v>100</v>
      </c>
    </row>
    <row r="234" spans="1:23" hidden="1" x14ac:dyDescent="0.2">
      <c r="D234" s="4">
        <v>675</v>
      </c>
    </row>
    <row r="235" spans="1:23" hidden="1" x14ac:dyDescent="0.2"/>
    <row r="236" spans="1:23" hidden="1" x14ac:dyDescent="0.2"/>
    <row r="237" spans="1:23" hidden="1" x14ac:dyDescent="0.2"/>
    <row r="238" spans="1:23" ht="14.25" hidden="1" x14ac:dyDescent="0.2">
      <c r="A238" s="42" t="s">
        <v>81</v>
      </c>
      <c r="B238" s="42"/>
      <c r="C238" s="42" t="s">
        <v>81</v>
      </c>
      <c r="D238" s="43" t="s">
        <v>82</v>
      </c>
      <c r="E238" s="44"/>
      <c r="F238" s="42" t="s">
        <v>13</v>
      </c>
    </row>
    <row r="239" spans="1:23" ht="15" hidden="1" x14ac:dyDescent="0.25">
      <c r="A239" s="45">
        <v>0</v>
      </c>
      <c r="B239" s="46"/>
      <c r="C239" s="45">
        <v>7500</v>
      </c>
      <c r="D239" s="47">
        <v>4.5600000000000002E-2</v>
      </c>
      <c r="E239" s="48"/>
      <c r="F239" s="45">
        <f>IF($B$7&lt;C239,$B$7*D239,C239*D239)</f>
        <v>0</v>
      </c>
    </row>
    <row r="240" spans="1:23" ht="15" hidden="1" x14ac:dyDescent="0.25">
      <c r="A240" s="45">
        <v>7500</v>
      </c>
      <c r="B240" s="46"/>
      <c r="C240" s="45">
        <v>17500</v>
      </c>
      <c r="D240" s="47">
        <v>2.8500000000000001E-2</v>
      </c>
      <c r="E240" s="48"/>
      <c r="F240" s="46" t="str">
        <f t="shared" ref="F240:F245" si="0">IF($B$7&lt;=A240," ",IF($B$7&lt;C240,($B$7-C239)*D240,(C240-A240)*D240))</f>
        <v xml:space="preserve"> </v>
      </c>
    </row>
    <row r="241" spans="1:6" ht="15" hidden="1" x14ac:dyDescent="0.25">
      <c r="A241" s="45">
        <v>17500</v>
      </c>
      <c r="B241" s="46"/>
      <c r="C241" s="45">
        <v>30000</v>
      </c>
      <c r="D241" s="47">
        <v>2.2800000000000001E-2</v>
      </c>
      <c r="E241" s="48"/>
      <c r="F241" s="46" t="str">
        <f t="shared" si="0"/>
        <v xml:space="preserve"> </v>
      </c>
    </row>
    <row r="242" spans="1:6" ht="15" hidden="1" x14ac:dyDescent="0.25">
      <c r="A242" s="45">
        <v>30000</v>
      </c>
      <c r="B242" s="46"/>
      <c r="C242" s="45">
        <v>45495</v>
      </c>
      <c r="D242" s="47">
        <v>1.7100000000000001E-2</v>
      </c>
      <c r="E242" s="48"/>
      <c r="F242" s="46" t="str">
        <f t="shared" si="0"/>
        <v xml:space="preserve"> </v>
      </c>
    </row>
    <row r="243" spans="1:6" ht="15" hidden="1" x14ac:dyDescent="0.25">
      <c r="A243" s="45">
        <v>45495</v>
      </c>
      <c r="B243" s="46"/>
      <c r="C243" s="45">
        <v>64095</v>
      </c>
      <c r="D243" s="47">
        <v>1.14E-2</v>
      </c>
      <c r="E243" s="48"/>
      <c r="F243" s="46" t="str">
        <f t="shared" si="0"/>
        <v xml:space="preserve"> </v>
      </c>
    </row>
    <row r="244" spans="1:6" ht="15" hidden="1" x14ac:dyDescent="0.25">
      <c r="A244" s="45">
        <v>64095</v>
      </c>
      <c r="B244" s="46"/>
      <c r="C244" s="45">
        <v>250095</v>
      </c>
      <c r="D244" s="47">
        <v>5.7000000000000002E-3</v>
      </c>
      <c r="E244" s="48"/>
      <c r="F244" s="46" t="str">
        <f t="shared" si="0"/>
        <v xml:space="preserve"> </v>
      </c>
    </row>
    <row r="245" spans="1:6" ht="15" hidden="1" x14ac:dyDescent="0.25">
      <c r="A245" s="45">
        <v>250095</v>
      </c>
      <c r="B245" s="46"/>
      <c r="C245" s="45">
        <f>$B$7</f>
        <v>0</v>
      </c>
      <c r="D245" s="47">
        <v>5.6999999999999998E-4</v>
      </c>
      <c r="E245" s="48"/>
      <c r="F245" s="46" t="str">
        <f t="shared" si="0"/>
        <v xml:space="preserve"> </v>
      </c>
    </row>
    <row r="246" spans="1:6" ht="15" hidden="1" x14ac:dyDescent="0.25">
      <c r="A246" s="49"/>
      <c r="B246" s="50"/>
      <c r="C246" s="50"/>
      <c r="D246" s="51"/>
      <c r="E246" s="52"/>
      <c r="F246" s="52"/>
    </row>
    <row r="247" spans="1:6" ht="15" hidden="1" x14ac:dyDescent="0.25">
      <c r="A247" s="42" t="s">
        <v>83</v>
      </c>
      <c r="B247" s="53"/>
      <c r="C247" s="50"/>
      <c r="D247" s="54"/>
      <c r="E247" s="52"/>
      <c r="F247" s="55">
        <f>SUM(F239:F246)</f>
        <v>0</v>
      </c>
    </row>
    <row r="248" spans="1:6" hidden="1" x14ac:dyDescent="0.2"/>
    <row r="249" spans="1:6" hidden="1" x14ac:dyDescent="0.2"/>
  </sheetData>
  <sheetProtection algorithmName="SHA-512" hashValue="/a5SuYEcv4vJu/pQOVI0yRirbZky0FOkqAiJoEYkHZhifV/gjKVpK24DmMZFJeDP8bJJeP6XJr49rAymKQg56Q==" saltValue="YSp81XGaKMesb3JEsTV4OA==" spinCount="100000" sheet="1" objects="1" scenarios="1"/>
  <phoneticPr fontId="0" type="noConversion"/>
  <dataValidations count="8">
    <dataValidation type="list" allowBlank="1" showInputMessage="1" showErrorMessage="1" sqref="C37 C41:C42">
      <formula1>$G$208:$G$209</formula1>
    </dataValidation>
    <dataValidation type="list" allowBlank="1" showInputMessage="1" showErrorMessage="1" sqref="C36">
      <formula1>$G$205:$G$206</formula1>
    </dataValidation>
    <dataValidation type="list" allowBlank="1" showInputMessage="1" showErrorMessage="1" sqref="C35">
      <formula1>$F$205:$F$206</formula1>
    </dataValidation>
    <dataValidation type="list" allowBlank="1" showInputMessage="1" showErrorMessage="1" sqref="C34">
      <formula1>$E$205:$E$206</formula1>
    </dataValidation>
    <dataValidation type="list" allowBlank="1" showInputMessage="1" showErrorMessage="1" sqref="C10">
      <formula1>$D$197:$D$198</formula1>
    </dataValidation>
    <dataValidation type="list" allowBlank="1" showInputMessage="1" showErrorMessage="1" sqref="C9">
      <formula1>$C$197:$C$198</formula1>
    </dataValidation>
    <dataValidation type="list" allowBlank="1" showInputMessage="1" showErrorMessage="1" sqref="C11">
      <formula1>$G$197:$G$198</formula1>
    </dataValidation>
    <dataValidation type="list" allowBlank="1" showInputMessage="1" showErrorMessage="1" sqref="C57">
      <formula1>$E$143:$E$144</formula1>
    </dataValidation>
  </dataValidations>
  <hyperlinks>
    <hyperlink ref="B10" r:id="rId1"/>
    <hyperlink ref="D105" r:id="rId2"/>
    <hyperlink ref="C105" r:id="rId3"/>
    <hyperlink ref="C107" r:id="rId4"/>
    <hyperlink ref="D107" r:id="rId5"/>
    <hyperlink ref="C109"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VKBLENHV</vt:lpstr>
      <vt:lpstr>VKBLENHV!_1._Zegels_Minuut_Brevet</vt:lpstr>
      <vt:lpstr>VKBLENHV!_2._Registratie_Minuut_Brevet</vt:lpstr>
      <vt:lpstr>VKBLENHV!_3._Registratie_aanhangsel</vt:lpstr>
      <vt:lpstr>VKBLENHV!Aard</vt:lpstr>
      <vt:lpstr>VKBLENHV!Afdrukbereik</vt:lpstr>
      <vt:lpstr>VKBLENHV!Datum</vt:lpstr>
      <vt:lpstr>VKBLENHV!KOSTENFICHE</vt:lpstr>
      <vt:lpstr>VKBLENHV!Naam</vt:lpstr>
      <vt:lpstr>VKBLENHV!Rep.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2014-11-12T21:25:03Z</dcterms:modified>
</cp:coreProperties>
</file>