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Boekje november 2014\"/>
    </mc:Choice>
  </mc:AlternateContent>
  <bookViews>
    <workbookView xWindow="480" yWindow="150" windowWidth="14355" windowHeight="7995"/>
  </bookViews>
  <sheets>
    <sheet name="VKBPWHV" sheetId="1" r:id="rId1"/>
  </sheets>
  <definedNames>
    <definedName name="_1._Zegels_Minuut_Brevet" localSheetId="0">VKBPWHV!$A$15:$F$15</definedName>
    <definedName name="_1._Zegels_Minuut_Brevet">#REF!</definedName>
    <definedName name="_10._Tweede_getuigschrift" localSheetId="0">VKBPWHV!#REF!</definedName>
    <definedName name="_10._Tweede_getuigschrift">#REF!</definedName>
    <definedName name="_11._Kadaster_uittreksel" localSheetId="0">VKBPWHV!#REF!</definedName>
    <definedName name="_11._Kadaster_uittreksel">#REF!</definedName>
    <definedName name="_12._Getuigen" localSheetId="0">VKBPWHV!#REF!</definedName>
    <definedName name="_12._Getuigen">#REF!</definedName>
    <definedName name="_13._Allerlei_uitgaven" localSheetId="0">VKBPWHV!#REF!</definedName>
    <definedName name="_13._Allerlei_uitgaven">#REF!</definedName>
    <definedName name="_14." localSheetId="0">VKBPWHV!#REF!</definedName>
    <definedName name="_14.">#REF!</definedName>
    <definedName name="_15." localSheetId="0">VKBPWHV!#REF!</definedName>
    <definedName name="_15.">#REF!</definedName>
    <definedName name="_2._Registratie_Minuut_Brevet" localSheetId="0">VKBPWHV!$B$19:$G$19</definedName>
    <definedName name="_2._Registratie_Minuut_Brevet">#REF!</definedName>
    <definedName name="_3._Registratie_aanhangsel" localSheetId="0">VKBPWHV!$E$20:$G$20</definedName>
    <definedName name="_3._Registratie_aanhangsel">#REF!</definedName>
    <definedName name="_4.Zegels_afschrift_grosse" localSheetId="0">VKBPWHV!#REF!</definedName>
    <definedName name="_4.Zegels_afschrift_grosse">#REF!</definedName>
    <definedName name="_5._Hypotheek__inschr._overschr._doorh." localSheetId="0">VKBPWHV!#REF!</definedName>
    <definedName name="_5._Hypotheek__inschr._overschr._doorh.">#REF!</definedName>
    <definedName name="_6._Loon_pandbewaarder" localSheetId="0">VKBPWHV!#REF!</definedName>
    <definedName name="_6._Loon_pandbewaarder">#REF!</definedName>
    <definedName name="_7._Zegels__bord._aanh." localSheetId="0">VKBPWHV!#REF!</definedName>
    <definedName name="_7._Zegels__bord._aanh.">#REF!</definedName>
    <definedName name="_8._Opzoekingen" localSheetId="0">VKBPWHV!#REF!</definedName>
    <definedName name="_8._Opzoekingen">#REF!</definedName>
    <definedName name="_9._Hypothecair_getuigschrift" localSheetId="0">VKBPWHV!#REF!</definedName>
    <definedName name="_9._Hypothecair_getuigschrift">#REF!</definedName>
    <definedName name="Aard" localSheetId="0">VKBPWHV!$C$5:$F$5</definedName>
    <definedName name="Aard">#REF!</definedName>
    <definedName name="_xlnm.Print_Area" localSheetId="0">VKBPWHV!$A$1:$E$48</definedName>
    <definedName name="Datum" localSheetId="0">VKBPWHV!$B$5:$G$46</definedName>
    <definedName name="Datum">#REF!</definedName>
    <definedName name="gemeentelijke_info">#REF!</definedName>
    <definedName name="Kantoor_van_Notaris_J._SIMONART_te_Leuven" localSheetId="0">VKBPWHV!#REF!</definedName>
    <definedName name="Kantoor_van_Notaris_J._SIMONART_te_Leuven">#REF!</definedName>
    <definedName name="KOSTENFICHE" localSheetId="0">VKBPWHV!$A$1:$G$46</definedName>
    <definedName name="KOSTENFICHE">#REF!</definedName>
    <definedName name="Last_Row">IF(Values_Entered,Header_Row+Number_of_Payments,Header_Row)</definedName>
    <definedName name="Naam" localSheetId="0">VKBPWHV!$C$6:$F$6</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 localSheetId="0">VKBPWHV!$F$5:$F$47</definedName>
    <definedName name="Rep.">#REF!</definedName>
    <definedName name="solver_cvg" localSheetId="0" hidden="1">0.001</definedName>
    <definedName name="solver_drv" localSheetId="0" hidden="1">1</definedName>
    <definedName name="solver_est" localSheetId="0" hidden="1">1</definedName>
    <definedName name="solver_itr" localSheetId="0" hidden="1">100</definedName>
    <definedName name="solver_lin" localSheetId="0" hidden="1">2</definedName>
    <definedName name="solver_neg" localSheetId="0" hidden="1">2</definedName>
    <definedName name="solver_num" localSheetId="0" hidden="1">0</definedName>
    <definedName name="solver_nwt" localSheetId="0" hidden="1">1</definedName>
    <definedName name="solver_opt" localSheetId="0" hidden="1">VKBPWHV!#REF!</definedName>
    <definedName name="solver_pre" localSheetId="0" hidden="1">0.000001</definedName>
    <definedName name="solver_scl" localSheetId="0" hidden="1">2</definedName>
    <definedName name="solver_sho" localSheetId="0" hidden="1">2</definedName>
    <definedName name="solver_tim" localSheetId="0" hidden="1">100</definedName>
    <definedName name="solver_tol" localSheetId="0" hidden="1">0.05</definedName>
    <definedName name="solver_typ" localSheetId="0" hidden="1">1</definedName>
    <definedName name="solver_val" localSheetId="0" hidden="1">0</definedName>
    <definedName name="Total_Payment">Scheduled_Payment+Extra_Payment</definedName>
    <definedName name="Values_Entered">IF(Loan_Amount*Interest_Rate*Loan_Years*Loan_Start&gt;0,1,0)</definedName>
    <definedName name="Z_36694620_AAE4_11D2_833F_00805A158EE1_.wvu.PrintArea" localSheetId="0" hidden="1">VKBPWHV!$A$4:$G$46</definedName>
  </definedNames>
  <calcPr calcId="152511"/>
</workbook>
</file>

<file path=xl/calcChain.xml><?xml version="1.0" encoding="utf-8"?>
<calcChain xmlns="http://schemas.openxmlformats.org/spreadsheetml/2006/main">
  <c r="D36" i="1" l="1"/>
  <c r="B7" i="1"/>
  <c r="D17" i="1"/>
  <c r="D18" i="1"/>
  <c r="D20" i="1"/>
  <c r="D53" i="1"/>
  <c r="F154" i="1" s="1"/>
  <c r="D57" i="1"/>
  <c r="F139" i="1" s="1"/>
  <c r="B62" i="1"/>
  <c r="B63" i="1"/>
  <c r="D131" i="1" s="1"/>
  <c r="D132" i="1" s="1"/>
  <c r="D133" i="1" s="1"/>
  <c r="D134" i="1" s="1"/>
  <c r="C67" i="1"/>
  <c r="C69" i="1"/>
  <c r="C71" i="1"/>
  <c r="C85" i="1"/>
  <c r="C119" i="1"/>
  <c r="D119" i="1"/>
  <c r="F137" i="1"/>
  <c r="F140" i="1"/>
  <c r="C143" i="1"/>
  <c r="C148" i="1"/>
  <c r="C156" i="1" s="1"/>
  <c r="F149" i="1"/>
  <c r="F150" i="1"/>
  <c r="E158" i="1" s="1"/>
  <c r="F151" i="1"/>
  <c r="F152" i="1"/>
  <c r="F153" i="1"/>
  <c r="C155" i="1"/>
  <c r="F155" i="1"/>
  <c r="F162" i="1"/>
  <c r="F165" i="1"/>
  <c r="F167" i="1"/>
  <c r="C168" i="1"/>
  <c r="C174" i="1"/>
  <c r="C182" i="1" s="1"/>
  <c r="F175" i="1"/>
  <c r="F176" i="1"/>
  <c r="F177" i="1"/>
  <c r="F178" i="1"/>
  <c r="F179" i="1"/>
  <c r="C181" i="1"/>
  <c r="F181" i="1"/>
  <c r="E188" i="1"/>
  <c r="C191" i="1"/>
  <c r="D16" i="1" s="1"/>
  <c r="E23" i="1" s="1"/>
  <c r="C192" i="1"/>
  <c r="C193" i="1"/>
  <c r="D193" i="1"/>
  <c r="E193" i="1"/>
  <c r="C194" i="1"/>
  <c r="D194" i="1"/>
  <c r="E194" i="1"/>
  <c r="C202" i="1" s="1"/>
  <c r="C201" i="1" s="1"/>
  <c r="C196" i="1"/>
  <c r="C197" i="1" s="1"/>
  <c r="C199" i="1"/>
  <c r="C198" i="1" s="1"/>
  <c r="C200" i="1"/>
  <c r="E200" i="1"/>
  <c r="E204" i="1" s="1"/>
  <c r="D39" i="1" s="1"/>
  <c r="F200" i="1"/>
  <c r="E201" i="1"/>
  <c r="F201" i="1"/>
  <c r="E202" i="1"/>
  <c r="F202" i="1"/>
  <c r="E203" i="1"/>
  <c r="F203" i="1"/>
  <c r="D40" i="1" s="1"/>
  <c r="E206" i="1"/>
  <c r="E207" i="1"/>
  <c r="F207" i="1"/>
  <c r="E208" i="1"/>
  <c r="F208" i="1"/>
  <c r="E209" i="1"/>
  <c r="F209" i="1"/>
  <c r="F210" i="1"/>
  <c r="D43" i="1" s="1"/>
  <c r="B213" i="1"/>
  <c r="C213" i="1"/>
  <c r="B214" i="1"/>
  <c r="C214" i="1"/>
  <c r="F230" i="1"/>
  <c r="F238" i="1" s="1"/>
  <c r="E15" i="1" s="1"/>
  <c r="F231" i="1"/>
  <c r="F232" i="1"/>
  <c r="F233" i="1"/>
  <c r="F234" i="1"/>
  <c r="F235" i="1"/>
  <c r="C236" i="1"/>
  <c r="F236" i="1"/>
  <c r="C248" i="1"/>
  <c r="C250" i="1" s="1"/>
  <c r="C92" i="1" s="1"/>
  <c r="D248" i="1"/>
  <c r="E248" i="1"/>
  <c r="C254" i="1"/>
  <c r="E256" i="1"/>
  <c r="E264" i="1" s="1"/>
  <c r="E265" i="1" s="1"/>
  <c r="E89" i="1" s="1"/>
  <c r="E94" i="1" s="1"/>
  <c r="E257" i="1"/>
  <c r="E258" i="1"/>
  <c r="E259" i="1"/>
  <c r="E260" i="1"/>
  <c r="E261" i="1"/>
  <c r="C262" i="1"/>
  <c r="E262" i="1"/>
  <c r="E210" i="1" l="1"/>
  <c r="D42" i="1" s="1"/>
  <c r="E26" i="1"/>
  <c r="E45" i="1" s="1"/>
  <c r="E24" i="1"/>
  <c r="E98" i="1"/>
  <c r="C94" i="1"/>
  <c r="E95" i="1"/>
  <c r="E96" i="1"/>
  <c r="E100" i="1" s="1"/>
  <c r="E47" i="1"/>
  <c r="F180" i="1"/>
  <c r="E184" i="1" s="1"/>
  <c r="F163" i="1"/>
  <c r="E171" i="1" s="1"/>
  <c r="F138" i="1"/>
  <c r="E146" i="1" s="1"/>
  <c r="E59" i="1" s="1"/>
  <c r="B64" i="1"/>
  <c r="C65" i="1" s="1"/>
  <c r="F168" i="1"/>
  <c r="C161" i="1"/>
  <c r="F143" i="1"/>
  <c r="C136" i="1"/>
  <c r="E182" i="1"/>
  <c r="E156" i="1"/>
  <c r="F142" i="1"/>
  <c r="G115" i="1"/>
  <c r="G117" i="1" s="1"/>
  <c r="G119" i="1" s="1"/>
  <c r="C60" i="1" s="1"/>
  <c r="A123" i="1" s="1"/>
  <c r="C73" i="1" s="1"/>
  <c r="E74" i="1" s="1"/>
  <c r="F166" i="1"/>
  <c r="F141" i="1"/>
  <c r="F164" i="1"/>
  <c r="E60" i="1" l="1"/>
  <c r="E77" i="1" s="1"/>
  <c r="E73" i="1"/>
  <c r="E75" i="1" s="1"/>
  <c r="E79" i="1" s="1"/>
  <c r="C144" i="1"/>
  <c r="E144" i="1"/>
  <c r="C169" i="1"/>
  <c r="E169" i="1"/>
</calcChain>
</file>

<file path=xl/comments1.xml><?xml version="1.0" encoding="utf-8"?>
<comments xmlns="http://schemas.openxmlformats.org/spreadsheetml/2006/main">
  <authors>
    <author>Formados</author>
    <author>Jo Hermans</author>
    <author>licentie</author>
  </authors>
  <commentList>
    <comment ref="A9" authorId="0" shapeId="0">
      <text>
        <r>
          <rPr>
            <sz val="9"/>
            <color indexed="81"/>
            <rFont val="Tahoma"/>
            <family val="2"/>
          </rPr>
          <t xml:space="preserve">- zuivere aankoop (geen ruil,...)
- volle eigendom van een gebouwd onroerend goed (woning of appartement in aanbouw, GEEN BOUWGROND)
- geen eigenaar van de geheelheid van een andere woning
- vestigen van een hoofdverblijfplaats in de woning (2j.) of het appartement in aanbouw (3j.) en behoud hoofdverblijf in het aangekochte goed gedurende 5 jaar </t>
        </r>
      </text>
    </comment>
    <comment ref="A11" authorId="1" shapeId="0">
      <text>
        <r>
          <rPr>
            <sz val="8"/>
            <color indexed="81"/>
            <rFont val="Tahoma"/>
            <family val="2"/>
          </rPr>
          <t>In dat geval is een vermindering van 250 euro op het ereloon voorzien voor zover het KI van de woning voldoet aan de elders geldende regels (745 euro,…) en het abattement ook van toepassing is</t>
        </r>
        <r>
          <rPr>
            <sz val="8"/>
            <color indexed="81"/>
            <rFont val="Tahoma"/>
            <family val="2"/>
          </rPr>
          <t xml:space="preserve">
</t>
        </r>
      </text>
    </comment>
    <comment ref="C61" authorId="2" shapeId="0">
      <text>
        <r>
          <rPr>
            <b/>
            <sz val="10"/>
            <color indexed="81"/>
            <rFont val="Tahoma"/>
            <family val="2"/>
          </rPr>
          <t>Hier vul je het werkelijk bedrag van registratie bijlagen in.</t>
        </r>
      </text>
    </comment>
  </commentList>
</comments>
</file>

<file path=xl/sharedStrings.xml><?xml version="1.0" encoding="utf-8"?>
<sst xmlns="http://schemas.openxmlformats.org/spreadsheetml/2006/main" count="187" uniqueCount="126">
  <si>
    <t>Dossier</t>
  </si>
  <si>
    <t>Cliënt</t>
  </si>
  <si>
    <t>Prijs</t>
  </si>
  <si>
    <t>Lasten:</t>
  </si>
  <si>
    <t>Basis</t>
  </si>
  <si>
    <t>Betaald voorschot</t>
  </si>
  <si>
    <t>Abattement?</t>
  </si>
  <si>
    <t>neen</t>
  </si>
  <si>
    <t xml:space="preserve">Verhoogd abattement? (RVOHR) </t>
  </si>
  <si>
    <t>Zoek het op</t>
  </si>
  <si>
    <t>ja</t>
  </si>
  <si>
    <t>------------------------------------------------------------------------------------------------</t>
  </si>
  <si>
    <t>Kosten ten laste van de koper</t>
  </si>
  <si>
    <t>Ereloon</t>
  </si>
  <si>
    <t xml:space="preserve">Registratie </t>
  </si>
  <si>
    <t>Vermindering abattement</t>
  </si>
  <si>
    <t>Verhoogd abattement</t>
  </si>
  <si>
    <t>Registratie aanhangsel</t>
  </si>
  <si>
    <t>Overschrijving (rols)</t>
  </si>
  <si>
    <t>FMA</t>
  </si>
  <si>
    <t>Aandeel basisakte of verkavelingsakte</t>
  </si>
  <si>
    <t>Totaal uitgaven voor koper:</t>
  </si>
  <si>
    <t>BTW</t>
  </si>
  <si>
    <t>Totaal koper:</t>
  </si>
  <si>
    <t>Kosten ten laste van de verkoper</t>
  </si>
  <si>
    <t>Makelaar</t>
  </si>
  <si>
    <t>Kosten ten laste van de verkoper of de koper (maak de keuze)</t>
  </si>
  <si>
    <t>Stedenbouw</t>
  </si>
  <si>
    <t>koper</t>
  </si>
  <si>
    <t>Meting</t>
  </si>
  <si>
    <t>Bodemattesten</t>
  </si>
  <si>
    <t>Andere</t>
  </si>
  <si>
    <t>Totaal bijkomende kosten koper</t>
  </si>
  <si>
    <t>Totaal bijkomende kosten verkoper:</t>
  </si>
  <si>
    <t>Algemeen totaal koper:</t>
  </si>
  <si>
    <t>Algemeen totaal verkoper:</t>
  </si>
  <si>
    <t>Afrekening koper</t>
  </si>
  <si>
    <t>Afrekening verkoper</t>
  </si>
  <si>
    <t>Décompte acquéreur</t>
  </si>
  <si>
    <t>Décompte vendeur</t>
  </si>
  <si>
    <t>NVT</t>
  </si>
  <si>
    <t>Arlon</t>
  </si>
  <si>
    <t>Assesse</t>
  </si>
  <si>
    <t>Beauvechain</t>
  </si>
  <si>
    <t>Attert</t>
  </si>
  <si>
    <t>Braine-l'Alleud</t>
  </si>
  <si>
    <t>Aubel</t>
  </si>
  <si>
    <t>Braine-le-Château</t>
  </si>
  <si>
    <t>Dalhem</t>
  </si>
  <si>
    <t xml:space="preserve">Chastre </t>
  </si>
  <si>
    <t>Fernelmont</t>
  </si>
  <si>
    <t>Chaumont-Gistoux</t>
  </si>
  <si>
    <t>Ittre</t>
  </si>
  <si>
    <t>Court-Saint-Etienne</t>
  </si>
  <si>
    <t>Jalhay</t>
  </si>
  <si>
    <t xml:space="preserve">Grez-Doiceau </t>
  </si>
  <si>
    <t>Jodoigne</t>
  </si>
  <si>
    <t>Incourt</t>
  </si>
  <si>
    <t>La Bruyère</t>
  </si>
  <si>
    <t>verkoper</t>
  </si>
  <si>
    <t xml:space="preserve">La Hulpe </t>
  </si>
  <si>
    <t>Nandrin</t>
  </si>
  <si>
    <t xml:space="preserve">Lasne </t>
  </si>
  <si>
    <t>Nivelles</t>
  </si>
  <si>
    <t>Messancy</t>
  </si>
  <si>
    <t>Orp-Jauche</t>
  </si>
  <si>
    <t>Mont-Saint-Guibert</t>
  </si>
  <si>
    <t>Perwez</t>
  </si>
  <si>
    <t>Ottignies-Louvain-la-Neuve</t>
  </si>
  <si>
    <t>Profondeville</t>
  </si>
  <si>
    <t xml:space="preserve">Ramillies </t>
  </si>
  <si>
    <t>Raeren</t>
  </si>
  <si>
    <t>Rixensart</t>
  </si>
  <si>
    <t>Silly</t>
  </si>
  <si>
    <t>Villers-la-Ville</t>
  </si>
  <si>
    <t>Tubize</t>
  </si>
  <si>
    <t>Walhain</t>
  </si>
  <si>
    <t>Waterloo</t>
  </si>
  <si>
    <t>Wavre</t>
  </si>
  <si>
    <t>Basisbedrag</t>
  </si>
  <si>
    <t>Allerlei uitgaven</t>
  </si>
  <si>
    <t>Bedrag</t>
  </si>
  <si>
    <t>Tarief J</t>
  </si>
  <si>
    <t>Totaal Ereloon</t>
  </si>
  <si>
    <t>Sociaal krediet voor minstens 50%?</t>
  </si>
  <si>
    <t>PANDWISSEL BIJ AANKOOP</t>
  </si>
  <si>
    <t>Oude inschrijving</t>
  </si>
  <si>
    <t>Hoofdsom</t>
  </si>
  <si>
    <t>Aanhor.</t>
  </si>
  <si>
    <t>Nieuwe inschrijving</t>
  </si>
  <si>
    <t>1. Registratie Minuut-Brevet</t>
  </si>
  <si>
    <t>(BTW)</t>
  </si>
  <si>
    <t>2. Registratie bijlagen</t>
  </si>
  <si>
    <t xml:space="preserve">           Hypotheekloon inschrijving</t>
  </si>
  <si>
    <t xml:space="preserve">           Hypotheekloon doorhaling</t>
  </si>
  <si>
    <t xml:space="preserve">           Inschrijvingsrecht</t>
  </si>
  <si>
    <t>3. Provisie hypotheekkosten</t>
  </si>
  <si>
    <t>4. Recht op geschriften</t>
  </si>
  <si>
    <t>5. Allerlei uitgaven</t>
  </si>
  <si>
    <t>6. Stedenbouwkundige info of uittreksel</t>
  </si>
  <si>
    <t>Totaal uitgaven</t>
  </si>
  <si>
    <t>Totaal</t>
  </si>
  <si>
    <t>Tot. Uitg.</t>
  </si>
  <si>
    <t>Samen</t>
  </si>
  <si>
    <t>plus BTW</t>
  </si>
  <si>
    <t>Totaal:</t>
  </si>
  <si>
    <t>Loon hypotheekbewaarder</t>
  </si>
  <si>
    <t>Berekening ereloon hypotheekbewaarder</t>
  </si>
  <si>
    <t xml:space="preserve">tot </t>
  </si>
  <si>
    <t>per</t>
  </si>
  <si>
    <t>supplementair</t>
  </si>
  <si>
    <t>Bijlagen</t>
  </si>
  <si>
    <t>Diverse kosten</t>
  </si>
  <si>
    <t>Loon hypotheekbewaarder doorhaling</t>
  </si>
  <si>
    <t>Boekje</t>
  </si>
  <si>
    <t>HYPOTHECAIRE VOLMACHT KOPER</t>
  </si>
  <si>
    <t>Hoeveel hypotheekkantoren?</t>
  </si>
  <si>
    <t>Recht op geschriften</t>
  </si>
  <si>
    <t>Registratierecht akte</t>
  </si>
  <si>
    <t>Registratierecht bijlagen</t>
  </si>
  <si>
    <t>Tarief</t>
  </si>
  <si>
    <t>Ereloon G</t>
  </si>
  <si>
    <t>Lening</t>
  </si>
  <si>
    <t>Hypothecaire volmacht</t>
  </si>
  <si>
    <t>VERKOOP ONROEREND GOED BRUSSEL MET HYPOTHEEKRUIL EN HYPOTHECAIRE VOLMACHT</t>
  </si>
  <si>
    <t xml:space="preserve">Totaal: </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</si>
</sst>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164" formatCode="#,##0.00\ &quot;€&quot;;\-#,##0.00\ &quot;€&quot;"/>
    <numFmt numFmtId="165" formatCode="_-* #,##0.00\ &quot;BF&quot;_-;\-* #,##0.00\ &quot;BF&quot;_-;_-* &quot;-&quot;??\ &quot;BF&quot;_-;_-@_-"/>
    <numFmt numFmtId="166" formatCode="d\ mmmm\ yyyy"/>
    <numFmt numFmtId="167" formatCode="_-* #,##0.00\ [$EUR]_-;\-* #,##0.00\ [$EUR]_-;_-* &quot;-&quot;??\ [$EUR]_-;_-@_-"/>
    <numFmt numFmtId="168" formatCode="#,##0.00\ [$EUR]"/>
    <numFmt numFmtId="169" formatCode="#,##0.00_ ;\-#,##0.00\ "/>
    <numFmt numFmtId="170" formatCode="#,##0&quot; BF&quot;;\-#,##0&quot; BF&quot;"/>
    <numFmt numFmtId="171" formatCode="0.000%"/>
    <numFmt numFmtId="172" formatCode="#.##000"/>
    <numFmt numFmtId="173" formatCode="_-* #,##0\ _F_B_-;\-* #,##0\ _F_B_-;_-* &quot;-&quot;\ _F_B_-;_-@_-"/>
    <numFmt numFmtId="174" formatCode="\$#,#00"/>
    <numFmt numFmtId="175" formatCode="_-* #,##0\ &quot;FB&quot;_-;\-* #,##0\ &quot;FB&quot;_-;_-* &quot;-&quot;\ &quot;FB&quot;_-;_-@_-"/>
    <numFmt numFmtId="176" formatCode="m\o\n\t\h\ d\,\ \y\y\y\y"/>
    <numFmt numFmtId="177" formatCode="#,#00"/>
    <numFmt numFmtId="178" formatCode="#,"/>
    <numFmt numFmtId="179" formatCode="%#,#00"/>
    <numFmt numFmtId="180" formatCode="#,##0&quot; Fr&quot;;\-#,##0&quot; Fr&quot;"/>
    <numFmt numFmtId="181" formatCode="0.0000%"/>
    <numFmt numFmtId="182" formatCode="#,##0.00\ &quot;BF&quot;;\-#,##0.00\ &quot;BF&quot;"/>
    <numFmt numFmtId="183" formatCode="#,##0.00\ &quot;€&quot;"/>
  </numFmts>
  <fonts count="22" x14ac:knownFonts="1">
    <font>
      <sz val="10"/>
      <name val="Arial"/>
    </font>
    <font>
      <b/>
      <sz val="10"/>
      <name val="Arial"/>
      <family val="2"/>
    </font>
    <font>
      <sz val="10"/>
      <name val="Arial"/>
      <family val="2"/>
    </font>
    <font>
      <u/>
      <sz val="10"/>
      <color indexed="12"/>
      <name val="Arial"/>
      <family val="2"/>
    </font>
    <font>
      <sz val="12"/>
      <name val="Times New Roman"/>
      <family val="1"/>
    </font>
    <font>
      <i/>
      <sz val="10"/>
      <name val="Arial"/>
      <family val="2"/>
    </font>
    <font>
      <b/>
      <sz val="11"/>
      <color indexed="8"/>
      <name val="Times New Roman"/>
      <family val="1"/>
    </font>
    <font>
      <sz val="11"/>
      <color indexed="8"/>
      <name val="Times New Roman"/>
      <family val="1"/>
    </font>
    <font>
      <sz val="11"/>
      <name val="Times New Roman"/>
      <family val="1"/>
    </font>
    <font>
      <sz val="9"/>
      <color indexed="81"/>
      <name val="Tahoma"/>
      <family val="2"/>
    </font>
    <font>
      <sz val="1"/>
      <color indexed="8"/>
      <name val="Courier"/>
      <family val="3"/>
    </font>
    <font>
      <b/>
      <sz val="1"/>
      <color indexed="8"/>
      <name val="Courier"/>
      <family val="3"/>
    </font>
    <font>
      <sz val="11"/>
      <color indexed="8"/>
      <name val="Calibri"/>
      <family val="2"/>
    </font>
    <font>
      <sz val="8"/>
      <color indexed="81"/>
      <name val="Tahoma"/>
      <family val="2"/>
    </font>
    <font>
      <u/>
      <sz val="10"/>
      <name val="Arial"/>
      <family val="2"/>
    </font>
    <font>
      <b/>
      <sz val="10"/>
      <color indexed="81"/>
      <name val="Tahoma"/>
      <family val="2"/>
    </font>
    <font>
      <sz val="9"/>
      <color indexed="9"/>
      <name val="Arial"/>
      <family val="2"/>
    </font>
    <font>
      <b/>
      <sz val="16"/>
      <color indexed="9"/>
      <name val="Arial"/>
      <family val="2"/>
    </font>
    <font>
      <b/>
      <sz val="10"/>
      <color indexed="9"/>
      <name val="Arial"/>
      <family val="2"/>
    </font>
    <font>
      <sz val="10"/>
      <color indexed="9"/>
      <name val="Arial"/>
      <family val="2"/>
    </font>
    <font>
      <sz val="11"/>
      <color theme="1"/>
      <name val="Calibri"/>
      <family val="2"/>
      <scheme val="minor"/>
    </font>
    <font>
      <b/>
      <sz val="11"/>
      <color theme="1"/>
      <name val="Calibri"/>
      <family val="2"/>
      <scheme val="minor"/>
    </font>
  </fonts>
  <fills count="15">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solid">
        <fgColor indexed="9"/>
        <bgColor indexed="24"/>
      </patternFill>
    </fill>
    <fill>
      <patternFill patternType="solid">
        <fgColor indexed="9"/>
      </patternFill>
    </fill>
    <fill>
      <patternFill patternType="solid">
        <fgColor indexed="12"/>
        <bgColor indexed="64"/>
      </patternFill>
    </fill>
    <fill>
      <patternFill patternType="solid">
        <fgColor indexed="42"/>
        <bgColor indexed="64"/>
      </patternFill>
    </fill>
    <fill>
      <patternFill patternType="solid">
        <fgColor indexed="53"/>
        <bgColor indexed="64"/>
      </patternFill>
    </fill>
    <fill>
      <patternFill patternType="solid">
        <fgColor indexed="44"/>
        <bgColor indexed="64"/>
      </patternFill>
    </fill>
    <fill>
      <patternFill patternType="solid">
        <fgColor indexed="13"/>
        <bgColor indexed="64"/>
      </patternFill>
    </fill>
    <fill>
      <patternFill patternType="solid">
        <fgColor indexed="47"/>
        <bgColor indexed="64"/>
      </patternFill>
    </fill>
    <fill>
      <patternFill patternType="solid">
        <fgColor indexed="41"/>
        <bgColor indexed="64"/>
      </patternFill>
    </fill>
    <fill>
      <patternFill patternType="solid">
        <fgColor indexed="52"/>
        <bgColor indexed="64"/>
      </patternFill>
    </fill>
    <fill>
      <patternFill patternType="solid">
        <fgColor indexed="57"/>
        <bgColor indexed="64"/>
      </patternFill>
    </fill>
  </fills>
  <borders count="16">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style="double">
        <color indexed="64"/>
      </left>
      <right style="double">
        <color indexed="64"/>
      </right>
      <top style="double">
        <color indexed="64"/>
      </top>
      <bottom style="double">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ck">
        <color indexed="20"/>
      </top>
      <bottom/>
      <diagonal/>
    </border>
    <border>
      <left/>
      <right style="thick">
        <color indexed="64"/>
      </right>
      <top/>
      <bottom/>
      <diagonal/>
    </border>
    <border>
      <left/>
      <right/>
      <top style="thin">
        <color theme="4"/>
      </top>
      <bottom style="double">
        <color theme="4"/>
      </bottom>
      <diagonal/>
    </border>
  </borders>
  <cellStyleXfs count="17">
    <xf numFmtId="0" fontId="0" fillId="0" borderId="0"/>
    <xf numFmtId="172" fontId="10" fillId="0" borderId="0">
      <protection locked="0"/>
    </xf>
    <xf numFmtId="173" fontId="2" fillId="0" borderId="0" applyFont="0" applyFill="0" applyBorder="0" applyAlignment="0" applyProtection="0"/>
    <xf numFmtId="174" fontId="10" fillId="0" borderId="0">
      <protection locked="0"/>
    </xf>
    <xf numFmtId="175" fontId="2" fillId="0" borderId="0" applyFont="0" applyFill="0" applyBorder="0" applyAlignment="0" applyProtection="0"/>
    <xf numFmtId="176" fontId="10" fillId="0" borderId="0">
      <protection locked="0"/>
    </xf>
    <xf numFmtId="177" fontId="10" fillId="0" borderId="0">
      <protection locked="0"/>
    </xf>
    <xf numFmtId="178" fontId="11" fillId="0" borderId="0">
      <protection locked="0"/>
    </xf>
    <xf numFmtId="178" fontId="11" fillId="0" borderId="0">
      <protection locked="0"/>
    </xf>
    <xf numFmtId="0" fontId="3" fillId="0" borderId="0" applyNumberFormat="0" applyFill="0" applyBorder="0" applyAlignment="0" applyProtection="0">
      <alignment vertical="top"/>
      <protection locked="0"/>
    </xf>
    <xf numFmtId="179" fontId="10" fillId="0" borderId="0">
      <protection locked="0"/>
    </xf>
    <xf numFmtId="0" fontId="12" fillId="0" borderId="0"/>
    <xf numFmtId="0" fontId="20" fillId="0" borderId="0"/>
    <xf numFmtId="0" fontId="2" fillId="0" borderId="0"/>
    <xf numFmtId="0" fontId="20" fillId="0" borderId="0"/>
    <xf numFmtId="178" fontId="10" fillId="0" borderId="1">
      <protection locked="0"/>
    </xf>
    <xf numFmtId="0" fontId="21" fillId="0" borderId="15" applyNumberFormat="0" applyFill="0" applyAlignment="0" applyProtection="0"/>
  </cellStyleXfs>
  <cellXfs count="149">
    <xf numFmtId="0" fontId="0" fillId="0" borderId="0" xfId="0"/>
    <xf numFmtId="0" fontId="0" fillId="2" borderId="0" xfId="0" applyFill="1" applyBorder="1" applyAlignment="1" applyProtection="1">
      <alignment horizontal="center"/>
      <protection locked="0" hidden="1"/>
    </xf>
    <xf numFmtId="164" fontId="2" fillId="2" borderId="0" xfId="13" applyNumberFormat="1" applyFill="1" applyBorder="1" applyAlignment="1" applyProtection="1">
      <protection locked="0" hidden="1"/>
    </xf>
    <xf numFmtId="164" fontId="2" fillId="2" borderId="0" xfId="13" applyNumberFormat="1" applyFill="1" applyBorder="1" applyAlignment="1" applyProtection="1">
      <alignment horizontal="right"/>
      <protection locked="0" hidden="1"/>
    </xf>
    <xf numFmtId="0" fontId="0" fillId="3" borderId="0" xfId="0" applyFill="1" applyProtection="1">
      <protection hidden="1"/>
    </xf>
    <xf numFmtId="0" fontId="1" fillId="3" borderId="0" xfId="0" applyFont="1" applyFill="1" applyBorder="1" applyAlignment="1" applyProtection="1">
      <alignment horizontal="left"/>
      <protection hidden="1"/>
    </xf>
    <xf numFmtId="0" fontId="0" fillId="3" borderId="0" xfId="0" applyNumberFormat="1" applyFill="1" applyBorder="1" applyAlignment="1" applyProtection="1">
      <protection hidden="1"/>
    </xf>
    <xf numFmtId="165" fontId="0" fillId="3" borderId="0" xfId="0" applyNumberFormat="1" applyFill="1" applyBorder="1" applyAlignment="1" applyProtection="1">
      <protection hidden="1"/>
    </xf>
    <xf numFmtId="0" fontId="0" fillId="3" borderId="0" xfId="0" applyFill="1" applyBorder="1" applyAlignment="1" applyProtection="1">
      <alignment horizontal="left"/>
      <protection locked="0" hidden="1"/>
    </xf>
    <xf numFmtId="0" fontId="0" fillId="3" borderId="0" xfId="0" applyFill="1" applyBorder="1" applyAlignment="1" applyProtection="1">
      <alignment horizontal="left"/>
      <protection hidden="1"/>
    </xf>
    <xf numFmtId="167" fontId="0" fillId="3" borderId="0" xfId="0" applyNumberFormat="1" applyFill="1" applyBorder="1" applyAlignment="1" applyProtection="1">
      <protection hidden="1"/>
    </xf>
    <xf numFmtId="0" fontId="2" fillId="3" borderId="0" xfId="0" applyFont="1" applyFill="1" applyBorder="1" applyAlignment="1" applyProtection="1">
      <alignment horizontal="left"/>
      <protection hidden="1"/>
    </xf>
    <xf numFmtId="165" fontId="2" fillId="3" borderId="0" xfId="0" applyNumberFormat="1" applyFont="1" applyFill="1" applyBorder="1" applyAlignment="1" applyProtection="1">
      <protection hidden="1"/>
    </xf>
    <xf numFmtId="0" fontId="3" fillId="3" borderId="0" xfId="9" applyFill="1" applyBorder="1" applyAlignment="1" applyProtection="1">
      <alignment horizontal="left"/>
      <protection hidden="1"/>
    </xf>
    <xf numFmtId="0" fontId="2" fillId="3" borderId="0" xfId="13" applyFont="1" applyFill="1" applyBorder="1" applyAlignment="1" applyProtection="1">
      <alignment horizontal="left"/>
      <protection hidden="1"/>
    </xf>
    <xf numFmtId="0" fontId="1" fillId="3" borderId="0" xfId="13" applyFont="1" applyFill="1" applyBorder="1" applyAlignment="1" applyProtection="1">
      <alignment horizontal="left"/>
      <protection hidden="1"/>
    </xf>
    <xf numFmtId="0" fontId="1" fillId="3" borderId="0" xfId="0" quotePrefix="1" applyFont="1" applyFill="1" applyBorder="1" applyAlignment="1" applyProtection="1">
      <alignment horizontal="left"/>
      <protection hidden="1"/>
    </xf>
    <xf numFmtId="0" fontId="1" fillId="3" borderId="2" xfId="0" applyFont="1" applyFill="1" applyBorder="1" applyAlignment="1" applyProtection="1">
      <alignment horizontal="left"/>
      <protection hidden="1"/>
    </xf>
    <xf numFmtId="165" fontId="2" fillId="3" borderId="3" xfId="0" applyNumberFormat="1" applyFont="1" applyFill="1" applyBorder="1" applyAlignment="1" applyProtection="1">
      <alignment horizontal="left"/>
      <protection hidden="1"/>
    </xf>
    <xf numFmtId="167" fontId="0" fillId="3" borderId="0" xfId="0" applyNumberFormat="1" applyFill="1" applyBorder="1" applyAlignment="1" applyProtection="1">
      <alignment horizontal="left"/>
      <protection hidden="1"/>
    </xf>
    <xf numFmtId="0" fontId="2" fillId="3" borderId="3" xfId="0" applyFont="1" applyFill="1" applyBorder="1" applyAlignment="1" applyProtection="1">
      <alignment horizontal="left"/>
      <protection hidden="1"/>
    </xf>
    <xf numFmtId="0" fontId="2" fillId="3" borderId="3" xfId="0" applyFont="1" applyFill="1" applyBorder="1" applyProtection="1">
      <protection hidden="1"/>
    </xf>
    <xf numFmtId="0" fontId="0" fillId="3" borderId="0" xfId="0" applyFill="1" applyBorder="1" applyProtection="1">
      <protection hidden="1"/>
    </xf>
    <xf numFmtId="0" fontId="2" fillId="3" borderId="0" xfId="0" applyFont="1" applyFill="1" applyBorder="1" applyProtection="1">
      <protection hidden="1"/>
    </xf>
    <xf numFmtId="0" fontId="2" fillId="3" borderId="0" xfId="0" applyFont="1" applyFill="1" applyProtection="1">
      <protection hidden="1"/>
    </xf>
    <xf numFmtId="167" fontId="0" fillId="3" borderId="0" xfId="0" applyNumberFormat="1" applyFill="1" applyProtection="1">
      <protection hidden="1"/>
    </xf>
    <xf numFmtId="0" fontId="1" fillId="3" borderId="4" xfId="0" applyFont="1" applyFill="1" applyBorder="1" applyAlignment="1" applyProtection="1">
      <alignment horizontal="left"/>
      <protection hidden="1"/>
    </xf>
    <xf numFmtId="0" fontId="0" fillId="3" borderId="5" xfId="0" applyFill="1" applyBorder="1" applyAlignment="1" applyProtection="1">
      <alignment horizontal="left"/>
      <protection hidden="1"/>
    </xf>
    <xf numFmtId="0" fontId="0" fillId="3" borderId="6" xfId="0" applyFill="1" applyBorder="1" applyAlignment="1" applyProtection="1">
      <alignment horizontal="left"/>
      <protection hidden="1"/>
    </xf>
    <xf numFmtId="0" fontId="0" fillId="3" borderId="7" xfId="0" applyFill="1" applyBorder="1" applyAlignment="1" applyProtection="1">
      <alignment horizontal="left"/>
      <protection hidden="1"/>
    </xf>
    <xf numFmtId="165" fontId="0" fillId="3" borderId="7" xfId="0" applyNumberFormat="1" applyFill="1" applyBorder="1" applyAlignment="1" applyProtection="1">
      <protection hidden="1"/>
    </xf>
    <xf numFmtId="0" fontId="2" fillId="3" borderId="0" xfId="13" applyFill="1" applyProtection="1">
      <protection hidden="1"/>
    </xf>
    <xf numFmtId="3" fontId="3" fillId="3" borderId="0" xfId="9" applyNumberFormat="1" applyFill="1" applyAlignment="1" applyProtection="1">
      <protection hidden="1"/>
    </xf>
    <xf numFmtId="0" fontId="2" fillId="3" borderId="0" xfId="13" applyFill="1"/>
    <xf numFmtId="3" fontId="2" fillId="3" borderId="0" xfId="13" applyNumberFormat="1" applyFont="1" applyFill="1" applyProtection="1">
      <protection hidden="1"/>
    </xf>
    <xf numFmtId="167" fontId="2" fillId="3" borderId="0" xfId="13" applyNumberFormat="1" applyFont="1" applyFill="1" applyProtection="1">
      <protection hidden="1"/>
    </xf>
    <xf numFmtId="165" fontId="2" fillId="3" borderId="0" xfId="13" applyNumberFormat="1" applyFill="1" applyBorder="1" applyAlignment="1" applyProtection="1">
      <protection hidden="1"/>
    </xf>
    <xf numFmtId="0" fontId="2" fillId="3" borderId="0" xfId="13" applyFill="1" applyBorder="1" applyProtection="1">
      <protection hidden="1"/>
    </xf>
    <xf numFmtId="0" fontId="2" fillId="3" borderId="0" xfId="13" applyFill="1" applyBorder="1" applyAlignment="1" applyProtection="1">
      <alignment horizontal="left"/>
      <protection hidden="1"/>
    </xf>
    <xf numFmtId="165" fontId="2" fillId="3" borderId="0" xfId="13" applyNumberFormat="1" applyFill="1" applyBorder="1" applyAlignment="1" applyProtection="1">
      <alignment horizontal="left"/>
      <protection hidden="1"/>
    </xf>
    <xf numFmtId="167" fontId="2" fillId="3" borderId="0" xfId="13" applyNumberFormat="1" applyFill="1" applyBorder="1" applyAlignment="1" applyProtection="1">
      <alignment horizontal="left"/>
      <protection hidden="1"/>
    </xf>
    <xf numFmtId="165" fontId="1" fillId="3" borderId="0" xfId="13" applyNumberFormat="1" applyFont="1" applyFill="1" applyBorder="1" applyAlignment="1" applyProtection="1">
      <protection hidden="1"/>
    </xf>
    <xf numFmtId="167" fontId="1" fillId="3" borderId="0" xfId="13" applyNumberFormat="1" applyFont="1" applyFill="1" applyBorder="1" applyProtection="1">
      <protection hidden="1"/>
    </xf>
    <xf numFmtId="164" fontId="2" fillId="3" borderId="0" xfId="13" applyNumberFormat="1" applyFill="1" applyBorder="1" applyAlignment="1" applyProtection="1">
      <protection hidden="1"/>
    </xf>
    <xf numFmtId="1" fontId="2" fillId="3" borderId="0" xfId="13" applyNumberFormat="1" applyFill="1" applyBorder="1" applyAlignment="1" applyProtection="1">
      <alignment horizontal="right"/>
      <protection hidden="1"/>
    </xf>
    <xf numFmtId="164" fontId="2" fillId="3" borderId="0" xfId="13" applyNumberFormat="1" applyFill="1" applyBorder="1" applyAlignment="1" applyProtection="1">
      <alignment horizontal="right"/>
      <protection hidden="1"/>
    </xf>
    <xf numFmtId="3" fontId="2" fillId="3" borderId="0" xfId="0" applyNumberFormat="1" applyFont="1" applyFill="1" applyProtection="1">
      <protection hidden="1"/>
    </xf>
    <xf numFmtId="0" fontId="3" fillId="3" borderId="0" xfId="9" applyFill="1" applyAlignment="1" applyProtection="1">
      <protection hidden="1"/>
    </xf>
    <xf numFmtId="0" fontId="16" fillId="4" borderId="0" xfId="13" applyFont="1" applyFill="1" applyBorder="1" applyAlignment="1" applyProtection="1">
      <alignment horizontal="left"/>
      <protection hidden="1"/>
    </xf>
    <xf numFmtId="0" fontId="16" fillId="4" borderId="0" xfId="13" applyFont="1" applyFill="1" applyBorder="1" applyAlignment="1" applyProtection="1">
      <alignment horizontal="right"/>
      <protection hidden="1"/>
    </xf>
    <xf numFmtId="0" fontId="2" fillId="3" borderId="0" xfId="13" applyFill="1" applyBorder="1" applyAlignment="1" applyProtection="1">
      <protection hidden="1"/>
    </xf>
    <xf numFmtId="167" fontId="2" fillId="3" borderId="0" xfId="13" applyNumberFormat="1" applyFill="1" applyBorder="1" applyProtection="1">
      <protection hidden="1"/>
    </xf>
    <xf numFmtId="165" fontId="2" fillId="3" borderId="0" xfId="13" applyNumberFormat="1" applyFill="1" applyBorder="1" applyProtection="1">
      <protection hidden="1"/>
    </xf>
    <xf numFmtId="0" fontId="6" fillId="5" borderId="0" xfId="13" applyFont="1" applyFill="1" applyBorder="1" applyAlignment="1" applyProtection="1">
      <alignment horizontal="left"/>
      <protection hidden="1"/>
    </xf>
    <xf numFmtId="180" fontId="7" fillId="5" borderId="0" xfId="13" applyNumberFormat="1" applyFont="1" applyFill="1" applyBorder="1" applyProtection="1">
      <protection hidden="1"/>
    </xf>
    <xf numFmtId="170" fontId="7" fillId="5" borderId="0" xfId="13" applyNumberFormat="1" applyFont="1" applyFill="1" applyBorder="1" applyProtection="1">
      <protection hidden="1"/>
    </xf>
    <xf numFmtId="0" fontId="7" fillId="5" borderId="0" xfId="13" applyFont="1" applyFill="1" applyBorder="1" applyProtection="1">
      <protection hidden="1"/>
    </xf>
    <xf numFmtId="168" fontId="7" fillId="5" borderId="0" xfId="13" applyNumberFormat="1" applyFont="1" applyFill="1" applyBorder="1" applyProtection="1">
      <protection hidden="1"/>
    </xf>
    <xf numFmtId="171" fontId="7" fillId="5" borderId="0" xfId="13" applyNumberFormat="1" applyFont="1" applyFill="1" applyBorder="1" applyProtection="1">
      <protection hidden="1"/>
    </xf>
    <xf numFmtId="181" fontId="7" fillId="5" borderId="0" xfId="13" applyNumberFormat="1" applyFont="1" applyFill="1" applyBorder="1" applyProtection="1">
      <protection hidden="1"/>
    </xf>
    <xf numFmtId="170" fontId="6" fillId="5" borderId="0" xfId="13" applyNumberFormat="1" applyFont="1" applyFill="1" applyBorder="1" applyAlignment="1" applyProtection="1">
      <alignment horizontal="center"/>
      <protection hidden="1"/>
    </xf>
    <xf numFmtId="168" fontId="6" fillId="5" borderId="0" xfId="13" applyNumberFormat="1" applyFont="1" applyFill="1" applyBorder="1" applyProtection="1">
      <protection hidden="1"/>
    </xf>
    <xf numFmtId="0" fontId="4" fillId="3" borderId="0" xfId="0" applyFont="1" applyFill="1" applyProtection="1">
      <protection hidden="1"/>
    </xf>
    <xf numFmtId="169" fontId="0" fillId="3" borderId="0" xfId="0" applyNumberFormat="1" applyFill="1" applyBorder="1" applyAlignment="1" applyProtection="1">
      <alignment horizontal="right"/>
      <protection hidden="1"/>
    </xf>
    <xf numFmtId="0" fontId="5" fillId="3" borderId="0" xfId="0" applyFont="1" applyFill="1" applyProtection="1">
      <protection hidden="1"/>
    </xf>
    <xf numFmtId="3" fontId="2" fillId="3" borderId="0" xfId="0" quotePrefix="1" applyNumberFormat="1" applyFont="1" applyFill="1" applyAlignment="1" applyProtection="1">
      <alignment horizontal="left"/>
      <protection hidden="1"/>
    </xf>
    <xf numFmtId="3" fontId="2" fillId="3" borderId="8" xfId="0" applyNumberFormat="1" applyFont="1" applyFill="1" applyBorder="1" applyProtection="1">
      <protection hidden="1"/>
    </xf>
    <xf numFmtId="170" fontId="6" fillId="3" borderId="9" xfId="0" applyNumberFormat="1" applyFont="1" applyFill="1" applyBorder="1" applyAlignment="1" applyProtection="1">
      <alignment horizontal="center"/>
      <protection hidden="1"/>
    </xf>
    <xf numFmtId="0" fontId="6" fillId="3" borderId="9" xfId="0" applyFont="1" applyFill="1" applyBorder="1" applyAlignment="1" applyProtection="1">
      <alignment horizontal="center"/>
      <protection hidden="1"/>
    </xf>
    <xf numFmtId="0" fontId="6" fillId="3" borderId="10" xfId="0" applyFont="1" applyFill="1" applyBorder="1" applyAlignment="1" applyProtection="1">
      <alignment horizontal="center"/>
      <protection hidden="1"/>
    </xf>
    <xf numFmtId="168" fontId="7" fillId="3" borderId="9" xfId="0" applyNumberFormat="1" applyFont="1" applyFill="1" applyBorder="1" applyProtection="1">
      <protection hidden="1"/>
    </xf>
    <xf numFmtId="170" fontId="7" fillId="3" borderId="9" xfId="0" applyNumberFormat="1" applyFont="1" applyFill="1" applyBorder="1" applyProtection="1">
      <protection hidden="1"/>
    </xf>
    <xf numFmtId="171" fontId="7" fillId="3" borderId="9" xfId="0" applyNumberFormat="1" applyFont="1" applyFill="1" applyBorder="1" applyProtection="1">
      <protection hidden="1"/>
    </xf>
    <xf numFmtId="171" fontId="7" fillId="3" borderId="10" xfId="0" applyNumberFormat="1" applyFont="1" applyFill="1" applyBorder="1" applyProtection="1">
      <protection hidden="1"/>
    </xf>
    <xf numFmtId="0" fontId="7" fillId="3" borderId="11" xfId="0" applyFont="1" applyFill="1" applyBorder="1" applyProtection="1">
      <protection hidden="1"/>
    </xf>
    <xf numFmtId="0" fontId="7" fillId="3" borderId="0" xfId="0" applyFont="1" applyFill="1" applyBorder="1" applyProtection="1">
      <protection hidden="1"/>
    </xf>
    <xf numFmtId="0" fontId="8" fillId="3" borderId="12" xfId="0" applyFont="1" applyFill="1" applyBorder="1" applyProtection="1">
      <protection hidden="1"/>
    </xf>
    <xf numFmtId="0" fontId="7" fillId="3" borderId="0" xfId="0" applyFont="1" applyFill="1" applyProtection="1">
      <protection hidden="1"/>
    </xf>
    <xf numFmtId="170" fontId="6" fillId="3" borderId="0" xfId="0" applyNumberFormat="1" applyFont="1" applyFill="1" applyBorder="1" applyAlignment="1" applyProtection="1">
      <alignment horizontal="center"/>
      <protection hidden="1"/>
    </xf>
    <xf numFmtId="0" fontId="7" fillId="3" borderId="12" xfId="0" applyFont="1" applyFill="1" applyBorder="1" applyProtection="1">
      <protection hidden="1"/>
    </xf>
    <xf numFmtId="168" fontId="6" fillId="3" borderId="9" xfId="0" applyNumberFormat="1" applyFont="1" applyFill="1" applyBorder="1" applyProtection="1">
      <protection hidden="1"/>
    </xf>
    <xf numFmtId="3" fontId="2" fillId="3" borderId="0" xfId="13" applyNumberFormat="1" applyFont="1" applyFill="1"/>
    <xf numFmtId="0" fontId="6" fillId="3" borderId="9" xfId="13" applyFont="1" applyFill="1" applyBorder="1" applyAlignment="1" applyProtection="1">
      <alignment horizontal="left"/>
      <protection hidden="1"/>
    </xf>
    <xf numFmtId="180" fontId="7" fillId="3" borderId="9" xfId="13" applyNumberFormat="1" applyFont="1" applyFill="1" applyBorder="1" applyProtection="1">
      <protection hidden="1"/>
    </xf>
    <xf numFmtId="170" fontId="7" fillId="3" borderId="0" xfId="13" applyNumberFormat="1" applyFont="1" applyFill="1" applyProtection="1">
      <protection hidden="1"/>
    </xf>
    <xf numFmtId="0" fontId="7" fillId="3" borderId="0" xfId="13" applyFont="1" applyFill="1" applyProtection="1">
      <protection hidden="1"/>
    </xf>
    <xf numFmtId="170" fontId="6" fillId="3" borderId="9" xfId="13" applyNumberFormat="1" applyFont="1" applyFill="1" applyBorder="1" applyAlignment="1" applyProtection="1">
      <alignment horizontal="center"/>
      <protection hidden="1"/>
    </xf>
    <xf numFmtId="0" fontId="6" fillId="3" borderId="9" xfId="13" applyFont="1" applyFill="1" applyBorder="1" applyAlignment="1" applyProtection="1">
      <alignment horizontal="center"/>
      <protection hidden="1"/>
    </xf>
    <xf numFmtId="171" fontId="7" fillId="3" borderId="9" xfId="13" applyNumberFormat="1" applyFont="1" applyFill="1" applyBorder="1" applyProtection="1">
      <protection hidden="1"/>
    </xf>
    <xf numFmtId="181" fontId="7" fillId="3" borderId="9" xfId="13" applyNumberFormat="1" applyFont="1" applyFill="1" applyBorder="1" applyProtection="1">
      <protection hidden="1"/>
    </xf>
    <xf numFmtId="170" fontId="6" fillId="3" borderId="0" xfId="13" applyNumberFormat="1" applyFont="1" applyFill="1" applyBorder="1" applyAlignment="1" applyProtection="1">
      <alignment horizontal="center"/>
      <protection hidden="1"/>
    </xf>
    <xf numFmtId="180" fontId="6" fillId="3" borderId="9" xfId="13" applyNumberFormat="1" applyFont="1" applyFill="1" applyBorder="1" applyProtection="1">
      <protection hidden="1"/>
    </xf>
    <xf numFmtId="182" fontId="2" fillId="3" borderId="0" xfId="13" applyNumberFormat="1" applyFill="1" applyProtection="1">
      <protection hidden="1"/>
    </xf>
    <xf numFmtId="0" fontId="1" fillId="3" borderId="0" xfId="13" quotePrefix="1" applyFont="1" applyFill="1" applyBorder="1" applyAlignment="1" applyProtection="1">
      <alignment horizontal="left"/>
      <protection hidden="1"/>
    </xf>
    <xf numFmtId="164" fontId="2" fillId="3" borderId="0" xfId="13" applyNumberFormat="1" applyFill="1" applyBorder="1" applyProtection="1">
      <protection hidden="1"/>
    </xf>
    <xf numFmtId="164" fontId="2" fillId="3" borderId="0" xfId="13" applyNumberFormat="1" applyFont="1" applyFill="1" applyBorder="1" applyProtection="1">
      <protection hidden="1"/>
    </xf>
    <xf numFmtId="0" fontId="14" fillId="3" borderId="0" xfId="13" applyFont="1" applyFill="1" applyBorder="1" applyAlignment="1" applyProtection="1">
      <alignment horizontal="left"/>
      <protection hidden="1"/>
    </xf>
    <xf numFmtId="165" fontId="2" fillId="3" borderId="0" xfId="0" applyNumberFormat="1" applyFont="1" applyFill="1" applyBorder="1" applyAlignment="1" applyProtection="1">
      <alignment horizontal="left"/>
      <protection hidden="1"/>
    </xf>
    <xf numFmtId="0" fontId="17" fillId="6" borderId="13" xfId="0" applyFont="1" applyFill="1" applyBorder="1" applyAlignment="1" applyProtection="1">
      <alignment horizontal="left"/>
      <protection hidden="1"/>
    </xf>
    <xf numFmtId="0" fontId="18" fillId="6" borderId="13" xfId="0" applyFont="1" applyFill="1" applyBorder="1" applyAlignment="1" applyProtection="1">
      <alignment horizontal="left"/>
      <protection hidden="1"/>
    </xf>
    <xf numFmtId="0" fontId="19" fillId="6" borderId="13" xfId="0" applyNumberFormat="1" applyFont="1" applyFill="1" applyBorder="1" applyAlignment="1" applyProtection="1">
      <protection hidden="1"/>
    </xf>
    <xf numFmtId="165" fontId="19" fillId="6" borderId="13" xfId="0" applyNumberFormat="1" applyFont="1" applyFill="1" applyBorder="1" applyAlignment="1" applyProtection="1">
      <protection hidden="1"/>
    </xf>
    <xf numFmtId="0" fontId="19" fillId="6" borderId="0" xfId="0" applyFont="1" applyFill="1" applyProtection="1">
      <protection hidden="1"/>
    </xf>
    <xf numFmtId="0" fontId="17" fillId="6" borderId="0" xfId="13" applyFont="1" applyFill="1" applyProtection="1">
      <protection hidden="1"/>
    </xf>
    <xf numFmtId="0" fontId="19" fillId="6" borderId="0" xfId="13" applyFont="1" applyFill="1" applyProtection="1">
      <protection hidden="1"/>
    </xf>
    <xf numFmtId="0" fontId="0" fillId="7" borderId="0" xfId="0" applyFill="1" applyBorder="1" applyAlignment="1" applyProtection="1">
      <alignment horizontal="left"/>
      <protection hidden="1"/>
    </xf>
    <xf numFmtId="0" fontId="0" fillId="2" borderId="0" xfId="0" applyFill="1" applyAlignment="1" applyProtection="1">
      <alignment horizontal="center"/>
      <protection locked="0" hidden="1"/>
    </xf>
    <xf numFmtId="0" fontId="2" fillId="2" borderId="0" xfId="13" applyFont="1" applyFill="1" applyBorder="1" applyAlignment="1" applyProtection="1">
      <alignment horizontal="center"/>
      <protection locked="0" hidden="1"/>
    </xf>
    <xf numFmtId="0" fontId="1" fillId="8" borderId="2" xfId="0" applyFont="1" applyFill="1" applyBorder="1" applyAlignment="1" applyProtection="1">
      <alignment horizontal="left"/>
      <protection hidden="1"/>
    </xf>
    <xf numFmtId="0" fontId="1" fillId="9" borderId="2" xfId="0" applyFont="1" applyFill="1" applyBorder="1" applyAlignment="1" applyProtection="1">
      <alignment horizontal="left"/>
      <protection hidden="1"/>
    </xf>
    <xf numFmtId="0" fontId="2" fillId="3" borderId="0" xfId="13" applyFont="1" applyFill="1" applyBorder="1" applyAlignment="1" applyProtection="1">
      <alignment horizontal="right"/>
      <protection hidden="1"/>
    </xf>
    <xf numFmtId="0" fontId="2" fillId="3" borderId="0" xfId="13" applyFill="1" applyBorder="1" applyAlignment="1" applyProtection="1">
      <alignment horizontal="right"/>
      <protection hidden="1"/>
    </xf>
    <xf numFmtId="165" fontId="2" fillId="3" borderId="0" xfId="13" applyNumberFormat="1" applyFill="1" applyBorder="1" applyAlignment="1" applyProtection="1">
      <alignment horizontal="right"/>
      <protection hidden="1"/>
    </xf>
    <xf numFmtId="165" fontId="2" fillId="3" borderId="0" xfId="13" applyNumberFormat="1" applyFont="1" applyFill="1" applyBorder="1" applyAlignment="1" applyProtection="1">
      <alignment horizontal="right"/>
      <protection hidden="1"/>
    </xf>
    <xf numFmtId="165" fontId="1" fillId="3" borderId="0" xfId="13" applyNumberFormat="1" applyFont="1" applyFill="1" applyBorder="1" applyAlignment="1" applyProtection="1">
      <alignment horizontal="right"/>
      <protection hidden="1"/>
    </xf>
    <xf numFmtId="0" fontId="1" fillId="3" borderId="0" xfId="13" applyFont="1" applyFill="1" applyBorder="1" applyAlignment="1" applyProtection="1">
      <alignment horizontal="right"/>
      <protection hidden="1"/>
    </xf>
    <xf numFmtId="164" fontId="2" fillId="10" borderId="0" xfId="13" applyNumberFormat="1" applyFill="1" applyBorder="1" applyAlignment="1" applyProtection="1">
      <protection hidden="1"/>
    </xf>
    <xf numFmtId="1" fontId="2" fillId="2" borderId="0" xfId="13" applyNumberFormat="1" applyFill="1" applyBorder="1" applyAlignment="1" applyProtection="1">
      <alignment horizontal="center"/>
      <protection locked="0" hidden="1"/>
    </xf>
    <xf numFmtId="164" fontId="1" fillId="8" borderId="2" xfId="13" applyNumberFormat="1" applyFont="1" applyFill="1" applyBorder="1" applyProtection="1">
      <protection hidden="1"/>
    </xf>
    <xf numFmtId="166" fontId="1" fillId="2" borderId="0" xfId="0" applyNumberFormat="1" applyFont="1" applyFill="1" applyBorder="1" applyAlignment="1" applyProtection="1">
      <alignment horizontal="left"/>
      <protection locked="0"/>
    </xf>
    <xf numFmtId="0" fontId="0" fillId="7" borderId="0" xfId="0" applyFill="1" applyBorder="1" applyAlignment="1" applyProtection="1">
      <alignment horizontal="left"/>
      <protection locked="0"/>
    </xf>
    <xf numFmtId="164" fontId="0" fillId="2" borderId="0" xfId="0" applyNumberFormat="1" applyFill="1" applyBorder="1" applyAlignment="1" applyProtection="1">
      <alignment horizontal="right"/>
      <protection locked="0" hidden="1"/>
    </xf>
    <xf numFmtId="164" fontId="0" fillId="10" borderId="0" xfId="0" applyNumberFormat="1" applyFill="1" applyBorder="1" applyAlignment="1" applyProtection="1">
      <alignment horizontal="right"/>
      <protection hidden="1"/>
    </xf>
    <xf numFmtId="164" fontId="2" fillId="11" borderId="0" xfId="0" applyNumberFormat="1" applyFont="1" applyFill="1" applyBorder="1" applyAlignment="1" applyProtection="1">
      <alignment horizontal="right"/>
      <protection locked="0" hidden="1"/>
    </xf>
    <xf numFmtId="164" fontId="0" fillId="3" borderId="0" xfId="0" applyNumberFormat="1" applyFill="1" applyBorder="1" applyAlignment="1" applyProtection="1">
      <alignment horizontal="right"/>
      <protection hidden="1"/>
    </xf>
    <xf numFmtId="164" fontId="0" fillId="12" borderId="0" xfId="0" applyNumberFormat="1" applyFill="1" applyBorder="1" applyAlignment="1" applyProtection="1">
      <alignment horizontal="right"/>
      <protection locked="0" hidden="1"/>
    </xf>
    <xf numFmtId="183" fontId="0" fillId="9" borderId="0" xfId="0" applyNumberFormat="1" applyFill="1" applyBorder="1" applyAlignment="1" applyProtection="1">
      <alignment horizontal="right"/>
      <protection locked="0" hidden="1"/>
    </xf>
    <xf numFmtId="183" fontId="0" fillId="3" borderId="0" xfId="0" applyNumberFormat="1" applyFill="1" applyBorder="1" applyAlignment="1" applyProtection="1">
      <alignment horizontal="right"/>
      <protection hidden="1"/>
    </xf>
    <xf numFmtId="183" fontId="0" fillId="2" borderId="0" xfId="0" applyNumberFormat="1" applyFill="1" applyBorder="1" applyAlignment="1" applyProtection="1">
      <alignment horizontal="right"/>
      <protection locked="0" hidden="1"/>
    </xf>
    <xf numFmtId="183" fontId="0" fillId="2" borderId="0" xfId="0" applyNumberFormat="1" applyFill="1" applyBorder="1" applyAlignment="1" applyProtection="1">
      <alignment horizontal="right"/>
      <protection hidden="1"/>
    </xf>
    <xf numFmtId="183" fontId="0" fillId="13" borderId="3" xfId="0" applyNumberFormat="1" applyFill="1" applyBorder="1" applyAlignment="1" applyProtection="1">
      <alignment horizontal="right"/>
      <protection hidden="1"/>
    </xf>
    <xf numFmtId="183" fontId="0" fillId="9" borderId="3" xfId="0" applyNumberFormat="1" applyFill="1" applyBorder="1" applyAlignment="1" applyProtection="1">
      <alignment horizontal="right"/>
      <protection hidden="1"/>
    </xf>
    <xf numFmtId="183" fontId="2" fillId="3" borderId="0" xfId="0" applyNumberFormat="1" applyFont="1" applyFill="1" applyBorder="1" applyAlignment="1" applyProtection="1">
      <alignment horizontal="right"/>
      <protection hidden="1"/>
    </xf>
    <xf numFmtId="183" fontId="0" fillId="3" borderId="14" xfId="0" applyNumberFormat="1" applyFill="1" applyBorder="1" applyAlignment="1" applyProtection="1">
      <alignment horizontal="right"/>
      <protection hidden="1"/>
    </xf>
    <xf numFmtId="183" fontId="0" fillId="3" borderId="0" xfId="0" applyNumberFormat="1" applyFill="1" applyAlignment="1" applyProtection="1">
      <alignment horizontal="right"/>
      <protection hidden="1"/>
    </xf>
    <xf numFmtId="183" fontId="3" fillId="3" borderId="0" xfId="9" applyNumberFormat="1" applyFill="1" applyAlignment="1" applyProtection="1">
      <alignment horizontal="right"/>
      <protection hidden="1"/>
    </xf>
    <xf numFmtId="183" fontId="2" fillId="3" borderId="0" xfId="13" applyNumberFormat="1" applyFont="1" applyFill="1" applyAlignment="1" applyProtection="1">
      <alignment horizontal="right"/>
      <protection hidden="1"/>
    </xf>
    <xf numFmtId="183" fontId="2" fillId="2" borderId="0" xfId="13" applyNumberFormat="1" applyFill="1" applyBorder="1" applyAlignment="1" applyProtection="1">
      <alignment horizontal="right"/>
      <protection locked="0" hidden="1"/>
    </xf>
    <xf numFmtId="183" fontId="2" fillId="10" borderId="0" xfId="13" applyNumberFormat="1" applyFill="1" applyBorder="1" applyAlignment="1" applyProtection="1">
      <alignment horizontal="right"/>
      <protection hidden="1"/>
    </xf>
    <xf numFmtId="183" fontId="2" fillId="3" borderId="0" xfId="13" applyNumberFormat="1" applyFill="1" applyBorder="1" applyAlignment="1" applyProtection="1">
      <alignment horizontal="right"/>
      <protection hidden="1"/>
    </xf>
    <xf numFmtId="183" fontId="2" fillId="7" borderId="0" xfId="13" applyNumberFormat="1" applyFill="1" applyBorder="1" applyAlignment="1" applyProtection="1">
      <alignment horizontal="right"/>
      <protection locked="0" hidden="1"/>
    </xf>
    <xf numFmtId="183" fontId="2" fillId="14" borderId="0" xfId="13" applyNumberFormat="1" applyFill="1" applyBorder="1" applyAlignment="1" applyProtection="1">
      <alignment horizontal="right"/>
      <protection hidden="1"/>
    </xf>
    <xf numFmtId="183" fontId="2" fillId="2" borderId="0" xfId="13" applyNumberFormat="1" applyFont="1" applyFill="1" applyBorder="1" applyAlignment="1" applyProtection="1">
      <alignment horizontal="right"/>
      <protection locked="0" hidden="1"/>
    </xf>
    <xf numFmtId="183" fontId="2" fillId="3" borderId="0" xfId="13" applyNumberFormat="1" applyFont="1" applyFill="1" applyBorder="1" applyAlignment="1" applyProtection="1">
      <alignment horizontal="right"/>
      <protection hidden="1"/>
    </xf>
    <xf numFmtId="183" fontId="0" fillId="3" borderId="3" xfId="0" applyNumberFormat="1" applyFill="1" applyBorder="1" applyAlignment="1" applyProtection="1">
      <alignment horizontal="right"/>
      <protection hidden="1"/>
    </xf>
    <xf numFmtId="183" fontId="1" fillId="8" borderId="2" xfId="0" applyNumberFormat="1" applyFont="1" applyFill="1" applyBorder="1" applyAlignment="1" applyProtection="1">
      <alignment horizontal="right"/>
      <protection hidden="1"/>
    </xf>
    <xf numFmtId="183" fontId="1" fillId="9" borderId="2" xfId="0" applyNumberFormat="1" applyFont="1" applyFill="1" applyBorder="1" applyAlignment="1" applyProtection="1">
      <alignment horizontal="right"/>
      <protection hidden="1"/>
    </xf>
    <xf numFmtId="183" fontId="2" fillId="3" borderId="0" xfId="13" applyNumberFormat="1" applyFill="1" applyAlignment="1" applyProtection="1">
      <alignment horizontal="right"/>
      <protection hidden="1"/>
    </xf>
    <xf numFmtId="183" fontId="1" fillId="8" borderId="2" xfId="13" applyNumberFormat="1" applyFont="1" applyFill="1" applyBorder="1" applyAlignment="1" applyProtection="1">
      <alignment horizontal="right"/>
      <protection hidden="1"/>
    </xf>
  </cellXfs>
  <cellStyles count="17">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3" xfId="13"/>
    <cellStyle name="Standaard 4" xfId="14"/>
    <cellStyle name="Totaal" xfId="16" builtinId="25" hidden="1"/>
    <cellStyle name="Total" xf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hyperlink" Target="VKBPWHVAK.xlsx" TargetMode="External"/><Relationship Id="rId7" Type="http://schemas.openxmlformats.org/officeDocument/2006/relationships/printerSettings" Target="../printerSettings/printerSettings1.bin"/><Relationship Id="rId2" Type="http://schemas.openxmlformats.org/officeDocument/2006/relationships/hyperlink" Target="VKBPWHVAV.xlsx" TargetMode="External"/><Relationship Id="rId1" Type="http://schemas.openxmlformats.org/officeDocument/2006/relationships/hyperlink" Target="http://www.huisvesting.irisnet.be/nl/premies-en-steunmaatregelen/zoek-uw-perimeter?set_language=nl" TargetMode="External"/><Relationship Id="rId6" Type="http://schemas.openxmlformats.org/officeDocument/2006/relationships/hyperlink" Target="Boekje.xlsx" TargetMode="External"/><Relationship Id="rId5" Type="http://schemas.openxmlformats.org/officeDocument/2006/relationships/hyperlink" Target="VKBPWHVDV.xlsx" TargetMode="External"/><Relationship Id="rId4" Type="http://schemas.openxmlformats.org/officeDocument/2006/relationships/hyperlink" Target="VKBPWHVDAC.xlsx" TargetMode="External"/><Relationship Id="rId9"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265"/>
  <sheetViews>
    <sheetView tabSelected="1" zoomScaleNormal="100" workbookViewId="0">
      <selection activeCell="B3" sqref="B3"/>
    </sheetView>
  </sheetViews>
  <sheetFormatPr defaultRowHeight="12.75" x14ac:dyDescent="0.2"/>
  <cols>
    <col min="1" max="1" width="34.5703125" style="4" customWidth="1"/>
    <col min="2" max="2" width="16" style="4" customWidth="1"/>
    <col min="3" max="3" width="19.5703125" style="4" bestFit="1" customWidth="1"/>
    <col min="4" max="4" width="16.28515625" style="4" customWidth="1"/>
    <col min="5" max="5" width="16.7109375" style="4" customWidth="1"/>
    <col min="6" max="6" width="12.28515625" style="4" customWidth="1"/>
    <col min="7" max="7" width="15.85546875" style="4" bestFit="1" customWidth="1"/>
    <col min="8" max="16" width="9.140625" style="4"/>
    <col min="17" max="17" width="12.140625" style="4" bestFit="1" customWidth="1"/>
    <col min="18" max="16384" width="9.140625" style="4"/>
  </cols>
  <sheetData>
    <row r="1" spans="1:9" ht="23.25" customHeight="1" thickTop="1" x14ac:dyDescent="0.3">
      <c r="A1" s="98" t="s">
        <v>124</v>
      </c>
      <c r="B1" s="99"/>
      <c r="C1" s="99"/>
      <c r="D1" s="99"/>
      <c r="E1" s="100"/>
      <c r="F1" s="101"/>
      <c r="G1" s="101"/>
      <c r="H1" s="102"/>
      <c r="I1" s="102"/>
    </row>
    <row r="2" spans="1:9" x14ac:dyDescent="0.2">
      <c r="A2" s="5"/>
      <c r="B2" s="5"/>
      <c r="C2" s="5"/>
      <c r="D2" s="5"/>
      <c r="E2" s="6"/>
      <c r="F2" s="7"/>
      <c r="G2" s="7"/>
    </row>
    <row r="3" spans="1:9" x14ac:dyDescent="0.2">
      <c r="A3" s="5" t="s">
        <v>0</v>
      </c>
      <c r="B3" s="119"/>
      <c r="C3" s="5"/>
      <c r="D3" s="5"/>
      <c r="E3" s="7"/>
      <c r="F3" s="7"/>
      <c r="G3" s="7"/>
    </row>
    <row r="4" spans="1:9" x14ac:dyDescent="0.2">
      <c r="A4" s="5" t="s">
        <v>1</v>
      </c>
      <c r="B4" s="120"/>
      <c r="C4" s="105"/>
      <c r="D4" s="5"/>
      <c r="E4" s="7"/>
      <c r="F4" s="7"/>
      <c r="G4" s="6"/>
    </row>
    <row r="5" spans="1:9" x14ac:dyDescent="0.2">
      <c r="A5" s="7" t="s">
        <v>2</v>
      </c>
      <c r="B5" s="121">
        <v>0</v>
      </c>
      <c r="F5" s="7"/>
    </row>
    <row r="6" spans="1:9" x14ac:dyDescent="0.2">
      <c r="A6" s="7" t="s">
        <v>3</v>
      </c>
      <c r="B6" s="121">
        <v>0</v>
      </c>
      <c r="C6" s="9"/>
      <c r="F6" s="7"/>
    </row>
    <row r="7" spans="1:9" x14ac:dyDescent="0.2">
      <c r="A7" s="97" t="s">
        <v>4</v>
      </c>
      <c r="B7" s="122">
        <f>B5+B6</f>
        <v>0</v>
      </c>
      <c r="C7" s="9"/>
      <c r="D7" s="7"/>
      <c r="E7" s="10"/>
      <c r="F7" s="7"/>
    </row>
    <row r="8" spans="1:9" x14ac:dyDescent="0.2">
      <c r="A8" s="9" t="s">
        <v>5</v>
      </c>
      <c r="B8" s="123">
        <v>0</v>
      </c>
      <c r="C8" s="9"/>
      <c r="F8" s="7"/>
    </row>
    <row r="9" spans="1:9" x14ac:dyDescent="0.2">
      <c r="A9" s="11" t="s">
        <v>6</v>
      </c>
      <c r="B9" s="9"/>
      <c r="C9" s="1" t="s">
        <v>7</v>
      </c>
      <c r="D9" s="12"/>
      <c r="E9" s="10"/>
      <c r="F9" s="7"/>
    </row>
    <row r="10" spans="1:9" x14ac:dyDescent="0.2">
      <c r="A10" s="11" t="s">
        <v>8</v>
      </c>
      <c r="B10" s="13" t="s">
        <v>9</v>
      </c>
      <c r="C10" s="106" t="s">
        <v>7</v>
      </c>
      <c r="F10" s="7"/>
      <c r="G10" s="10"/>
    </row>
    <row r="11" spans="1:9" x14ac:dyDescent="0.2">
      <c r="A11" s="14" t="s">
        <v>84</v>
      </c>
      <c r="B11" s="15"/>
      <c r="C11" s="107" t="s">
        <v>7</v>
      </c>
      <c r="F11" s="7"/>
      <c r="G11" s="10"/>
    </row>
    <row r="12" spans="1:9" ht="13.5" thickBot="1" x14ac:dyDescent="0.25">
      <c r="A12" s="16" t="s">
        <v>11</v>
      </c>
      <c r="B12" s="5"/>
      <c r="C12" s="5"/>
      <c r="D12" s="5"/>
      <c r="E12" s="7"/>
      <c r="F12" s="7"/>
      <c r="G12" s="7"/>
    </row>
    <row r="13" spans="1:9" ht="14.25" thickTop="1" thickBot="1" x14ac:dyDescent="0.25">
      <c r="A13" s="108" t="s">
        <v>12</v>
      </c>
      <c r="B13" s="5"/>
      <c r="C13" s="5"/>
      <c r="D13" s="5"/>
      <c r="E13" s="7"/>
      <c r="F13" s="7"/>
      <c r="G13" s="7"/>
    </row>
    <row r="14" spans="1:9" ht="14.25" thickTop="1" thickBot="1" x14ac:dyDescent="0.25">
      <c r="A14" s="5"/>
      <c r="B14" s="5"/>
      <c r="C14" s="5"/>
      <c r="D14" s="5"/>
      <c r="E14" s="7"/>
      <c r="F14" s="7"/>
      <c r="G14" s="7"/>
    </row>
    <row r="15" spans="1:9" ht="14.25" thickTop="1" thickBot="1" x14ac:dyDescent="0.25">
      <c r="A15" s="18" t="s">
        <v>13</v>
      </c>
      <c r="B15" s="5"/>
      <c r="C15" s="5"/>
      <c r="E15" s="144">
        <f>IF(AND(C11="ja",C9="ja"),F238-250,F238)</f>
        <v>0</v>
      </c>
    </row>
    <row r="16" spans="1:9" ht="13.5" thickTop="1" x14ac:dyDescent="0.2">
      <c r="A16" s="11" t="s">
        <v>14</v>
      </c>
      <c r="B16" s="9"/>
      <c r="C16" s="9"/>
      <c r="D16" s="124">
        <f>C191</f>
        <v>0</v>
      </c>
      <c r="E16" s="127"/>
      <c r="F16" s="12"/>
      <c r="G16" s="10"/>
    </row>
    <row r="17" spans="1:7" x14ac:dyDescent="0.2">
      <c r="A17" s="11" t="s">
        <v>15</v>
      </c>
      <c r="B17" s="9"/>
      <c r="C17" s="9"/>
      <c r="D17" s="124">
        <f>IF(C9="ja",-7500,0)</f>
        <v>0</v>
      </c>
      <c r="E17" s="127"/>
      <c r="F17" s="12"/>
      <c r="G17" s="10"/>
    </row>
    <row r="18" spans="1:7" x14ac:dyDescent="0.2">
      <c r="A18" s="11" t="s">
        <v>16</v>
      </c>
      <c r="B18" s="9"/>
      <c r="C18" s="9"/>
      <c r="D18" s="124">
        <f>IF(AND(C9="ja",C10="ja"),-1875,0)</f>
        <v>0</v>
      </c>
      <c r="E18" s="127"/>
      <c r="F18" s="12"/>
      <c r="G18" s="10"/>
    </row>
    <row r="19" spans="1:7" x14ac:dyDescent="0.2">
      <c r="A19" s="9" t="s">
        <v>17</v>
      </c>
      <c r="B19" s="9"/>
      <c r="C19" s="9"/>
      <c r="D19" s="121">
        <v>0</v>
      </c>
      <c r="E19" s="127"/>
      <c r="F19" s="7"/>
      <c r="G19" s="7"/>
    </row>
    <row r="20" spans="1:7" x14ac:dyDescent="0.2">
      <c r="A20" s="11" t="s">
        <v>18</v>
      </c>
      <c r="B20" s="1">
        <v>0</v>
      </c>
      <c r="C20" s="9"/>
      <c r="D20" s="124">
        <f>B20*30</f>
        <v>0</v>
      </c>
      <c r="E20" s="127"/>
      <c r="F20" s="7"/>
      <c r="G20" s="7"/>
    </row>
    <row r="21" spans="1:7" x14ac:dyDescent="0.2">
      <c r="A21" s="11" t="s">
        <v>19</v>
      </c>
      <c r="B21" s="9"/>
      <c r="C21" s="9"/>
      <c r="D21" s="121">
        <v>770</v>
      </c>
      <c r="E21" s="127"/>
      <c r="F21" s="7"/>
      <c r="G21" s="7"/>
    </row>
    <row r="22" spans="1:7" ht="13.5" thickBot="1" x14ac:dyDescent="0.25">
      <c r="A22" s="11" t="s">
        <v>20</v>
      </c>
      <c r="B22" s="9"/>
      <c r="C22" s="9"/>
      <c r="D22" s="125">
        <v>0</v>
      </c>
      <c r="E22" s="127"/>
      <c r="F22" s="7"/>
      <c r="G22" s="7"/>
    </row>
    <row r="23" spans="1:7" ht="14.25" thickTop="1" thickBot="1" x14ac:dyDescent="0.25">
      <c r="A23" s="20" t="s">
        <v>21</v>
      </c>
      <c r="B23" s="9"/>
      <c r="C23" s="9"/>
      <c r="E23" s="144">
        <f>SUM(D16:D22)</f>
        <v>770</v>
      </c>
      <c r="F23" s="7"/>
      <c r="G23" s="7"/>
    </row>
    <row r="24" spans="1:7" ht="14.25" thickTop="1" thickBot="1" x14ac:dyDescent="0.25">
      <c r="B24" s="9"/>
      <c r="C24" s="9"/>
      <c r="D24" s="21" t="s">
        <v>22</v>
      </c>
      <c r="E24" s="144">
        <f>(E15+D21)*21%</f>
        <v>161.69999999999999</v>
      </c>
      <c r="F24" s="7"/>
      <c r="G24" s="7"/>
    </row>
    <row r="25" spans="1:7" ht="14.25" thickTop="1" thickBot="1" x14ac:dyDescent="0.25">
      <c r="A25" s="22"/>
      <c r="B25" s="9"/>
      <c r="C25" s="9"/>
      <c r="D25" s="23"/>
      <c r="E25" s="127"/>
      <c r="F25" s="7"/>
      <c r="G25" s="7"/>
    </row>
    <row r="26" spans="1:7" ht="14.25" thickTop="1" thickBot="1" x14ac:dyDescent="0.25">
      <c r="A26" s="20" t="s">
        <v>23</v>
      </c>
      <c r="B26" s="9"/>
      <c r="C26" s="9"/>
      <c r="D26" s="24"/>
      <c r="E26" s="130">
        <f>SUM(E15:E24)</f>
        <v>931.7</v>
      </c>
      <c r="F26" s="7"/>
      <c r="G26" s="7"/>
    </row>
    <row r="27" spans="1:7" ht="14.25" thickTop="1" thickBot="1" x14ac:dyDescent="0.25">
      <c r="A27" s="11"/>
      <c r="B27" s="9"/>
      <c r="C27" s="9"/>
      <c r="D27" s="24"/>
      <c r="E27" s="25"/>
      <c r="F27" s="7"/>
      <c r="G27" s="7"/>
    </row>
    <row r="28" spans="1:7" ht="14.25" thickTop="1" thickBot="1" x14ac:dyDescent="0.25">
      <c r="A28" s="109" t="s">
        <v>24</v>
      </c>
      <c r="B28" s="9"/>
      <c r="C28" s="9"/>
      <c r="D28" s="19"/>
      <c r="E28" s="7"/>
      <c r="F28" s="7"/>
      <c r="G28" s="7"/>
    </row>
    <row r="29" spans="1:7" ht="13.5" thickTop="1" x14ac:dyDescent="0.2">
      <c r="E29" s="7"/>
      <c r="F29" s="7"/>
      <c r="G29" s="7"/>
    </row>
    <row r="30" spans="1:7" x14ac:dyDescent="0.2">
      <c r="A30" s="11" t="s">
        <v>25</v>
      </c>
      <c r="B30" s="9"/>
      <c r="C30" s="9"/>
      <c r="D30" s="126">
        <v>0</v>
      </c>
      <c r="E30" s="7"/>
      <c r="F30" s="7"/>
      <c r="G30" s="7"/>
    </row>
    <row r="31" spans="1:7" ht="13.5" thickBot="1" x14ac:dyDescent="0.25">
      <c r="A31" s="11"/>
      <c r="B31" s="9"/>
      <c r="C31" s="9"/>
      <c r="D31" s="127"/>
      <c r="E31" s="7"/>
      <c r="F31" s="7"/>
      <c r="G31" s="7"/>
    </row>
    <row r="32" spans="1:7" ht="14.25" thickTop="1" thickBot="1" x14ac:dyDescent="0.25">
      <c r="A32" s="26" t="s">
        <v>26</v>
      </c>
      <c r="B32" s="27"/>
      <c r="C32" s="28"/>
      <c r="D32" s="127"/>
      <c r="E32" s="7"/>
      <c r="F32" s="7"/>
      <c r="G32" s="7"/>
    </row>
    <row r="33" spans="1:7" ht="13.5" thickTop="1" x14ac:dyDescent="0.2">
      <c r="A33" s="11"/>
      <c r="B33" s="9"/>
      <c r="C33" s="9"/>
      <c r="D33" s="127"/>
      <c r="E33" s="7"/>
      <c r="F33" s="7"/>
      <c r="G33" s="7"/>
    </row>
    <row r="34" spans="1:7" x14ac:dyDescent="0.2">
      <c r="A34" s="11" t="s">
        <v>27</v>
      </c>
      <c r="B34" s="9"/>
      <c r="C34" s="8" t="s">
        <v>59</v>
      </c>
      <c r="D34" s="128">
        <v>0</v>
      </c>
    </row>
    <row r="35" spans="1:7" x14ac:dyDescent="0.2">
      <c r="A35" s="11" t="s">
        <v>29</v>
      </c>
      <c r="B35" s="9"/>
      <c r="C35" s="8" t="s">
        <v>28</v>
      </c>
      <c r="D35" s="128">
        <v>0</v>
      </c>
      <c r="E35" s="7"/>
      <c r="F35" s="7"/>
      <c r="G35" s="7"/>
    </row>
    <row r="36" spans="1:7" x14ac:dyDescent="0.2">
      <c r="A36" s="11" t="s">
        <v>30</v>
      </c>
      <c r="B36" s="1">
        <v>0</v>
      </c>
      <c r="C36" s="8" t="s">
        <v>59</v>
      </c>
      <c r="D36" s="129">
        <f>B36*35</f>
        <v>0</v>
      </c>
      <c r="E36" s="7"/>
      <c r="F36" s="7"/>
      <c r="G36" s="7"/>
    </row>
    <row r="37" spans="1:7" x14ac:dyDescent="0.2">
      <c r="A37" s="11" t="s">
        <v>31</v>
      </c>
      <c r="B37" s="9"/>
      <c r="C37" s="8" t="s">
        <v>28</v>
      </c>
      <c r="D37" s="128">
        <v>0</v>
      </c>
      <c r="E37" s="7"/>
      <c r="F37" s="7"/>
      <c r="G37" s="7"/>
    </row>
    <row r="38" spans="1:7" ht="13.5" thickBot="1" x14ac:dyDescent="0.25">
      <c r="A38" s="11"/>
      <c r="B38" s="9"/>
      <c r="C38" s="9"/>
      <c r="D38" s="127"/>
      <c r="E38" s="7"/>
      <c r="F38" s="7"/>
      <c r="G38" s="7"/>
    </row>
    <row r="39" spans="1:7" ht="14.25" thickTop="1" thickBot="1" x14ac:dyDescent="0.25">
      <c r="A39" s="20" t="s">
        <v>32</v>
      </c>
      <c r="B39" s="9"/>
      <c r="C39" s="9"/>
      <c r="D39" s="130">
        <f>E204</f>
        <v>0</v>
      </c>
      <c r="E39" s="7"/>
      <c r="F39" s="7"/>
      <c r="G39" s="7"/>
    </row>
    <row r="40" spans="1:7" ht="14.25" thickTop="1" thickBot="1" x14ac:dyDescent="0.25">
      <c r="A40" s="11"/>
      <c r="B40" s="9"/>
      <c r="C40" s="21" t="s">
        <v>22</v>
      </c>
      <c r="D40" s="130">
        <f>F203</f>
        <v>0</v>
      </c>
      <c r="F40" s="7"/>
      <c r="G40" s="7"/>
    </row>
    <row r="41" spans="1:7" ht="14.25" thickTop="1" thickBot="1" x14ac:dyDescent="0.25">
      <c r="A41" s="11"/>
      <c r="B41" s="9"/>
      <c r="C41" s="9"/>
      <c r="D41" s="127"/>
      <c r="E41" s="7"/>
      <c r="F41" s="7"/>
      <c r="G41" s="7"/>
    </row>
    <row r="42" spans="1:7" ht="14.25" thickTop="1" thickBot="1" x14ac:dyDescent="0.25">
      <c r="A42" s="20" t="s">
        <v>33</v>
      </c>
      <c r="B42" s="9"/>
      <c r="C42" s="9"/>
      <c r="D42" s="131">
        <f>E210</f>
        <v>0</v>
      </c>
      <c r="E42" s="7"/>
      <c r="F42" s="7"/>
      <c r="G42" s="7"/>
    </row>
    <row r="43" spans="1:7" ht="14.25" thickTop="1" thickBot="1" x14ac:dyDescent="0.25">
      <c r="A43" s="9"/>
      <c r="B43" s="9"/>
      <c r="C43" s="21" t="s">
        <v>22</v>
      </c>
      <c r="D43" s="131">
        <f>F210</f>
        <v>0</v>
      </c>
      <c r="F43" s="7"/>
      <c r="G43" s="10"/>
    </row>
    <row r="44" spans="1:7" ht="14.25" thickTop="1" thickBot="1" x14ac:dyDescent="0.25">
      <c r="A44" s="9"/>
      <c r="B44" s="9"/>
      <c r="C44" s="9"/>
      <c r="D44" s="132"/>
      <c r="E44" s="10"/>
      <c r="F44" s="7"/>
      <c r="G44" s="10"/>
    </row>
    <row r="45" spans="1:7" ht="14.25" thickTop="1" thickBot="1" x14ac:dyDescent="0.25">
      <c r="A45" s="17" t="s">
        <v>34</v>
      </c>
      <c r="B45" s="9"/>
      <c r="C45" s="9"/>
      <c r="D45" s="132"/>
      <c r="E45" s="145">
        <f>E26+D39+D40</f>
        <v>931.7</v>
      </c>
      <c r="F45" s="7"/>
      <c r="G45" s="10"/>
    </row>
    <row r="46" spans="1:7" ht="14.25" thickTop="1" thickBot="1" x14ac:dyDescent="0.25">
      <c r="A46" s="9"/>
      <c r="B46" s="9"/>
      <c r="C46" s="9"/>
      <c r="D46" s="132"/>
      <c r="E46" s="127"/>
      <c r="F46" s="7"/>
      <c r="G46" s="10"/>
    </row>
    <row r="47" spans="1:7" ht="14.25" thickTop="1" thickBot="1" x14ac:dyDescent="0.25">
      <c r="A47" s="17" t="s">
        <v>35</v>
      </c>
      <c r="B47" s="29"/>
      <c r="C47" s="9"/>
      <c r="D47" s="133"/>
      <c r="E47" s="146">
        <f>D30+D42+D43</f>
        <v>0</v>
      </c>
      <c r="F47" s="30"/>
      <c r="G47" s="10"/>
    </row>
    <row r="48" spans="1:7" ht="13.5" thickTop="1" x14ac:dyDescent="0.2">
      <c r="D48" s="134"/>
      <c r="E48" s="134"/>
    </row>
    <row r="49" spans="1:7" ht="24" customHeight="1" x14ac:dyDescent="0.3">
      <c r="A49" s="103" t="s">
        <v>85</v>
      </c>
      <c r="B49" s="104"/>
      <c r="C49" s="32"/>
      <c r="D49" s="135"/>
      <c r="E49" s="147"/>
      <c r="F49" s="33"/>
      <c r="G49" s="33"/>
    </row>
    <row r="50" spans="1:7" x14ac:dyDescent="0.2">
      <c r="A50" s="31"/>
      <c r="B50" s="34"/>
      <c r="C50" s="34"/>
      <c r="D50" s="136"/>
      <c r="E50" s="147"/>
      <c r="F50" s="35"/>
      <c r="G50" s="34"/>
    </row>
    <row r="51" spans="1:7" x14ac:dyDescent="0.2">
      <c r="A51" s="96" t="s">
        <v>86</v>
      </c>
      <c r="B51" s="36" t="s">
        <v>87</v>
      </c>
      <c r="C51" s="36"/>
      <c r="D51" s="137">
        <v>0</v>
      </c>
      <c r="E51" s="139"/>
      <c r="F51" s="36"/>
      <c r="G51" s="36"/>
    </row>
    <row r="52" spans="1:7" x14ac:dyDescent="0.2">
      <c r="A52" s="38"/>
      <c r="B52" s="36" t="s">
        <v>88</v>
      </c>
      <c r="C52" s="36"/>
      <c r="D52" s="137">
        <v>0</v>
      </c>
      <c r="E52" s="139"/>
      <c r="F52" s="37"/>
      <c r="G52" s="37"/>
    </row>
    <row r="53" spans="1:7" x14ac:dyDescent="0.2">
      <c r="A53" s="38"/>
      <c r="B53" s="36" t="s">
        <v>4</v>
      </c>
      <c r="C53" s="36"/>
      <c r="D53" s="138">
        <f>SUM(D51:D52)</f>
        <v>0</v>
      </c>
      <c r="E53" s="139"/>
      <c r="F53" s="37"/>
      <c r="G53" s="37"/>
    </row>
    <row r="54" spans="1:7" x14ac:dyDescent="0.2">
      <c r="A54" s="38"/>
      <c r="B54" s="36"/>
      <c r="C54" s="36"/>
      <c r="D54" s="139"/>
      <c r="E54" s="139"/>
      <c r="F54" s="37"/>
      <c r="G54" s="37"/>
    </row>
    <row r="55" spans="1:7" x14ac:dyDescent="0.2">
      <c r="A55" s="96" t="s">
        <v>89</v>
      </c>
      <c r="B55" s="36" t="s">
        <v>87</v>
      </c>
      <c r="C55" s="36"/>
      <c r="D55" s="140">
        <v>0</v>
      </c>
      <c r="E55" s="139"/>
      <c r="F55" s="37"/>
      <c r="G55" s="37"/>
    </row>
    <row r="56" spans="1:7" x14ac:dyDescent="0.2">
      <c r="A56" s="96"/>
      <c r="B56" s="36" t="s">
        <v>88</v>
      </c>
      <c r="C56" s="36"/>
      <c r="D56" s="140">
        <v>0</v>
      </c>
      <c r="E56" s="139"/>
      <c r="F56" s="37"/>
      <c r="G56" s="37"/>
    </row>
    <row r="57" spans="1:7" x14ac:dyDescent="0.2">
      <c r="A57" s="96"/>
      <c r="B57" s="36" t="s">
        <v>4</v>
      </c>
      <c r="C57" s="36"/>
      <c r="D57" s="141">
        <f>SUM(D55:D56)</f>
        <v>0</v>
      </c>
      <c r="E57" s="139"/>
      <c r="F57" s="37"/>
      <c r="G57" s="37"/>
    </row>
    <row r="58" spans="1:7" x14ac:dyDescent="0.2">
      <c r="A58" s="93" t="s">
        <v>11</v>
      </c>
      <c r="B58" s="15"/>
      <c r="C58" s="15"/>
      <c r="D58" s="15"/>
      <c r="E58" s="139"/>
      <c r="F58" s="36"/>
      <c r="G58" s="36"/>
    </row>
    <row r="59" spans="1:7" x14ac:dyDescent="0.2">
      <c r="A59" s="38"/>
      <c r="B59" s="38"/>
      <c r="C59" s="39"/>
      <c r="D59" s="112" t="s">
        <v>13</v>
      </c>
      <c r="E59" s="139">
        <f>IF(D57&gt;D53,E158+(E171-E184),E146)</f>
        <v>0</v>
      </c>
    </row>
    <row r="60" spans="1:7" x14ac:dyDescent="0.2">
      <c r="A60" s="14" t="s">
        <v>90</v>
      </c>
      <c r="B60" s="38"/>
      <c r="C60" s="139">
        <f>G119</f>
        <v>75</v>
      </c>
      <c r="D60" s="113" t="s">
        <v>91</v>
      </c>
      <c r="E60" s="139">
        <f>E59*21/100</f>
        <v>0</v>
      </c>
    </row>
    <row r="61" spans="1:7" x14ac:dyDescent="0.2">
      <c r="A61" s="14" t="s">
        <v>92</v>
      </c>
      <c r="B61" s="38"/>
      <c r="C61" s="137">
        <v>0</v>
      </c>
      <c r="D61" s="112"/>
      <c r="E61" s="139"/>
    </row>
    <row r="62" spans="1:7" x14ac:dyDescent="0.2">
      <c r="A62" s="14" t="s">
        <v>93</v>
      </c>
      <c r="B62" s="40">
        <f>(A113+ROUNDDOWN((D51+D52-1)/C114,0)*A113)</f>
        <v>67.31</v>
      </c>
      <c r="C62" s="139"/>
      <c r="D62" s="112"/>
      <c r="E62" s="139"/>
    </row>
    <row r="63" spans="1:7" x14ac:dyDescent="0.2">
      <c r="A63" s="14" t="s">
        <v>94</v>
      </c>
      <c r="B63" s="40">
        <f>(A126+ROUNDDOWN((D55+D56-1)/C127,0)*A126)</f>
        <v>117.11</v>
      </c>
      <c r="C63" s="139"/>
      <c r="D63" s="112"/>
      <c r="E63" s="139"/>
    </row>
    <row r="64" spans="1:7" x14ac:dyDescent="0.2">
      <c r="A64" s="14" t="s">
        <v>95</v>
      </c>
      <c r="B64" s="40">
        <f>IF(D57&gt;D53,(D57-D53)*0.3%,0)</f>
        <v>0</v>
      </c>
      <c r="C64" s="139"/>
      <c r="D64" s="112"/>
      <c r="E64" s="139"/>
    </row>
    <row r="65" spans="1:7" x14ac:dyDescent="0.2">
      <c r="A65" s="14" t="s">
        <v>96</v>
      </c>
      <c r="B65" s="38"/>
      <c r="C65" s="139">
        <f>D134+B64</f>
        <v>220</v>
      </c>
      <c r="D65" s="112"/>
      <c r="E65" s="139"/>
    </row>
    <row r="66" spans="1:7" x14ac:dyDescent="0.2">
      <c r="A66" s="14" t="s">
        <v>97</v>
      </c>
      <c r="B66" s="38"/>
      <c r="C66" s="139">
        <v>0</v>
      </c>
      <c r="D66" s="112"/>
      <c r="E66" s="139"/>
    </row>
    <row r="67" spans="1:7" x14ac:dyDescent="0.2">
      <c r="A67" s="38"/>
      <c r="B67" s="110" t="s">
        <v>91</v>
      </c>
      <c r="C67" s="139">
        <f>C66*21/100</f>
        <v>0</v>
      </c>
      <c r="D67" s="112"/>
      <c r="E67" s="139"/>
    </row>
    <row r="68" spans="1:7" x14ac:dyDescent="0.2">
      <c r="A68" s="14" t="s">
        <v>98</v>
      </c>
      <c r="B68" s="111"/>
      <c r="C68" s="142">
        <v>710</v>
      </c>
      <c r="D68" s="112"/>
      <c r="E68" s="139"/>
    </row>
    <row r="69" spans="1:7" x14ac:dyDescent="0.2">
      <c r="A69" s="38"/>
      <c r="B69" s="110" t="s">
        <v>91</v>
      </c>
      <c r="C69" s="139">
        <f>C68*21/100</f>
        <v>149.1</v>
      </c>
      <c r="D69" s="112"/>
      <c r="E69" s="139"/>
    </row>
    <row r="70" spans="1:7" x14ac:dyDescent="0.2">
      <c r="A70" s="14" t="s">
        <v>99</v>
      </c>
      <c r="B70" s="110"/>
      <c r="C70" s="137">
        <v>0</v>
      </c>
      <c r="D70" s="112"/>
      <c r="E70" s="139"/>
    </row>
    <row r="71" spans="1:7" x14ac:dyDescent="0.2">
      <c r="A71" s="38"/>
      <c r="B71" s="110" t="s">
        <v>91</v>
      </c>
      <c r="C71" s="139">
        <f>C70*21/100</f>
        <v>0</v>
      </c>
      <c r="D71" s="112"/>
      <c r="E71" s="139"/>
    </row>
    <row r="72" spans="1:7" x14ac:dyDescent="0.2">
      <c r="A72" s="38"/>
      <c r="B72" s="111"/>
      <c r="C72" s="139"/>
      <c r="D72" s="112"/>
      <c r="E72" s="139"/>
    </row>
    <row r="73" spans="1:7" x14ac:dyDescent="0.2">
      <c r="A73" s="38"/>
      <c r="B73" s="111" t="s">
        <v>100</v>
      </c>
      <c r="C73" s="143">
        <f>A123</f>
        <v>1004.9999999999999</v>
      </c>
      <c r="D73" s="112" t="s">
        <v>101</v>
      </c>
      <c r="E73" s="139">
        <f>E59</f>
        <v>0</v>
      </c>
    </row>
    <row r="74" spans="1:7" x14ac:dyDescent="0.2">
      <c r="A74" s="38"/>
      <c r="B74" s="38"/>
      <c r="C74" s="38"/>
      <c r="D74" s="112" t="s">
        <v>102</v>
      </c>
      <c r="E74" s="139">
        <f>C73</f>
        <v>1004.9999999999999</v>
      </c>
    </row>
    <row r="75" spans="1:7" x14ac:dyDescent="0.2">
      <c r="A75" s="38"/>
      <c r="B75" s="38"/>
      <c r="C75" s="38"/>
      <c r="D75" s="112" t="s">
        <v>103</v>
      </c>
      <c r="E75" s="139">
        <f>SUM(E73+C73)</f>
        <v>1004.9999999999999</v>
      </c>
    </row>
    <row r="76" spans="1:7" x14ac:dyDescent="0.2">
      <c r="A76" s="37"/>
      <c r="B76" s="37"/>
      <c r="C76" s="37"/>
      <c r="D76" s="111"/>
      <c r="E76" s="139"/>
    </row>
    <row r="77" spans="1:7" x14ac:dyDescent="0.2">
      <c r="A77" s="37"/>
      <c r="B77" s="37"/>
      <c r="C77" s="37"/>
      <c r="D77" s="113" t="s">
        <v>104</v>
      </c>
      <c r="E77" s="139">
        <f>C67+C69+C71+E60</f>
        <v>149.1</v>
      </c>
    </row>
    <row r="78" spans="1:7" ht="13.5" thickBot="1" x14ac:dyDescent="0.25">
      <c r="A78" s="37"/>
      <c r="B78" s="37"/>
      <c r="C78" s="37"/>
      <c r="D78" s="111"/>
      <c r="E78" s="139"/>
    </row>
    <row r="79" spans="1:7" ht="14.25" thickTop="1" thickBot="1" x14ac:dyDescent="0.25">
      <c r="A79" s="37"/>
      <c r="B79" s="37"/>
      <c r="C79" s="37"/>
      <c r="D79" s="114" t="s">
        <v>105</v>
      </c>
      <c r="E79" s="148">
        <f>SUM(E75:E77)</f>
        <v>1154.0999999999999</v>
      </c>
    </row>
    <row r="80" spans="1:7" ht="13.5" thickTop="1" x14ac:dyDescent="0.2">
      <c r="A80" s="37"/>
      <c r="B80" s="37"/>
      <c r="C80" s="37"/>
      <c r="D80" s="37"/>
      <c r="E80" s="37"/>
      <c r="F80" s="41"/>
      <c r="G80" s="42"/>
    </row>
    <row r="81" spans="1:7" ht="21" customHeight="1" x14ac:dyDescent="0.3">
      <c r="A81" s="103" t="s">
        <v>115</v>
      </c>
      <c r="B81" s="104"/>
      <c r="C81" s="104"/>
      <c r="D81" s="31"/>
      <c r="E81" s="31"/>
      <c r="F81" s="31"/>
      <c r="G81" s="31"/>
    </row>
    <row r="82" spans="1:7" x14ac:dyDescent="0.2">
      <c r="A82" s="15"/>
      <c r="B82" s="15"/>
      <c r="C82" s="15"/>
      <c r="D82" s="15"/>
      <c r="E82" s="36"/>
      <c r="F82" s="36"/>
      <c r="G82" s="36"/>
    </row>
    <row r="83" spans="1:7" x14ac:dyDescent="0.2">
      <c r="A83" s="38"/>
      <c r="B83" s="36" t="s">
        <v>87</v>
      </c>
      <c r="C83" s="2">
        <v>0</v>
      </c>
      <c r="D83" s="22"/>
      <c r="E83" s="22"/>
      <c r="F83" s="22"/>
      <c r="G83" s="22"/>
    </row>
    <row r="84" spans="1:7" x14ac:dyDescent="0.2">
      <c r="A84" s="38"/>
      <c r="B84" s="36" t="s">
        <v>88</v>
      </c>
      <c r="C84" s="2">
        <v>0</v>
      </c>
      <c r="D84" s="22"/>
      <c r="E84" s="22"/>
      <c r="F84" s="22"/>
      <c r="G84" s="22"/>
    </row>
    <row r="85" spans="1:7" x14ac:dyDescent="0.2">
      <c r="A85" s="38"/>
      <c r="B85" s="36" t="s">
        <v>4</v>
      </c>
      <c r="C85" s="116">
        <f>SUM(C83:C84)</f>
        <v>0</v>
      </c>
      <c r="D85" s="22"/>
      <c r="E85" s="22"/>
      <c r="F85" s="22"/>
      <c r="G85" s="22"/>
    </row>
    <row r="86" spans="1:7" x14ac:dyDescent="0.2">
      <c r="A86" s="15"/>
      <c r="B86" s="15"/>
      <c r="C86" s="44"/>
      <c r="D86" s="15"/>
      <c r="E86" s="36"/>
      <c r="F86" s="36"/>
      <c r="G86" s="43"/>
    </row>
    <row r="87" spans="1:7" x14ac:dyDescent="0.2">
      <c r="A87" s="14" t="s">
        <v>116</v>
      </c>
      <c r="B87" s="117">
        <v>1</v>
      </c>
      <c r="C87" s="37"/>
      <c r="D87" s="15"/>
      <c r="E87" s="36"/>
      <c r="F87" s="36"/>
      <c r="G87" s="43"/>
    </row>
    <row r="88" spans="1:7" x14ac:dyDescent="0.2">
      <c r="A88" s="93" t="s">
        <v>11</v>
      </c>
      <c r="B88" s="15"/>
      <c r="C88" s="15"/>
      <c r="D88" s="15"/>
      <c r="E88" s="36"/>
      <c r="F88" s="36"/>
      <c r="G88" s="43"/>
    </row>
    <row r="89" spans="1:7" x14ac:dyDescent="0.2">
      <c r="A89" s="38" t="s">
        <v>117</v>
      </c>
      <c r="B89" s="38"/>
      <c r="C89" s="45">
        <v>50</v>
      </c>
      <c r="D89" s="113" t="s">
        <v>13</v>
      </c>
      <c r="E89" s="43">
        <f>E265</f>
        <v>0</v>
      </c>
    </row>
    <row r="90" spans="1:7" x14ac:dyDescent="0.2">
      <c r="A90" s="38" t="s">
        <v>118</v>
      </c>
      <c r="B90" s="38"/>
      <c r="C90" s="45">
        <v>50</v>
      </c>
      <c r="D90" s="112"/>
      <c r="E90" s="43"/>
    </row>
    <row r="91" spans="1:7" x14ac:dyDescent="0.2">
      <c r="A91" s="38" t="s">
        <v>119</v>
      </c>
      <c r="B91" s="38"/>
      <c r="C91" s="3">
        <v>0</v>
      </c>
      <c r="D91" s="112"/>
      <c r="E91" s="43"/>
    </row>
    <row r="92" spans="1:7" x14ac:dyDescent="0.2">
      <c r="A92" s="14" t="s">
        <v>112</v>
      </c>
      <c r="B92" s="38"/>
      <c r="C92" s="3">
        <f>C250</f>
        <v>185</v>
      </c>
      <c r="D92" s="112"/>
      <c r="E92" s="43"/>
    </row>
    <row r="93" spans="1:7" x14ac:dyDescent="0.2">
      <c r="A93" s="38"/>
      <c r="B93" s="38"/>
      <c r="C93" s="45"/>
      <c r="D93" s="112"/>
      <c r="E93" s="43"/>
    </row>
    <row r="94" spans="1:7" x14ac:dyDescent="0.2">
      <c r="A94" s="38"/>
      <c r="B94" s="38" t="s">
        <v>100</v>
      </c>
      <c r="C94" s="45">
        <f>SUM(C89:C93)</f>
        <v>285</v>
      </c>
      <c r="D94" s="112" t="s">
        <v>101</v>
      </c>
      <c r="E94" s="43">
        <f>E89</f>
        <v>0</v>
      </c>
    </row>
    <row r="95" spans="1:7" x14ac:dyDescent="0.2">
      <c r="A95" s="38"/>
      <c r="B95" s="38"/>
      <c r="C95" s="38"/>
      <c r="D95" s="112" t="s">
        <v>102</v>
      </c>
      <c r="E95" s="43">
        <f>SUM(C89:C93)</f>
        <v>285</v>
      </c>
    </row>
    <row r="96" spans="1:7" x14ac:dyDescent="0.2">
      <c r="A96" s="38"/>
      <c r="B96" s="38"/>
      <c r="C96" s="38"/>
      <c r="D96" s="112" t="s">
        <v>103</v>
      </c>
      <c r="E96" s="43">
        <f>SUM(E94:E95)</f>
        <v>285</v>
      </c>
    </row>
    <row r="97" spans="1:7" x14ac:dyDescent="0.2">
      <c r="A97" s="37"/>
      <c r="B97" s="37"/>
      <c r="C97" s="37"/>
      <c r="D97" s="111"/>
      <c r="E97" s="94"/>
    </row>
    <row r="98" spans="1:7" x14ac:dyDescent="0.2">
      <c r="A98" s="37"/>
      <c r="B98" s="37"/>
      <c r="C98" s="37"/>
      <c r="D98" s="110" t="s">
        <v>22</v>
      </c>
      <c r="E98" s="95">
        <f>(C89+C92+E89)*21%</f>
        <v>49.35</v>
      </c>
    </row>
    <row r="99" spans="1:7" ht="13.5" thickBot="1" x14ac:dyDescent="0.25">
      <c r="A99" s="37"/>
      <c r="B99" s="37"/>
      <c r="C99" s="37"/>
      <c r="D99" s="111"/>
      <c r="E99" s="94"/>
    </row>
    <row r="100" spans="1:7" ht="14.25" thickTop="1" thickBot="1" x14ac:dyDescent="0.25">
      <c r="A100" s="37"/>
      <c r="B100" s="37"/>
      <c r="C100" s="37"/>
      <c r="D100" s="115" t="s">
        <v>125</v>
      </c>
      <c r="E100" s="118">
        <f>SUM(E96:E98)</f>
        <v>334.35</v>
      </c>
    </row>
    <row r="101" spans="1:7" ht="13.5" thickTop="1" x14ac:dyDescent="0.2">
      <c r="A101" s="37"/>
      <c r="B101" s="37"/>
      <c r="C101" s="37"/>
      <c r="D101" s="37"/>
      <c r="E101" s="37"/>
      <c r="F101" s="41"/>
      <c r="G101" s="42"/>
    </row>
    <row r="103" spans="1:7" x14ac:dyDescent="0.2">
      <c r="B103" s="32" t="s">
        <v>36</v>
      </c>
      <c r="D103" s="32" t="s">
        <v>37</v>
      </c>
    </row>
    <row r="104" spans="1:7" x14ac:dyDescent="0.2">
      <c r="D104" s="24"/>
    </row>
    <row r="105" spans="1:7" x14ac:dyDescent="0.2">
      <c r="B105" s="32" t="s">
        <v>38</v>
      </c>
      <c r="D105" s="32" t="s">
        <v>39</v>
      </c>
    </row>
    <row r="106" spans="1:7" x14ac:dyDescent="0.2">
      <c r="B106" s="46"/>
      <c r="C106" s="46"/>
      <c r="D106" s="46"/>
    </row>
    <row r="107" spans="1:7" x14ac:dyDescent="0.2">
      <c r="B107" s="47" t="s">
        <v>114</v>
      </c>
    </row>
    <row r="110" spans="1:7" hidden="1" x14ac:dyDescent="0.2"/>
    <row r="111" spans="1:7" hidden="1" x14ac:dyDescent="0.2"/>
    <row r="112" spans="1:7" hidden="1" x14ac:dyDescent="0.2">
      <c r="A112" s="48" t="s">
        <v>106</v>
      </c>
      <c r="B112" s="49"/>
      <c r="C112" s="49"/>
      <c r="D112" s="49"/>
      <c r="E112" s="37"/>
      <c r="F112" s="37" t="s">
        <v>107</v>
      </c>
      <c r="G112" s="37"/>
    </row>
    <row r="113" spans="1:7" hidden="1" x14ac:dyDescent="0.2">
      <c r="A113" s="50">
        <v>67.31</v>
      </c>
      <c r="B113" s="50" t="s">
        <v>108</v>
      </c>
      <c r="C113" s="50">
        <v>25000</v>
      </c>
      <c r="D113" s="50"/>
      <c r="E113" s="37"/>
      <c r="F113" s="37"/>
      <c r="G113" s="37"/>
    </row>
    <row r="114" spans="1:7" hidden="1" x14ac:dyDescent="0.2">
      <c r="A114" s="50">
        <v>23.56</v>
      </c>
      <c r="B114" s="50" t="s">
        <v>109</v>
      </c>
      <c r="C114" s="50">
        <v>25000</v>
      </c>
      <c r="D114" s="50" t="s">
        <v>110</v>
      </c>
      <c r="E114" s="37"/>
      <c r="F114" s="37"/>
      <c r="G114" s="37"/>
    </row>
    <row r="115" spans="1:7" hidden="1" x14ac:dyDescent="0.2">
      <c r="A115" s="37"/>
      <c r="B115" s="37"/>
      <c r="C115" s="37"/>
      <c r="D115" s="37"/>
      <c r="E115" s="37"/>
      <c r="F115" s="37"/>
      <c r="G115" s="51">
        <f>D57-D53</f>
        <v>0</v>
      </c>
    </row>
    <row r="116" spans="1:7" hidden="1" x14ac:dyDescent="0.2">
      <c r="A116" s="37"/>
      <c r="B116" s="37"/>
      <c r="C116" s="37"/>
      <c r="D116" s="37"/>
      <c r="E116" s="37"/>
      <c r="F116" s="37"/>
      <c r="G116" s="37"/>
    </row>
    <row r="117" spans="1:7" hidden="1" x14ac:dyDescent="0.2">
      <c r="A117" s="37"/>
      <c r="B117" s="37"/>
      <c r="C117" s="37"/>
      <c r="D117" s="37"/>
      <c r="E117" s="37"/>
      <c r="F117" s="37"/>
      <c r="G117" s="37">
        <f>IF(G115&gt;0,G115*0.01,75)</f>
        <v>75</v>
      </c>
    </row>
    <row r="118" spans="1:7" hidden="1" x14ac:dyDescent="0.2">
      <c r="A118" s="37" t="s">
        <v>111</v>
      </c>
      <c r="B118" s="37"/>
      <c r="C118" s="37" t="s">
        <v>81</v>
      </c>
      <c r="D118" s="37" t="s">
        <v>112</v>
      </c>
      <c r="E118" s="37"/>
      <c r="F118" s="37"/>
      <c r="G118" s="37"/>
    </row>
    <row r="119" spans="1:7" hidden="1" x14ac:dyDescent="0.2">
      <c r="A119" s="37"/>
      <c r="B119" s="37"/>
      <c r="C119" s="51">
        <f>C61</f>
        <v>0</v>
      </c>
      <c r="D119" s="37">
        <f>IF(C61=0,575,550)</f>
        <v>575</v>
      </c>
      <c r="E119" s="37"/>
      <c r="F119" s="37"/>
      <c r="G119" s="37">
        <f>IF(G117&lt;75,75,G117)</f>
        <v>75</v>
      </c>
    </row>
    <row r="120" spans="1:7" hidden="1" x14ac:dyDescent="0.2">
      <c r="A120" s="37"/>
      <c r="B120" s="37"/>
      <c r="C120" s="37"/>
      <c r="D120" s="37"/>
      <c r="E120" s="37"/>
      <c r="F120" s="37"/>
      <c r="G120" s="37"/>
    </row>
    <row r="121" spans="1:7" hidden="1" x14ac:dyDescent="0.2">
      <c r="A121" s="37"/>
      <c r="B121" s="37"/>
      <c r="C121" s="37"/>
      <c r="D121" s="37"/>
      <c r="E121" s="37"/>
      <c r="F121" s="37"/>
      <c r="G121" s="37"/>
    </row>
    <row r="122" spans="1:7" hidden="1" x14ac:dyDescent="0.2">
      <c r="A122" s="37"/>
      <c r="B122" s="37"/>
      <c r="C122" s="37"/>
      <c r="D122" s="37"/>
      <c r="E122" s="37"/>
      <c r="F122" s="37"/>
      <c r="G122" s="37"/>
    </row>
    <row r="123" spans="1:7" hidden="1" x14ac:dyDescent="0.2">
      <c r="A123" s="52">
        <f>SUM(C59:C71)-C67-C69-C71</f>
        <v>1004.9999999999999</v>
      </c>
      <c r="B123" s="37"/>
      <c r="C123" s="37"/>
      <c r="D123" s="37"/>
      <c r="E123" s="37"/>
      <c r="F123" s="37"/>
      <c r="G123" s="37"/>
    </row>
    <row r="124" spans="1:7" hidden="1" x14ac:dyDescent="0.2">
      <c r="A124" s="37"/>
      <c r="B124" s="37"/>
      <c r="C124" s="37"/>
      <c r="D124" s="37"/>
      <c r="E124" s="37"/>
      <c r="F124" s="37"/>
      <c r="G124" s="37"/>
    </row>
    <row r="125" spans="1:7" hidden="1" x14ac:dyDescent="0.2">
      <c r="A125" s="48" t="s">
        <v>113</v>
      </c>
      <c r="B125" s="49"/>
      <c r="C125" s="49"/>
      <c r="D125" s="49"/>
      <c r="E125" s="37"/>
      <c r="F125" s="37"/>
      <c r="G125" s="37"/>
    </row>
    <row r="126" spans="1:7" hidden="1" x14ac:dyDescent="0.2">
      <c r="A126" s="50">
        <v>117.11</v>
      </c>
      <c r="B126" s="50" t="s">
        <v>108</v>
      </c>
      <c r="C126" s="50">
        <v>25000</v>
      </c>
      <c r="D126" s="50"/>
      <c r="E126" s="37"/>
      <c r="F126" s="37"/>
      <c r="G126" s="37"/>
    </row>
    <row r="127" spans="1:7" hidden="1" x14ac:dyDescent="0.2">
      <c r="A127" s="50">
        <v>23.56</v>
      </c>
      <c r="B127" s="50" t="s">
        <v>109</v>
      </c>
      <c r="C127" s="50">
        <v>25000</v>
      </c>
      <c r="D127" s="50" t="s">
        <v>110</v>
      </c>
      <c r="E127" s="37"/>
      <c r="F127" s="37"/>
      <c r="G127" s="37"/>
    </row>
    <row r="128" spans="1:7" hidden="1" x14ac:dyDescent="0.2">
      <c r="A128" s="37"/>
      <c r="B128" s="37"/>
      <c r="C128" s="37"/>
      <c r="D128" s="37"/>
      <c r="E128" s="37"/>
      <c r="F128" s="37"/>
      <c r="G128" s="37"/>
    </row>
    <row r="129" spans="1:7" hidden="1" x14ac:dyDescent="0.2">
      <c r="A129" s="37"/>
      <c r="B129" s="37"/>
      <c r="C129" s="37"/>
      <c r="D129" s="37"/>
      <c r="E129" s="37"/>
      <c r="F129" s="37"/>
      <c r="G129" s="37"/>
    </row>
    <row r="130" spans="1:7" hidden="1" x14ac:dyDescent="0.2">
      <c r="A130" s="37"/>
      <c r="B130" s="37"/>
      <c r="C130" s="37"/>
      <c r="D130" s="37"/>
      <c r="E130" s="37"/>
      <c r="F130" s="37"/>
      <c r="G130" s="37"/>
    </row>
    <row r="131" spans="1:7" hidden="1" x14ac:dyDescent="0.2">
      <c r="A131" s="37"/>
      <c r="B131" s="37"/>
      <c r="C131" s="37"/>
      <c r="D131" s="51">
        <f>ROUNDUP(B62+B63,-2)</f>
        <v>200</v>
      </c>
      <c r="E131" s="37"/>
      <c r="F131" s="37"/>
      <c r="G131" s="37"/>
    </row>
    <row r="132" spans="1:7" hidden="1" x14ac:dyDescent="0.2">
      <c r="A132" s="37"/>
      <c r="B132" s="37"/>
      <c r="C132" s="37"/>
      <c r="D132" s="37">
        <f>IF((D131-B62-B63)&gt;90,D131-50,D131)</f>
        <v>200</v>
      </c>
      <c r="E132" s="37"/>
      <c r="F132" s="37"/>
      <c r="G132" s="37"/>
    </row>
    <row r="133" spans="1:7" hidden="1" x14ac:dyDescent="0.2">
      <c r="A133" s="37"/>
      <c r="B133" s="37"/>
      <c r="C133" s="37"/>
      <c r="D133" s="37">
        <f>IF((D132-B62-B63)&lt;30,(B62+B63+30),D132)</f>
        <v>214.42000000000002</v>
      </c>
      <c r="E133" s="37"/>
      <c r="F133" s="37"/>
      <c r="G133" s="37"/>
    </row>
    <row r="134" spans="1:7" hidden="1" x14ac:dyDescent="0.2">
      <c r="A134" s="37"/>
      <c r="B134" s="37"/>
      <c r="C134" s="37"/>
      <c r="D134" s="37">
        <f>ROUNDUP(D133,-1)</f>
        <v>220</v>
      </c>
      <c r="E134" s="37"/>
      <c r="F134" s="37"/>
      <c r="G134" s="37"/>
    </row>
    <row r="135" spans="1:7" hidden="1" x14ac:dyDescent="0.2">
      <c r="A135" s="37"/>
      <c r="B135" s="37"/>
      <c r="C135" s="37"/>
      <c r="D135" s="37"/>
      <c r="E135" s="37"/>
      <c r="F135" s="37"/>
      <c r="G135" s="37"/>
    </row>
    <row r="136" spans="1:7" ht="15" hidden="1" x14ac:dyDescent="0.25">
      <c r="A136" s="53" t="s">
        <v>4</v>
      </c>
      <c r="B136" s="53"/>
      <c r="C136" s="54">
        <f>D57</f>
        <v>0</v>
      </c>
      <c r="D136" s="55"/>
      <c r="E136" s="56"/>
      <c r="F136" s="37"/>
      <c r="G136" s="37"/>
    </row>
    <row r="137" spans="1:7" ht="15" hidden="1" x14ac:dyDescent="0.25">
      <c r="A137" s="57">
        <v>0</v>
      </c>
      <c r="B137" s="55"/>
      <c r="C137" s="57">
        <v>7500</v>
      </c>
      <c r="D137" s="58">
        <v>8.5500000000000003E-3</v>
      </c>
      <c r="E137" s="58"/>
      <c r="F137" s="57">
        <f>IF(D57&lt;C137,D57*D137,C137*D137)</f>
        <v>0</v>
      </c>
      <c r="G137" s="37"/>
    </row>
    <row r="138" spans="1:7" ht="15" hidden="1" x14ac:dyDescent="0.25">
      <c r="A138" s="57">
        <v>7500</v>
      </c>
      <c r="B138" s="55"/>
      <c r="C138" s="57">
        <v>17500</v>
      </c>
      <c r="D138" s="58">
        <v>6.8399999999999997E-3</v>
      </c>
      <c r="E138" s="58"/>
      <c r="F138" s="55" t="str">
        <f>IF(D57&lt;=A138," ",IF(D57&lt;C138,(D57-C137)*D138,(C138-A138)*D138))</f>
        <v xml:space="preserve"> </v>
      </c>
      <c r="G138" s="37"/>
    </row>
    <row r="139" spans="1:7" ht="15" hidden="1" x14ac:dyDescent="0.25">
      <c r="A139" s="57">
        <v>17500</v>
      </c>
      <c r="B139" s="55"/>
      <c r="C139" s="57">
        <v>30000</v>
      </c>
      <c r="D139" s="58">
        <v>4.5599999999999998E-3</v>
      </c>
      <c r="E139" s="58"/>
      <c r="F139" s="55" t="str">
        <f>IF(D57&lt;=A139," ",IF(D57&lt;C139,(D57-C138)*D139,(C139-A139)*D139))</f>
        <v xml:space="preserve"> </v>
      </c>
      <c r="G139" s="37"/>
    </row>
    <row r="140" spans="1:7" ht="15" hidden="1" x14ac:dyDescent="0.25">
      <c r="A140" s="57">
        <v>30000</v>
      </c>
      <c r="B140" s="55"/>
      <c r="C140" s="57">
        <v>45495</v>
      </c>
      <c r="D140" s="58">
        <v>3.4199999999999999E-3</v>
      </c>
      <c r="E140" s="58"/>
      <c r="F140" s="55" t="str">
        <f>IF(D57&lt;=A140," ",IF(D57&lt;C140,(D57-C139)*D140,(C140-A140)*D140))</f>
        <v xml:space="preserve"> </v>
      </c>
      <c r="G140" s="37"/>
    </row>
    <row r="141" spans="1:7" ht="15" hidden="1" x14ac:dyDescent="0.25">
      <c r="A141" s="57">
        <v>45495</v>
      </c>
      <c r="B141" s="55"/>
      <c r="C141" s="57">
        <v>64095</v>
      </c>
      <c r="D141" s="58">
        <v>2.2799999999999999E-3</v>
      </c>
      <c r="E141" s="58"/>
      <c r="F141" s="55" t="str">
        <f>IF(D57&lt;=A141," ",IF(D57&lt;C141,(D57-C140)*D141,(C141-A141)*D141))</f>
        <v xml:space="preserve"> </v>
      </c>
      <c r="G141" s="37"/>
    </row>
    <row r="142" spans="1:7" ht="15" hidden="1" x14ac:dyDescent="0.25">
      <c r="A142" s="57">
        <v>64095</v>
      </c>
      <c r="B142" s="55"/>
      <c r="C142" s="57">
        <v>250095</v>
      </c>
      <c r="D142" s="58">
        <v>1.14E-3</v>
      </c>
      <c r="E142" s="58"/>
      <c r="F142" s="55" t="str">
        <f>IF(D57&lt;=A142," ",IF(D57&lt;C142,(D57-C141)*D142,(C142-A142)*D142))</f>
        <v xml:space="preserve"> </v>
      </c>
      <c r="G142" s="37"/>
    </row>
    <row r="143" spans="1:7" ht="15" hidden="1" x14ac:dyDescent="0.25">
      <c r="A143" s="57">
        <v>250095</v>
      </c>
      <c r="B143" s="55"/>
      <c r="C143" s="57">
        <f>$D$9</f>
        <v>0</v>
      </c>
      <c r="D143" s="59">
        <v>3.4200000000000002E-4</v>
      </c>
      <c r="E143" s="58"/>
      <c r="F143" s="55" t="str">
        <f>IF(D57&lt;=A143," ",IF(D57&lt;C143,(D57-C142)*D143,(C143-A143)*D143))</f>
        <v xml:space="preserve"> </v>
      </c>
      <c r="G143" s="37"/>
    </row>
    <row r="144" spans="1:7" ht="15" hidden="1" x14ac:dyDescent="0.25">
      <c r="A144" s="54">
        <v>10075000</v>
      </c>
      <c r="B144" s="54"/>
      <c r="C144" s="54">
        <f>C136</f>
        <v>0</v>
      </c>
      <c r="D144" s="59">
        <v>4.5600000000000003E-4</v>
      </c>
      <c r="E144" s="54" t="str">
        <f>IF(C136&lt;=A144," E90",IF(C136&lt;C144,(C136-C143)*D144,(C144-A144)*D144))</f>
        <v xml:space="preserve"> E90</v>
      </c>
      <c r="F144" s="37"/>
      <c r="G144" s="37"/>
    </row>
    <row r="145" spans="1:7" ht="15" hidden="1" x14ac:dyDescent="0.25">
      <c r="A145" s="56"/>
      <c r="B145" s="56"/>
      <c r="C145" s="56"/>
      <c r="D145" s="56"/>
      <c r="E145" s="56"/>
      <c r="F145" s="37"/>
      <c r="G145" s="37"/>
    </row>
    <row r="146" spans="1:7" ht="15" hidden="1" x14ac:dyDescent="0.25">
      <c r="A146" s="60" t="s">
        <v>83</v>
      </c>
      <c r="B146" s="60"/>
      <c r="C146" s="56"/>
      <c r="D146" s="56"/>
      <c r="E146" s="61">
        <f>SUM(F137:F144)</f>
        <v>0</v>
      </c>
      <c r="F146" s="37"/>
      <c r="G146" s="37"/>
    </row>
    <row r="147" spans="1:7" ht="15" hidden="1" x14ac:dyDescent="0.25">
      <c r="A147" s="60"/>
      <c r="B147" s="60"/>
      <c r="C147" s="56"/>
      <c r="D147" s="56"/>
      <c r="E147" s="61"/>
      <c r="F147" s="37"/>
      <c r="G147" s="37"/>
    </row>
    <row r="148" spans="1:7" ht="15" hidden="1" x14ac:dyDescent="0.25">
      <c r="A148" s="53" t="s">
        <v>4</v>
      </c>
      <c r="B148" s="53"/>
      <c r="C148" s="54">
        <f>D53</f>
        <v>0</v>
      </c>
      <c r="D148" s="55"/>
      <c r="E148" s="56"/>
      <c r="F148" s="37"/>
      <c r="G148" s="37"/>
    </row>
    <row r="149" spans="1:7" ht="15" hidden="1" x14ac:dyDescent="0.25">
      <c r="A149" s="57">
        <v>0</v>
      </c>
      <c r="B149" s="55"/>
      <c r="C149" s="57">
        <v>7500</v>
      </c>
      <c r="D149" s="58">
        <v>8.5500000000000003E-3</v>
      </c>
      <c r="E149" s="58"/>
      <c r="F149" s="57">
        <f>IF(D53&lt;C149,D53*D149,C149*D149)</f>
        <v>0</v>
      </c>
      <c r="G149" s="37"/>
    </row>
    <row r="150" spans="1:7" ht="15" hidden="1" x14ac:dyDescent="0.25">
      <c r="A150" s="57">
        <v>7500</v>
      </c>
      <c r="B150" s="55"/>
      <c r="C150" s="57">
        <v>17500</v>
      </c>
      <c r="D150" s="58">
        <v>6.8399999999999997E-3</v>
      </c>
      <c r="E150" s="58"/>
      <c r="F150" s="55" t="str">
        <f>IF(D53&lt;=A150," ",IF(D53&lt;C150,(D53-C149)*D150,(C150-A150)*D150))</f>
        <v xml:space="preserve"> </v>
      </c>
      <c r="G150" s="37"/>
    </row>
    <row r="151" spans="1:7" ht="15" hidden="1" x14ac:dyDescent="0.25">
      <c r="A151" s="57">
        <v>17500</v>
      </c>
      <c r="B151" s="55"/>
      <c r="C151" s="57">
        <v>30000</v>
      </c>
      <c r="D151" s="58">
        <v>4.5599999999999998E-3</v>
      </c>
      <c r="E151" s="58"/>
      <c r="F151" s="55" t="str">
        <f>IF(D53&lt;=A151," ",IF(D53&lt;C151,(D53-C150)*D151,(C151-A151)*D151))</f>
        <v xml:space="preserve"> </v>
      </c>
      <c r="G151" s="37"/>
    </row>
    <row r="152" spans="1:7" ht="15" hidden="1" x14ac:dyDescent="0.25">
      <c r="A152" s="57">
        <v>30000</v>
      </c>
      <c r="B152" s="55"/>
      <c r="C152" s="57">
        <v>45495</v>
      </c>
      <c r="D152" s="58">
        <v>3.4199999999999999E-3</v>
      </c>
      <c r="E152" s="58"/>
      <c r="F152" s="55" t="str">
        <f>IF(D53&lt;=A152," ",IF(D53&lt;C152,(D53-C151)*D152,(C152-A152)*D152))</f>
        <v xml:space="preserve"> </v>
      </c>
      <c r="G152" s="37"/>
    </row>
    <row r="153" spans="1:7" ht="15" hidden="1" x14ac:dyDescent="0.25">
      <c r="A153" s="57">
        <v>45495</v>
      </c>
      <c r="B153" s="55"/>
      <c r="C153" s="57">
        <v>64095</v>
      </c>
      <c r="D153" s="58">
        <v>2.2799999999999999E-3</v>
      </c>
      <c r="E153" s="58"/>
      <c r="F153" s="55" t="str">
        <f>IF(D53&lt;=A153," ",IF(D53&lt;C153,(D53-C152)*D153,(C153-A153)*D153))</f>
        <v xml:space="preserve"> </v>
      </c>
      <c r="G153" s="37"/>
    </row>
    <row r="154" spans="1:7" ht="15" hidden="1" x14ac:dyDescent="0.25">
      <c r="A154" s="57">
        <v>64095</v>
      </c>
      <c r="B154" s="55"/>
      <c r="C154" s="57">
        <v>250095</v>
      </c>
      <c r="D154" s="58">
        <v>1.14E-3</v>
      </c>
      <c r="E154" s="58"/>
      <c r="F154" s="55" t="str">
        <f>IF(D53&lt;=A154," ",IF(D53&lt;C154,(D53-C153)*D154,(C154-A154)*D154))</f>
        <v xml:space="preserve"> </v>
      </c>
      <c r="G154" s="37"/>
    </row>
    <row r="155" spans="1:7" ht="15" hidden="1" x14ac:dyDescent="0.25">
      <c r="A155" s="57">
        <v>250095</v>
      </c>
      <c r="B155" s="55"/>
      <c r="C155" s="57">
        <f>$D$9</f>
        <v>0</v>
      </c>
      <c r="D155" s="59">
        <v>3.4200000000000002E-4</v>
      </c>
      <c r="E155" s="58"/>
      <c r="F155" s="55" t="str">
        <f>IF(D53&lt;=A155," ",IF(D53&lt;C155,(D53-C154)*D155,(C155-A155)*D155))</f>
        <v xml:space="preserve"> </v>
      </c>
      <c r="G155" s="37"/>
    </row>
    <row r="156" spans="1:7" ht="15" hidden="1" x14ac:dyDescent="0.25">
      <c r="A156" s="54">
        <v>10075000</v>
      </c>
      <c r="B156" s="54"/>
      <c r="C156" s="54">
        <f>C148</f>
        <v>0</v>
      </c>
      <c r="D156" s="59">
        <v>4.5600000000000003E-4</v>
      </c>
      <c r="E156" s="54" t="str">
        <f>IF(C148&lt;=A156," E90",IF(C148&lt;C156,(C148-C155)*D156,(C156-A156)*D156))</f>
        <v xml:space="preserve"> E90</v>
      </c>
      <c r="F156" s="37"/>
      <c r="G156" s="37"/>
    </row>
    <row r="157" spans="1:7" ht="15" hidden="1" x14ac:dyDescent="0.25">
      <c r="A157" s="56"/>
      <c r="B157" s="56"/>
      <c r="C157" s="56"/>
      <c r="D157" s="56"/>
      <c r="E157" s="56"/>
      <c r="F157" s="37"/>
      <c r="G157" s="37"/>
    </row>
    <row r="158" spans="1:7" ht="15" hidden="1" x14ac:dyDescent="0.25">
      <c r="A158" s="60" t="s">
        <v>83</v>
      </c>
      <c r="B158" s="60"/>
      <c r="C158" s="56"/>
      <c r="D158" s="56"/>
      <c r="E158" s="61">
        <f>SUM(F149:F156)</f>
        <v>0</v>
      </c>
      <c r="F158" s="37"/>
      <c r="G158" s="37"/>
    </row>
    <row r="159" spans="1:7" hidden="1" x14ac:dyDescent="0.2">
      <c r="A159" s="37"/>
      <c r="B159" s="37"/>
      <c r="C159" s="37"/>
      <c r="D159" s="37"/>
      <c r="E159" s="37"/>
      <c r="F159" s="37"/>
      <c r="G159" s="37"/>
    </row>
    <row r="160" spans="1:7" hidden="1" x14ac:dyDescent="0.2">
      <c r="A160" s="37"/>
      <c r="B160" s="37"/>
      <c r="C160" s="37"/>
      <c r="D160" s="37"/>
      <c r="E160" s="37"/>
      <c r="F160" s="37"/>
      <c r="G160" s="37"/>
    </row>
    <row r="161" spans="1:7" ht="15" hidden="1" x14ac:dyDescent="0.25">
      <c r="A161" s="53" t="s">
        <v>4</v>
      </c>
      <c r="B161" s="53"/>
      <c r="C161" s="54">
        <f>D57</f>
        <v>0</v>
      </c>
      <c r="D161" s="55"/>
      <c r="E161" s="56"/>
      <c r="F161" s="37"/>
      <c r="G161" s="37"/>
    </row>
    <row r="162" spans="1:7" ht="15" hidden="1" x14ac:dyDescent="0.25">
      <c r="A162" s="57">
        <v>0</v>
      </c>
      <c r="B162" s="55"/>
      <c r="C162" s="57">
        <v>7500</v>
      </c>
      <c r="D162" s="58">
        <v>1.7100000000000001E-2</v>
      </c>
      <c r="E162" s="58"/>
      <c r="F162" s="57">
        <f>IF(D57&lt;C162,D57*D162,C162*D162)</f>
        <v>0</v>
      </c>
      <c r="G162" s="37"/>
    </row>
    <row r="163" spans="1:7" ht="15" hidden="1" x14ac:dyDescent="0.25">
      <c r="A163" s="57">
        <v>7500</v>
      </c>
      <c r="B163" s="55"/>
      <c r="C163" s="57">
        <v>17500</v>
      </c>
      <c r="D163" s="58">
        <v>1.3679999999999999E-2</v>
      </c>
      <c r="E163" s="58"/>
      <c r="F163" s="55" t="str">
        <f>IF(D57&lt;=A163," ",IF(D57&lt;C163,(D57-C162)*D163,(C163-A163)*D163))</f>
        <v xml:space="preserve"> </v>
      </c>
      <c r="G163" s="37"/>
    </row>
    <row r="164" spans="1:7" ht="15" hidden="1" x14ac:dyDescent="0.25">
      <c r="A164" s="57">
        <v>17500</v>
      </c>
      <c r="B164" s="55"/>
      <c r="C164" s="57">
        <v>30000</v>
      </c>
      <c r="D164" s="58">
        <v>9.1199999999999996E-3</v>
      </c>
      <c r="E164" s="58"/>
      <c r="F164" s="55" t="str">
        <f>IF(D57&lt;=A164," ",IF(D57&lt;C164,(D57-C163)*D164,(C164-A164)*D164))</f>
        <v xml:space="preserve"> </v>
      </c>
      <c r="G164" s="37"/>
    </row>
    <row r="165" spans="1:7" ht="15" hidden="1" x14ac:dyDescent="0.25">
      <c r="A165" s="57">
        <v>30000</v>
      </c>
      <c r="B165" s="55"/>
      <c r="C165" s="57">
        <v>45495</v>
      </c>
      <c r="D165" s="58">
        <v>6.8399999999999997E-3</v>
      </c>
      <c r="E165" s="58"/>
      <c r="F165" s="55" t="str">
        <f>IF(D57&lt;=A165," ",IF(D57&lt;C165,(D57-C164)*D165,(C165-A165)*D165))</f>
        <v xml:space="preserve"> </v>
      </c>
      <c r="G165" s="37"/>
    </row>
    <row r="166" spans="1:7" ht="15" hidden="1" x14ac:dyDescent="0.25">
      <c r="A166" s="57">
        <v>45495</v>
      </c>
      <c r="B166" s="55"/>
      <c r="C166" s="57">
        <v>64095</v>
      </c>
      <c r="D166" s="58">
        <v>4.5599999999999998E-3</v>
      </c>
      <c r="E166" s="58"/>
      <c r="F166" s="55" t="str">
        <f>IF(D57&lt;=A166," ",IF(D57&lt;C166,(D57-C165)*D166,(C166-A166)*D166))</f>
        <v xml:space="preserve"> </v>
      </c>
      <c r="G166" s="37"/>
    </row>
    <row r="167" spans="1:7" ht="15" hidden="1" x14ac:dyDescent="0.25">
      <c r="A167" s="57">
        <v>64095</v>
      </c>
      <c r="B167" s="55"/>
      <c r="C167" s="57">
        <v>250095</v>
      </c>
      <c r="D167" s="58">
        <v>2.2799999999999999E-3</v>
      </c>
      <c r="E167" s="58"/>
      <c r="F167" s="55" t="str">
        <f>IF(D57&lt;=A167," ",IF(D57&lt;C167,(D57-C166)*D167,(C167-A167)*D167))</f>
        <v xml:space="preserve"> </v>
      </c>
      <c r="G167" s="37"/>
    </row>
    <row r="168" spans="1:7" ht="15" hidden="1" x14ac:dyDescent="0.25">
      <c r="A168" s="57">
        <v>250095</v>
      </c>
      <c r="B168" s="55"/>
      <c r="C168" s="57">
        <f>$D$9</f>
        <v>0</v>
      </c>
      <c r="D168" s="59">
        <v>4.5600000000000003E-4</v>
      </c>
      <c r="E168" s="58"/>
      <c r="F168" s="55" t="str">
        <f>IF(D57&lt;=A168," ",IF(D57&lt;C168,(D57-C167)*D168,(C168-A168)*D168))</f>
        <v xml:space="preserve"> </v>
      </c>
      <c r="G168" s="37"/>
    </row>
    <row r="169" spans="1:7" ht="15" hidden="1" x14ac:dyDescent="0.25">
      <c r="A169" s="54">
        <v>10075000</v>
      </c>
      <c r="B169" s="54"/>
      <c r="C169" s="54">
        <f>C161</f>
        <v>0</v>
      </c>
      <c r="D169" s="59">
        <v>4.5600000000000003E-4</v>
      </c>
      <c r="E169" s="54" t="str">
        <f>IF(C161&lt;=A169," E90",IF(C161&lt;C169,(C161-C168)*D169,(C169-A169)*D169))</f>
        <v xml:space="preserve"> E90</v>
      </c>
      <c r="F169" s="37"/>
      <c r="G169" s="37"/>
    </row>
    <row r="170" spans="1:7" ht="15" hidden="1" x14ac:dyDescent="0.25">
      <c r="A170" s="56"/>
      <c r="B170" s="56"/>
      <c r="C170" s="56"/>
      <c r="D170" s="56"/>
      <c r="E170" s="56"/>
      <c r="F170" s="37"/>
      <c r="G170" s="37"/>
    </row>
    <row r="171" spans="1:7" ht="15" hidden="1" x14ac:dyDescent="0.25">
      <c r="A171" s="60" t="s">
        <v>83</v>
      </c>
      <c r="B171" s="60"/>
      <c r="C171" s="56"/>
      <c r="D171" s="56"/>
      <c r="E171" s="61">
        <f>SUM(F162:F169)</f>
        <v>0</v>
      </c>
      <c r="F171" s="37"/>
      <c r="G171" s="37"/>
    </row>
    <row r="172" spans="1:7" hidden="1" x14ac:dyDescent="0.2">
      <c r="A172" s="37"/>
      <c r="B172" s="37"/>
      <c r="C172" s="37"/>
      <c r="D172" s="37"/>
      <c r="E172" s="37"/>
      <c r="F172" s="37"/>
      <c r="G172" s="37"/>
    </row>
    <row r="173" spans="1:7" hidden="1" x14ac:dyDescent="0.2">
      <c r="A173" s="37"/>
      <c r="B173" s="37"/>
      <c r="C173" s="37"/>
      <c r="D173" s="37"/>
      <c r="E173" s="37"/>
      <c r="F173" s="37"/>
      <c r="G173" s="37"/>
    </row>
    <row r="174" spans="1:7" ht="15" hidden="1" x14ac:dyDescent="0.25">
      <c r="A174" s="53" t="s">
        <v>4</v>
      </c>
      <c r="B174" s="53"/>
      <c r="C174" s="54">
        <f>D53</f>
        <v>0</v>
      </c>
      <c r="D174" s="55"/>
      <c r="E174" s="56"/>
      <c r="F174" s="37"/>
      <c r="G174" s="37"/>
    </row>
    <row r="175" spans="1:7" ht="15" hidden="1" x14ac:dyDescent="0.25">
      <c r="A175" s="57">
        <v>0</v>
      </c>
      <c r="B175" s="55"/>
      <c r="C175" s="57">
        <v>7500</v>
      </c>
      <c r="D175" s="58">
        <v>1.7100000000000001E-2</v>
      </c>
      <c r="E175" s="58"/>
      <c r="F175" s="57">
        <f>IF(D53&lt;C175,D53*D175,C175*D175)</f>
        <v>0</v>
      </c>
      <c r="G175" s="37"/>
    </row>
    <row r="176" spans="1:7" ht="15" hidden="1" x14ac:dyDescent="0.25">
      <c r="A176" s="57">
        <v>7500</v>
      </c>
      <c r="B176" s="55"/>
      <c r="C176" s="57">
        <v>17500</v>
      </c>
      <c r="D176" s="58">
        <v>1.3679999999999999E-2</v>
      </c>
      <c r="E176" s="58"/>
      <c r="F176" s="55" t="str">
        <f>IF(D53&lt;=A176," ",IF(D53&lt;C176,(D53-C175)*D176,(C176-A176)*D176))</f>
        <v xml:space="preserve"> </v>
      </c>
      <c r="G176" s="37"/>
    </row>
    <row r="177" spans="1:23" ht="15" hidden="1" x14ac:dyDescent="0.25">
      <c r="A177" s="57">
        <v>17500</v>
      </c>
      <c r="B177" s="55"/>
      <c r="C177" s="57">
        <v>30000</v>
      </c>
      <c r="D177" s="58">
        <v>9.1199999999999996E-3</v>
      </c>
      <c r="E177" s="58"/>
      <c r="F177" s="55" t="str">
        <f>IF(D53&lt;=A177," ",IF(D53&lt;C177,(D53-C176)*D177,(C177-A177)*D177))</f>
        <v xml:space="preserve"> </v>
      </c>
      <c r="G177" s="37"/>
    </row>
    <row r="178" spans="1:23" ht="15" hidden="1" x14ac:dyDescent="0.25">
      <c r="A178" s="57">
        <v>30000</v>
      </c>
      <c r="B178" s="55"/>
      <c r="C178" s="57">
        <v>45495</v>
      </c>
      <c r="D178" s="58">
        <v>6.8399999999999997E-3</v>
      </c>
      <c r="E178" s="58"/>
      <c r="F178" s="55" t="str">
        <f>IF(D53&lt;=A178," ",IF(D53&lt;C178,(D53-C177)*D178,(C178-A178)*D178))</f>
        <v xml:space="preserve"> </v>
      </c>
      <c r="G178" s="37"/>
    </row>
    <row r="179" spans="1:23" ht="15" hidden="1" x14ac:dyDescent="0.25">
      <c r="A179" s="57">
        <v>45495</v>
      </c>
      <c r="B179" s="55"/>
      <c r="C179" s="57">
        <v>64095</v>
      </c>
      <c r="D179" s="58">
        <v>4.5599999999999998E-3</v>
      </c>
      <c r="E179" s="58"/>
      <c r="F179" s="55" t="str">
        <f>IF(D53&lt;=A179," ",IF(D53&lt;C179,(D53-C178)*D179,(C179-A179)*D179))</f>
        <v xml:space="preserve"> </v>
      </c>
      <c r="G179" s="37"/>
    </row>
    <row r="180" spans="1:23" ht="15" hidden="1" x14ac:dyDescent="0.25">
      <c r="A180" s="57">
        <v>64095</v>
      </c>
      <c r="B180" s="55"/>
      <c r="C180" s="57">
        <v>250095</v>
      </c>
      <c r="D180" s="58">
        <v>2.2799999999999999E-3</v>
      </c>
      <c r="E180" s="58"/>
      <c r="F180" s="55" t="str">
        <f>IF(D53&lt;=A180," ",IF(D53&lt;C180,(D53-C179)*D180,(C180-A180)*D180))</f>
        <v xml:space="preserve"> </v>
      </c>
      <c r="G180" s="37"/>
    </row>
    <row r="181" spans="1:23" ht="15" hidden="1" x14ac:dyDescent="0.25">
      <c r="A181" s="57">
        <v>250095</v>
      </c>
      <c r="B181" s="55"/>
      <c r="C181" s="57">
        <f>$D$9</f>
        <v>0</v>
      </c>
      <c r="D181" s="59">
        <v>4.5600000000000003E-4</v>
      </c>
      <c r="E181" s="58"/>
      <c r="F181" s="55" t="str">
        <f>IF(D53&lt;=A181," ",IF(D53&lt;C181,(D53-C180)*D181,(C181-A181)*D181))</f>
        <v xml:space="preserve"> </v>
      </c>
      <c r="G181" s="37"/>
    </row>
    <row r="182" spans="1:23" ht="15" hidden="1" x14ac:dyDescent="0.25">
      <c r="A182" s="54">
        <v>10075000</v>
      </c>
      <c r="B182" s="54"/>
      <c r="C182" s="54">
        <f>C174</f>
        <v>0</v>
      </c>
      <c r="D182" s="59">
        <v>4.5600000000000003E-4</v>
      </c>
      <c r="E182" s="54" t="str">
        <f>IF(C174&lt;=A182," E90",IF(C174&lt;C182,(C174-C181)*D182,(C182-A182)*D182))</f>
        <v xml:space="preserve"> E90</v>
      </c>
      <c r="F182" s="37"/>
      <c r="G182" s="37"/>
    </row>
    <row r="183" spans="1:23" ht="15" hidden="1" x14ac:dyDescent="0.25">
      <c r="A183" s="56"/>
      <c r="B183" s="56"/>
      <c r="C183" s="56"/>
      <c r="D183" s="56"/>
      <c r="E183" s="56"/>
      <c r="F183" s="37"/>
      <c r="G183" s="37"/>
    </row>
    <row r="184" spans="1:23" ht="15" hidden="1" x14ac:dyDescent="0.25">
      <c r="A184" s="60" t="s">
        <v>83</v>
      </c>
      <c r="B184" s="60"/>
      <c r="C184" s="56"/>
      <c r="D184" s="56"/>
      <c r="E184" s="61">
        <f>SUM(F175:F182)</f>
        <v>0</v>
      </c>
      <c r="F184" s="37"/>
      <c r="G184" s="37"/>
    </row>
    <row r="185" spans="1:23" hidden="1" x14ac:dyDescent="0.2"/>
    <row r="186" spans="1:23" hidden="1" x14ac:dyDescent="0.2">
      <c r="D186" s="24"/>
    </row>
    <row r="187" spans="1:23" hidden="1" x14ac:dyDescent="0.2">
      <c r="B187" s="46"/>
      <c r="C187" s="46"/>
      <c r="D187" s="46"/>
      <c r="E187" s="46"/>
      <c r="F187" s="46"/>
      <c r="G187" s="46"/>
      <c r="H187" s="46"/>
      <c r="I187" s="46"/>
      <c r="J187" s="46"/>
      <c r="K187" s="46"/>
      <c r="L187" s="46"/>
      <c r="M187" s="46"/>
      <c r="N187" s="46"/>
      <c r="O187" s="46"/>
      <c r="P187" s="46"/>
      <c r="Q187" s="46"/>
      <c r="R187" s="46"/>
      <c r="S187" s="46"/>
      <c r="T187" s="46"/>
      <c r="U187" s="46"/>
      <c r="V187" s="46"/>
      <c r="W187" s="46"/>
    </row>
    <row r="188" spans="1:23" hidden="1" x14ac:dyDescent="0.2">
      <c r="A188" s="4" t="s">
        <v>40</v>
      </c>
      <c r="B188" s="46" t="s">
        <v>40</v>
      </c>
      <c r="C188" s="46" t="s">
        <v>10</v>
      </c>
      <c r="D188" s="46" t="s">
        <v>10</v>
      </c>
      <c r="E188" s="46">
        <f>IF(B36*33-33&lt;0,0,B36*33-33)</f>
        <v>0</v>
      </c>
      <c r="F188" s="46"/>
      <c r="G188" s="46" t="s">
        <v>10</v>
      </c>
      <c r="H188" s="46"/>
      <c r="I188" s="46"/>
      <c r="J188" s="46"/>
      <c r="K188" s="46"/>
      <c r="L188" s="46"/>
      <c r="M188" s="46"/>
      <c r="N188" s="46"/>
      <c r="O188" s="46"/>
      <c r="P188" s="46"/>
      <c r="Q188" s="46"/>
      <c r="R188" s="46"/>
      <c r="S188" s="46"/>
      <c r="T188" s="46"/>
      <c r="U188" s="46"/>
      <c r="V188" s="46"/>
      <c r="W188" s="46"/>
    </row>
    <row r="189" spans="1:23" ht="15.75" hidden="1" x14ac:dyDescent="0.25">
      <c r="A189" s="62" t="s">
        <v>41</v>
      </c>
      <c r="B189" s="62" t="s">
        <v>42</v>
      </c>
      <c r="C189" s="46" t="s">
        <v>7</v>
      </c>
      <c r="D189" s="46" t="s">
        <v>7</v>
      </c>
      <c r="E189" s="46"/>
      <c r="F189" s="46"/>
      <c r="G189" s="46" t="s">
        <v>7</v>
      </c>
      <c r="H189" s="46"/>
      <c r="I189" s="46"/>
      <c r="J189" s="46"/>
      <c r="K189" s="46"/>
      <c r="L189" s="46"/>
      <c r="M189" s="46"/>
      <c r="N189" s="46"/>
      <c r="O189" s="46"/>
      <c r="P189" s="46"/>
      <c r="Q189" s="46"/>
      <c r="R189" s="46"/>
      <c r="S189" s="46"/>
      <c r="T189" s="46"/>
      <c r="U189" s="46"/>
      <c r="V189" s="46"/>
      <c r="W189" s="46"/>
    </row>
    <row r="190" spans="1:23" ht="15.75" hidden="1" x14ac:dyDescent="0.25">
      <c r="A190" s="62" t="s">
        <v>43</v>
      </c>
      <c r="B190" s="62" t="s">
        <v>44</v>
      </c>
      <c r="C190" s="46"/>
      <c r="D190" s="46"/>
      <c r="E190" s="46"/>
      <c r="F190" s="46"/>
      <c r="G190" s="46"/>
      <c r="H190" s="46"/>
      <c r="I190" s="46"/>
      <c r="J190" s="46"/>
      <c r="K190" s="46"/>
      <c r="L190" s="46"/>
      <c r="M190" s="46"/>
      <c r="N190" s="46"/>
      <c r="O190" s="46"/>
      <c r="P190" s="46"/>
      <c r="Q190" s="46"/>
      <c r="R190" s="46"/>
      <c r="S190" s="46"/>
      <c r="T190" s="46"/>
      <c r="U190" s="46"/>
      <c r="V190" s="46"/>
      <c r="W190" s="46"/>
    </row>
    <row r="191" spans="1:23" ht="15.75" hidden="1" x14ac:dyDescent="0.25">
      <c r="A191" s="62" t="s">
        <v>45</v>
      </c>
      <c r="B191" s="62" t="s">
        <v>46</v>
      </c>
      <c r="C191" s="63">
        <f>B7*12.5/100</f>
        <v>0</v>
      </c>
      <c r="D191" s="46"/>
      <c r="E191" s="46"/>
      <c r="F191" s="46"/>
      <c r="G191" s="46"/>
      <c r="H191" s="46"/>
      <c r="I191" s="46"/>
      <c r="J191" s="46"/>
      <c r="K191" s="46"/>
      <c r="L191" s="46"/>
      <c r="M191" s="46"/>
      <c r="N191" s="46"/>
      <c r="O191" s="46"/>
      <c r="P191" s="46"/>
      <c r="Q191" s="46"/>
      <c r="R191" s="46"/>
      <c r="S191" s="46"/>
      <c r="T191" s="46"/>
      <c r="U191" s="46"/>
      <c r="V191" s="46"/>
      <c r="W191" s="46"/>
    </row>
    <row r="192" spans="1:23" ht="15.75" hidden="1" x14ac:dyDescent="0.25">
      <c r="A192" s="62" t="s">
        <v>47</v>
      </c>
      <c r="B192" s="62" t="s">
        <v>48</v>
      </c>
      <c r="C192" s="46">
        <f>B7*10%</f>
        <v>0</v>
      </c>
      <c r="D192" s="46"/>
      <c r="E192" s="46"/>
      <c r="F192" s="46"/>
      <c r="G192" s="46"/>
      <c r="H192" s="46"/>
      <c r="I192" s="46"/>
      <c r="J192" s="46"/>
      <c r="K192" s="46"/>
      <c r="L192" s="46"/>
      <c r="M192" s="46"/>
      <c r="N192" s="46"/>
      <c r="O192" s="46"/>
      <c r="P192" s="46"/>
      <c r="Q192" s="46"/>
      <c r="R192" s="46"/>
      <c r="S192" s="46"/>
      <c r="T192" s="46"/>
      <c r="U192" s="46"/>
      <c r="V192" s="46"/>
      <c r="W192" s="46"/>
    </row>
    <row r="193" spans="1:23" ht="15.75" hidden="1" x14ac:dyDescent="0.25">
      <c r="A193" s="62" t="s">
        <v>49</v>
      </c>
      <c r="B193" s="62" t="s">
        <v>50</v>
      </c>
      <c r="C193" s="46">
        <f>IF(B7&gt;195695.88,11741.75+(B7-195695.88)*12.5%,B7*6%)</f>
        <v>0</v>
      </c>
      <c r="D193" s="46">
        <f>IF(B7&gt;204917.15,12295.03+(B7-204917.15)*12.5%,B7*6%)</f>
        <v>0</v>
      </c>
      <c r="E193" s="46">
        <f>IF(B7&gt;215163,12909.78+(B7-215163)*12.5%,B7*6%)</f>
        <v>0</v>
      </c>
      <c r="F193" s="46"/>
      <c r="G193" s="46"/>
      <c r="H193" s="46"/>
      <c r="I193" s="46"/>
      <c r="J193" s="46"/>
      <c r="K193" s="46"/>
      <c r="L193" s="46"/>
      <c r="M193" s="46"/>
      <c r="N193" s="46"/>
      <c r="O193" s="46"/>
      <c r="P193" s="46"/>
      <c r="Q193" s="46"/>
      <c r="R193" s="46"/>
      <c r="S193" s="46"/>
      <c r="T193" s="46"/>
      <c r="U193" s="46"/>
      <c r="V193" s="46"/>
      <c r="W193" s="46"/>
    </row>
    <row r="194" spans="1:23" ht="15.75" hidden="1" x14ac:dyDescent="0.25">
      <c r="A194" s="62" t="s">
        <v>51</v>
      </c>
      <c r="B194" s="62" t="s">
        <v>52</v>
      </c>
      <c r="C194" s="46">
        <f>IF(B7&gt;195695.88,9784.79+(B7-195695.88)*10%,B7*5%)</f>
        <v>0</v>
      </c>
      <c r="D194" s="46">
        <f>IF(B7&gt;204917.15,10245.86+(B7-204917.15)*10%,B7*5%)</f>
        <v>0</v>
      </c>
      <c r="E194" s="46">
        <f>IF(B7&gt;215163,10758.15+(B7-215163)*10%,B7*5%)</f>
        <v>0</v>
      </c>
      <c r="F194" s="46"/>
      <c r="G194" s="46"/>
      <c r="H194" s="46"/>
      <c r="I194" s="46"/>
      <c r="J194" s="46"/>
      <c r="K194" s="46"/>
      <c r="L194" s="46"/>
      <c r="M194" s="46"/>
      <c r="N194" s="46"/>
      <c r="O194" s="46"/>
      <c r="P194" s="46"/>
      <c r="Q194" s="46"/>
      <c r="R194" s="46"/>
      <c r="S194" s="46"/>
      <c r="T194" s="46"/>
      <c r="U194" s="46"/>
      <c r="V194" s="46"/>
      <c r="W194" s="46"/>
    </row>
    <row r="195" spans="1:23" ht="15.75" hidden="1" x14ac:dyDescent="0.25">
      <c r="A195" s="62" t="s">
        <v>53</v>
      </c>
      <c r="B195" s="62" t="s">
        <v>54</v>
      </c>
      <c r="C195" s="46"/>
      <c r="D195" s="46"/>
      <c r="E195" s="46"/>
      <c r="F195" s="46"/>
      <c r="G195" s="46"/>
      <c r="H195" s="46"/>
      <c r="I195" s="46"/>
      <c r="J195" s="46"/>
      <c r="K195" s="46"/>
      <c r="L195" s="46"/>
      <c r="M195" s="46"/>
      <c r="N195" s="46"/>
      <c r="O195" s="46"/>
      <c r="P195" s="46"/>
      <c r="Q195" s="46"/>
      <c r="R195" s="46"/>
      <c r="S195" s="46"/>
      <c r="T195" s="46"/>
      <c r="U195" s="46"/>
      <c r="V195" s="46"/>
      <c r="W195" s="46"/>
    </row>
    <row r="196" spans="1:23" ht="15.75" hidden="1" x14ac:dyDescent="0.25">
      <c r="A196" s="62" t="s">
        <v>55</v>
      </c>
      <c r="B196" s="62" t="s">
        <v>56</v>
      </c>
      <c r="C196" s="46">
        <f>IF(B10="ja",C192,C191)</f>
        <v>0</v>
      </c>
      <c r="D196" s="46"/>
      <c r="E196" s="46" t="s">
        <v>28</v>
      </c>
      <c r="F196" s="46" t="s">
        <v>28</v>
      </c>
      <c r="G196" s="46" t="s">
        <v>28</v>
      </c>
      <c r="H196" s="46" t="s">
        <v>28</v>
      </c>
      <c r="I196" s="46"/>
      <c r="J196" s="46"/>
      <c r="K196" s="46"/>
      <c r="L196" s="46"/>
      <c r="M196" s="46"/>
      <c r="N196" s="46"/>
      <c r="O196" s="46"/>
      <c r="P196" s="46"/>
      <c r="Q196" s="46"/>
      <c r="R196" s="46"/>
      <c r="S196" s="46"/>
      <c r="T196" s="46"/>
      <c r="U196" s="46"/>
      <c r="V196" s="46"/>
      <c r="W196" s="46"/>
    </row>
    <row r="197" spans="1:23" ht="15.75" hidden="1" x14ac:dyDescent="0.25">
      <c r="A197" s="62" t="s">
        <v>57</v>
      </c>
      <c r="B197" s="62" t="s">
        <v>58</v>
      </c>
      <c r="C197" s="46">
        <f>IF(C6="ja",C198,C196)</f>
        <v>0</v>
      </c>
      <c r="D197" s="46"/>
      <c r="E197" s="46" t="s">
        <v>59</v>
      </c>
      <c r="F197" s="46" t="s">
        <v>59</v>
      </c>
      <c r="G197" s="46" t="s">
        <v>59</v>
      </c>
      <c r="H197" s="46" t="s">
        <v>59</v>
      </c>
      <c r="I197" s="46"/>
      <c r="J197" s="46"/>
      <c r="K197" s="46"/>
      <c r="L197" s="46"/>
      <c r="M197" s="46"/>
      <c r="N197" s="46"/>
      <c r="O197" s="46"/>
      <c r="P197" s="46"/>
      <c r="Q197" s="46"/>
      <c r="R197" s="46"/>
      <c r="S197" s="46"/>
      <c r="T197" s="46"/>
      <c r="U197" s="46"/>
      <c r="V197" s="46"/>
      <c r="W197" s="46"/>
    </row>
    <row r="198" spans="1:23" ht="15.75" hidden="1" x14ac:dyDescent="0.25">
      <c r="A198" s="62" t="s">
        <v>60</v>
      </c>
      <c r="B198" s="62" t="s">
        <v>61</v>
      </c>
      <c r="C198" s="46">
        <f>IF(B10="ja",C201,C199)</f>
        <v>0</v>
      </c>
      <c r="D198" s="46"/>
      <c r="E198" s="46"/>
      <c r="F198" s="46"/>
      <c r="G198" s="46"/>
      <c r="H198" s="46"/>
      <c r="I198" s="46"/>
      <c r="J198" s="46"/>
      <c r="K198" s="46"/>
      <c r="L198" s="46"/>
      <c r="M198" s="46"/>
      <c r="N198" s="46"/>
      <c r="O198" s="46"/>
      <c r="P198" s="46"/>
      <c r="Q198" s="46"/>
      <c r="R198" s="46"/>
      <c r="S198" s="46"/>
      <c r="T198" s="46"/>
      <c r="U198" s="46"/>
      <c r="V198" s="46"/>
      <c r="W198" s="46"/>
    </row>
    <row r="199" spans="1:23" ht="15.75" hidden="1" x14ac:dyDescent="0.25">
      <c r="A199" s="62" t="s">
        <v>62</v>
      </c>
      <c r="B199" s="62" t="s">
        <v>63</v>
      </c>
      <c r="C199" s="46">
        <f>IF(AND(C8="NVT",C9="NVT"),C193,C200)</f>
        <v>0</v>
      </c>
      <c r="D199" s="46"/>
      <c r="E199" s="46"/>
      <c r="F199" s="46"/>
      <c r="G199" s="46" t="s">
        <v>28</v>
      </c>
      <c r="H199" s="46"/>
      <c r="I199" s="46"/>
      <c r="J199" s="46"/>
      <c r="K199" s="46"/>
      <c r="L199" s="46"/>
      <c r="M199" s="46"/>
      <c r="N199" s="46"/>
      <c r="O199" s="46"/>
      <c r="P199" s="46"/>
      <c r="Q199" s="46"/>
      <c r="R199" s="46"/>
      <c r="S199" s="46"/>
      <c r="T199" s="46"/>
      <c r="U199" s="46"/>
      <c r="V199" s="46"/>
      <c r="W199" s="46"/>
    </row>
    <row r="200" spans="1:23" ht="15.75" hidden="1" x14ac:dyDescent="0.25">
      <c r="A200" s="62" t="s">
        <v>64</v>
      </c>
      <c r="B200" s="62" t="s">
        <v>65</v>
      </c>
      <c r="C200" s="46">
        <f>IF(C8="NVT",D193,E193)</f>
        <v>0</v>
      </c>
      <c r="D200" s="46"/>
      <c r="E200" s="46">
        <f>IF(C34="koper",D34,0)</f>
        <v>0</v>
      </c>
      <c r="F200" s="46">
        <f>IF(C34="koper",D34*21%,0)</f>
        <v>0</v>
      </c>
      <c r="G200" s="46" t="s">
        <v>59</v>
      </c>
      <c r="H200" s="46"/>
      <c r="I200" s="46"/>
      <c r="J200" s="46"/>
      <c r="K200" s="46"/>
      <c r="L200" s="46"/>
      <c r="M200" s="46"/>
      <c r="N200" s="46"/>
      <c r="O200" s="46"/>
      <c r="P200" s="46"/>
      <c r="Q200" s="46"/>
      <c r="R200" s="46"/>
      <c r="S200" s="46"/>
      <c r="T200" s="46"/>
      <c r="U200" s="46"/>
      <c r="V200" s="46"/>
      <c r="W200" s="46"/>
    </row>
    <row r="201" spans="1:23" ht="15.75" hidden="1" x14ac:dyDescent="0.25">
      <c r="A201" s="62" t="s">
        <v>66</v>
      </c>
      <c r="B201" s="62" t="s">
        <v>67</v>
      </c>
      <c r="C201" s="46">
        <f>IF(AND(C8="NVT",C9="NVT"),C194,C202)</f>
        <v>0</v>
      </c>
      <c r="D201" s="46"/>
      <c r="E201" s="46">
        <f>IF(C35="koper",D35,0)</f>
        <v>0</v>
      </c>
      <c r="F201" s="46">
        <f>IF(C36="koper",D36*21%,0)</f>
        <v>0</v>
      </c>
      <c r="G201" s="46"/>
      <c r="H201" s="46"/>
      <c r="I201" s="46"/>
      <c r="J201" s="46"/>
      <c r="K201" s="46"/>
      <c r="L201" s="46"/>
      <c r="M201" s="46"/>
      <c r="N201" s="46"/>
      <c r="O201" s="46"/>
      <c r="P201" s="46"/>
      <c r="Q201" s="46"/>
      <c r="R201" s="46"/>
      <c r="S201" s="46"/>
      <c r="T201" s="46"/>
      <c r="U201" s="46"/>
      <c r="V201" s="46"/>
      <c r="W201" s="46"/>
    </row>
    <row r="202" spans="1:23" ht="15.75" hidden="1" x14ac:dyDescent="0.25">
      <c r="A202" s="62" t="s">
        <v>68</v>
      </c>
      <c r="B202" s="62" t="s">
        <v>69</v>
      </c>
      <c r="C202" s="46">
        <f>IF(C8="NVT",D194,E194)</f>
        <v>0</v>
      </c>
      <c r="D202" s="46"/>
      <c r="E202" s="46">
        <f>IF(C36="koper",D36,0)</f>
        <v>0</v>
      </c>
      <c r="F202" s="46">
        <f>IF(C37="koper",D37*21%,0)</f>
        <v>0</v>
      </c>
      <c r="G202" s="46"/>
      <c r="H202" s="46"/>
      <c r="I202" s="46"/>
      <c r="J202" s="46"/>
      <c r="K202" s="46"/>
      <c r="L202" s="46"/>
      <c r="M202" s="46"/>
      <c r="N202" s="46"/>
      <c r="O202" s="46"/>
      <c r="P202" s="46"/>
      <c r="Q202" s="46"/>
      <c r="R202" s="46"/>
      <c r="S202" s="46"/>
      <c r="T202" s="46"/>
      <c r="U202" s="46"/>
      <c r="V202" s="46"/>
      <c r="W202" s="46"/>
    </row>
    <row r="203" spans="1:23" ht="15.75" hidden="1" x14ac:dyDescent="0.25">
      <c r="A203" s="62" t="s">
        <v>70</v>
      </c>
      <c r="B203" s="62" t="s">
        <v>71</v>
      </c>
      <c r="C203" s="46"/>
      <c r="D203" s="46"/>
      <c r="E203" s="46">
        <f>IF(C37="koper",D37,0)</f>
        <v>0</v>
      </c>
      <c r="F203" s="46">
        <f>SUM(F200:F202)</f>
        <v>0</v>
      </c>
      <c r="G203" s="46"/>
      <c r="H203" s="46"/>
      <c r="I203" s="46"/>
      <c r="J203" s="46"/>
      <c r="K203" s="46"/>
      <c r="L203" s="46"/>
      <c r="M203" s="46"/>
      <c r="N203" s="46"/>
      <c r="O203" s="46"/>
      <c r="P203" s="46"/>
      <c r="Q203" s="46"/>
      <c r="R203" s="46"/>
      <c r="S203" s="46"/>
      <c r="T203" s="46"/>
      <c r="U203" s="46"/>
      <c r="V203" s="46"/>
      <c r="W203" s="46"/>
    </row>
    <row r="204" spans="1:23" ht="15.75" hidden="1" x14ac:dyDescent="0.25">
      <c r="A204" s="62" t="s">
        <v>72</v>
      </c>
      <c r="B204" s="62" t="s">
        <v>73</v>
      </c>
      <c r="C204" s="46"/>
      <c r="D204" s="46"/>
      <c r="E204" s="46">
        <f>SUM(E200:E203)</f>
        <v>0</v>
      </c>
      <c r="F204" s="46"/>
      <c r="G204" s="46"/>
      <c r="H204" s="46"/>
      <c r="I204" s="46"/>
      <c r="J204" s="46"/>
      <c r="K204" s="46"/>
      <c r="L204" s="46"/>
      <c r="M204" s="46"/>
      <c r="N204" s="46"/>
      <c r="O204" s="46"/>
      <c r="P204" s="46"/>
      <c r="Q204" s="46"/>
      <c r="R204" s="46"/>
      <c r="S204" s="46"/>
      <c r="T204" s="46"/>
      <c r="U204" s="46"/>
      <c r="V204" s="46"/>
      <c r="W204" s="46"/>
    </row>
    <row r="205" spans="1:23" ht="15.75" hidden="1" x14ac:dyDescent="0.25">
      <c r="A205" s="62" t="s">
        <v>74</v>
      </c>
      <c r="B205" s="62" t="s">
        <v>75</v>
      </c>
      <c r="C205" s="46"/>
      <c r="D205" s="46"/>
      <c r="E205" s="46"/>
      <c r="F205" s="46"/>
      <c r="G205" s="46"/>
      <c r="H205" s="46"/>
      <c r="I205" s="46"/>
      <c r="J205" s="46"/>
      <c r="K205" s="46"/>
      <c r="L205" s="46"/>
      <c r="M205" s="46"/>
      <c r="N205" s="46"/>
      <c r="O205" s="46"/>
      <c r="P205" s="46"/>
      <c r="Q205" s="46"/>
      <c r="R205" s="46"/>
      <c r="S205" s="46"/>
      <c r="T205" s="46"/>
      <c r="U205" s="46"/>
      <c r="V205" s="46"/>
      <c r="W205" s="46"/>
    </row>
    <row r="206" spans="1:23" ht="15.75" hidden="1" x14ac:dyDescent="0.25">
      <c r="A206" s="62" t="s">
        <v>76</v>
      </c>
      <c r="B206" s="46"/>
      <c r="C206" s="46"/>
      <c r="D206" s="46"/>
      <c r="E206" s="46">
        <f>IF(C34="verkoper",D34,0)</f>
        <v>0</v>
      </c>
      <c r="F206" s="46"/>
      <c r="G206" s="46"/>
      <c r="H206" s="46"/>
      <c r="I206" s="46"/>
      <c r="J206" s="46"/>
      <c r="K206" s="46"/>
      <c r="L206" s="46"/>
      <c r="M206" s="46"/>
      <c r="N206" s="46"/>
      <c r="O206" s="46"/>
      <c r="P206" s="46"/>
      <c r="Q206" s="46"/>
      <c r="R206" s="46"/>
      <c r="S206" s="46"/>
      <c r="T206" s="46"/>
      <c r="U206" s="46"/>
      <c r="V206" s="46"/>
      <c r="W206" s="46"/>
    </row>
    <row r="207" spans="1:23" ht="15.75" hidden="1" x14ac:dyDescent="0.25">
      <c r="A207" s="62" t="s">
        <v>77</v>
      </c>
      <c r="B207" s="46"/>
      <c r="C207" s="46"/>
      <c r="D207" s="46"/>
      <c r="E207" s="46">
        <f>IF(C35="verkoper",D35,0)</f>
        <v>0</v>
      </c>
      <c r="F207" s="46">
        <f>IF(C34="verkoper",D34*21%,0)</f>
        <v>0</v>
      </c>
      <c r="G207" s="46"/>
      <c r="H207" s="46"/>
      <c r="I207" s="46"/>
      <c r="J207" s="46"/>
      <c r="K207" s="46"/>
      <c r="L207" s="46"/>
      <c r="M207" s="46"/>
      <c r="N207" s="46"/>
      <c r="O207" s="46"/>
      <c r="P207" s="46"/>
      <c r="Q207" s="46"/>
      <c r="R207" s="46"/>
      <c r="S207" s="46"/>
      <c r="T207" s="46"/>
      <c r="U207" s="46"/>
      <c r="V207" s="46"/>
      <c r="W207" s="46"/>
    </row>
    <row r="208" spans="1:23" ht="15.75" hidden="1" x14ac:dyDescent="0.25">
      <c r="A208" s="62" t="s">
        <v>78</v>
      </c>
      <c r="B208" s="46"/>
      <c r="C208" s="46"/>
      <c r="D208" s="46"/>
      <c r="E208" s="46">
        <f>IF(C36="verkoper",D36,0)</f>
        <v>0</v>
      </c>
      <c r="F208" s="46">
        <f>IF(C36="verkoper",D36*21%,0)</f>
        <v>0</v>
      </c>
      <c r="G208" s="46"/>
      <c r="H208" s="46"/>
      <c r="I208" s="46"/>
      <c r="J208" s="46"/>
      <c r="K208" s="46"/>
      <c r="L208" s="46"/>
      <c r="M208" s="46"/>
      <c r="N208" s="46"/>
      <c r="O208" s="46"/>
      <c r="P208" s="46"/>
      <c r="Q208" s="46"/>
      <c r="R208" s="46"/>
      <c r="S208" s="46"/>
      <c r="T208" s="46"/>
      <c r="U208" s="46"/>
      <c r="V208" s="46"/>
      <c r="W208" s="46"/>
    </row>
    <row r="209" spans="1:23" hidden="1" x14ac:dyDescent="0.2">
      <c r="B209" s="46"/>
      <c r="C209" s="46"/>
      <c r="D209" s="46"/>
      <c r="E209" s="46">
        <f>IF(C37="verkoper",D37,0)</f>
        <v>0</v>
      </c>
      <c r="F209" s="46">
        <f>IF(C37="verkoper",D37*21%,0)</f>
        <v>0</v>
      </c>
      <c r="G209" s="46"/>
      <c r="H209" s="46"/>
      <c r="I209" s="46"/>
      <c r="J209" s="46"/>
      <c r="K209" s="46"/>
      <c r="L209" s="46"/>
      <c r="M209" s="46"/>
      <c r="N209" s="46"/>
      <c r="O209" s="46"/>
      <c r="P209" s="46"/>
      <c r="Q209" s="46"/>
      <c r="R209" s="46"/>
      <c r="S209" s="46"/>
      <c r="T209" s="46"/>
      <c r="U209" s="46"/>
      <c r="V209" s="46"/>
      <c r="W209" s="46"/>
    </row>
    <row r="210" spans="1:23" hidden="1" x14ac:dyDescent="0.2">
      <c r="A210" s="64"/>
      <c r="B210" s="46"/>
      <c r="C210" s="46"/>
      <c r="D210" s="46"/>
      <c r="E210" s="46">
        <f>SUM(E206:E209)</f>
        <v>0</v>
      </c>
      <c r="F210" s="46">
        <f>SUM(F207:F209)</f>
        <v>0</v>
      </c>
      <c r="G210" s="46"/>
      <c r="H210" s="46"/>
      <c r="I210" s="46"/>
      <c r="J210" s="46"/>
      <c r="K210" s="46"/>
      <c r="L210" s="46"/>
      <c r="M210" s="46"/>
      <c r="N210" s="46"/>
      <c r="O210" s="46"/>
      <c r="P210" s="46"/>
      <c r="Q210" s="46"/>
      <c r="R210" s="46"/>
      <c r="S210" s="46"/>
      <c r="T210" s="46"/>
      <c r="U210" s="46"/>
      <c r="V210" s="46"/>
      <c r="W210" s="46"/>
    </row>
    <row r="211" spans="1:23" hidden="1" x14ac:dyDescent="0.2">
      <c r="B211" s="46"/>
      <c r="C211" s="46"/>
      <c r="D211" s="46"/>
      <c r="E211" s="46"/>
      <c r="F211" s="46"/>
      <c r="G211" s="46"/>
      <c r="H211" s="46"/>
      <c r="I211" s="46"/>
      <c r="J211" s="46"/>
      <c r="K211" s="46"/>
      <c r="L211" s="46"/>
      <c r="M211" s="46"/>
      <c r="N211" s="46"/>
      <c r="O211" s="46"/>
      <c r="P211" s="46"/>
      <c r="Q211" s="46"/>
      <c r="R211" s="46"/>
      <c r="S211" s="46"/>
      <c r="T211" s="46"/>
      <c r="U211" s="46"/>
      <c r="V211" s="46"/>
      <c r="W211" s="46"/>
    </row>
    <row r="212" spans="1:23" hidden="1" x14ac:dyDescent="0.2">
      <c r="B212" s="46"/>
      <c r="C212" s="46"/>
      <c r="D212" s="46"/>
      <c r="E212" s="46"/>
      <c r="F212" s="46"/>
      <c r="G212" s="46"/>
      <c r="H212" s="46"/>
      <c r="I212" s="46"/>
      <c r="J212" s="46"/>
      <c r="K212" s="46"/>
      <c r="L212" s="46"/>
      <c r="M212" s="46"/>
      <c r="N212" s="46"/>
      <c r="O212" s="46"/>
      <c r="P212" s="46"/>
      <c r="Q212" s="46"/>
      <c r="R212" s="46"/>
      <c r="S212" s="46"/>
      <c r="T212" s="46"/>
      <c r="U212" s="46"/>
      <c r="V212" s="46"/>
      <c r="W212" s="46"/>
    </row>
    <row r="213" spans="1:23" hidden="1" x14ac:dyDescent="0.2">
      <c r="B213" s="19">
        <f>IF(B10=1,-1500,0)</f>
        <v>0</v>
      </c>
      <c r="C213" s="46">
        <f>IF(AND(C6=1,B10=1),-750,0)</f>
        <v>0</v>
      </c>
      <c r="D213" s="46"/>
      <c r="E213" s="46"/>
      <c r="F213" s="46"/>
      <c r="G213" s="46"/>
      <c r="H213" s="46"/>
      <c r="I213" s="46"/>
      <c r="J213" s="46"/>
      <c r="K213" s="46"/>
      <c r="L213" s="46"/>
      <c r="M213" s="46"/>
      <c r="N213" s="46"/>
      <c r="O213" s="46"/>
      <c r="P213" s="46"/>
      <c r="Q213" s="46"/>
      <c r="R213" s="46"/>
      <c r="S213" s="46"/>
      <c r="T213" s="46"/>
      <c r="U213" s="46"/>
      <c r="V213" s="46"/>
      <c r="W213" s="46"/>
    </row>
    <row r="214" spans="1:23" hidden="1" x14ac:dyDescent="0.2">
      <c r="B214" s="19">
        <f>IF(B10=1,-750,0)</f>
        <v>0</v>
      </c>
      <c r="C214" s="46">
        <f>IF(AND(C6=0,B10=1),-1500,0)</f>
        <v>0</v>
      </c>
      <c r="D214" s="46"/>
      <c r="E214" s="46"/>
      <c r="F214" s="46"/>
      <c r="G214" s="46"/>
      <c r="H214" s="46"/>
      <c r="I214" s="46"/>
      <c r="J214" s="46"/>
      <c r="K214" s="46"/>
      <c r="L214" s="46"/>
      <c r="M214" s="46"/>
      <c r="N214" s="46"/>
      <c r="O214" s="46"/>
      <c r="P214" s="46"/>
      <c r="Q214" s="46"/>
      <c r="R214" s="46"/>
      <c r="S214" s="46"/>
      <c r="T214" s="46"/>
      <c r="U214" s="46"/>
      <c r="V214" s="46"/>
      <c r="W214" s="46"/>
    </row>
    <row r="215" spans="1:23" hidden="1" x14ac:dyDescent="0.2">
      <c r="B215" s="46"/>
      <c r="C215" s="46"/>
      <c r="D215" s="46"/>
      <c r="E215" s="46"/>
      <c r="F215" s="46"/>
      <c r="G215" s="46"/>
      <c r="H215" s="46"/>
      <c r="I215" s="46"/>
      <c r="J215" s="46"/>
      <c r="K215" s="46"/>
      <c r="L215" s="46"/>
      <c r="M215" s="46"/>
      <c r="N215" s="46"/>
      <c r="O215" s="46"/>
      <c r="P215" s="46"/>
      <c r="Q215" s="46"/>
      <c r="R215" s="46"/>
      <c r="S215" s="46"/>
      <c r="T215" s="46"/>
      <c r="U215" s="46"/>
      <c r="V215" s="46"/>
      <c r="W215" s="46"/>
    </row>
    <row r="216" spans="1:23" hidden="1" x14ac:dyDescent="0.2">
      <c r="B216" s="46"/>
      <c r="C216" s="46"/>
      <c r="D216" s="46"/>
      <c r="E216" s="46"/>
      <c r="F216" s="46"/>
      <c r="G216" s="46"/>
      <c r="H216" s="46"/>
      <c r="I216" s="46"/>
      <c r="J216" s="46"/>
      <c r="K216" s="46"/>
      <c r="L216" s="46"/>
      <c r="M216" s="46"/>
      <c r="N216" s="46"/>
      <c r="O216" s="46"/>
      <c r="P216" s="46"/>
      <c r="Q216" s="46"/>
      <c r="R216" s="46"/>
      <c r="S216" s="46"/>
      <c r="T216" s="46"/>
      <c r="U216" s="46"/>
      <c r="V216" s="46"/>
      <c r="W216" s="46"/>
    </row>
    <row r="217" spans="1:23" ht="13.5" hidden="1" thickBot="1" x14ac:dyDescent="0.25">
      <c r="B217" s="46"/>
      <c r="C217" s="46"/>
      <c r="D217" s="46"/>
      <c r="E217" s="46"/>
      <c r="F217" s="46"/>
      <c r="G217" s="46"/>
      <c r="H217" s="46"/>
      <c r="I217" s="46"/>
      <c r="J217" s="46"/>
      <c r="K217" s="46"/>
      <c r="L217" s="46"/>
      <c r="M217" s="46"/>
      <c r="N217" s="46"/>
      <c r="O217" s="46"/>
      <c r="P217" s="46"/>
      <c r="Q217" s="46"/>
      <c r="R217" s="46"/>
      <c r="S217" s="46"/>
      <c r="T217" s="46"/>
      <c r="U217" s="46"/>
      <c r="V217" s="46"/>
      <c r="W217" s="46"/>
    </row>
    <row r="218" spans="1:23" ht="13.5" hidden="1" thickBot="1" x14ac:dyDescent="0.25">
      <c r="B218" s="65"/>
      <c r="C218" s="46"/>
      <c r="D218" s="46"/>
      <c r="E218" s="46"/>
      <c r="F218" s="46"/>
      <c r="G218" s="46"/>
      <c r="H218" s="66"/>
      <c r="I218" s="66"/>
      <c r="J218" s="66"/>
      <c r="K218" s="66"/>
      <c r="L218" s="66"/>
      <c r="M218" s="66"/>
      <c r="N218" s="66"/>
      <c r="O218" s="66"/>
      <c r="P218" s="66"/>
      <c r="Q218" s="66"/>
      <c r="R218" s="66"/>
      <c r="S218" s="66"/>
      <c r="T218" s="66"/>
      <c r="U218" s="66"/>
      <c r="V218" s="66"/>
      <c r="W218" s="66"/>
    </row>
    <row r="219" spans="1:23" ht="13.5" hidden="1" thickBot="1" x14ac:dyDescent="0.25">
      <c r="E219" s="66"/>
      <c r="F219" s="46"/>
      <c r="G219" s="66"/>
    </row>
    <row r="220" spans="1:23" ht="13.5" hidden="1" thickBot="1" x14ac:dyDescent="0.25">
      <c r="F220" s="46"/>
    </row>
    <row r="221" spans="1:23" ht="13.5" hidden="1" thickBot="1" x14ac:dyDescent="0.25">
      <c r="F221" s="66"/>
    </row>
    <row r="222" spans="1:23" hidden="1" x14ac:dyDescent="0.2">
      <c r="A222" s="4" t="s">
        <v>2</v>
      </c>
      <c r="C222" s="4" t="s">
        <v>79</v>
      </c>
      <c r="D222" s="4" t="s">
        <v>80</v>
      </c>
    </row>
    <row r="223" spans="1:23" hidden="1" x14ac:dyDescent="0.2">
      <c r="D223" s="4">
        <v>525</v>
      </c>
    </row>
    <row r="224" spans="1:23" hidden="1" x14ac:dyDescent="0.2">
      <c r="D224" s="4">
        <v>100</v>
      </c>
    </row>
    <row r="225" spans="1:6" hidden="1" x14ac:dyDescent="0.2">
      <c r="D225" s="4">
        <v>675</v>
      </c>
    </row>
    <row r="226" spans="1:6" hidden="1" x14ac:dyDescent="0.2"/>
    <row r="227" spans="1:6" hidden="1" x14ac:dyDescent="0.2"/>
    <row r="228" spans="1:6" hidden="1" x14ac:dyDescent="0.2"/>
    <row r="229" spans="1:6" ht="14.25" hidden="1" x14ac:dyDescent="0.2">
      <c r="A229" s="67" t="s">
        <v>81</v>
      </c>
      <c r="B229" s="67"/>
      <c r="C229" s="67" t="s">
        <v>81</v>
      </c>
      <c r="D229" s="68" t="s">
        <v>82</v>
      </c>
      <c r="E229" s="69"/>
      <c r="F229" s="67" t="s">
        <v>13</v>
      </c>
    </row>
    <row r="230" spans="1:6" ht="15" hidden="1" x14ac:dyDescent="0.25">
      <c r="A230" s="70">
        <v>0</v>
      </c>
      <c r="B230" s="71"/>
      <c r="C230" s="70">
        <v>7500</v>
      </c>
      <c r="D230" s="72">
        <v>4.5600000000000002E-2</v>
      </c>
      <c r="E230" s="73"/>
      <c r="F230" s="70">
        <f>IF($B$7&lt;C230,$B$7*D230,C230*D230)</f>
        <v>0</v>
      </c>
    </row>
    <row r="231" spans="1:6" ht="15" hidden="1" x14ac:dyDescent="0.25">
      <c r="A231" s="70">
        <v>7500</v>
      </c>
      <c r="B231" s="71"/>
      <c r="C231" s="70">
        <v>17500</v>
      </c>
      <c r="D231" s="72">
        <v>2.8500000000000001E-2</v>
      </c>
      <c r="E231" s="73"/>
      <c r="F231" s="71" t="str">
        <f t="shared" ref="F231:F236" si="0">IF($B$7&lt;=A231," ",IF($B$7&lt;C231,($B$7-C230)*D231,(C231-A231)*D231))</f>
        <v xml:space="preserve"> </v>
      </c>
    </row>
    <row r="232" spans="1:6" ht="15" hidden="1" x14ac:dyDescent="0.25">
      <c r="A232" s="70">
        <v>17500</v>
      </c>
      <c r="B232" s="71"/>
      <c r="C232" s="70">
        <v>30000</v>
      </c>
      <c r="D232" s="72">
        <v>2.2800000000000001E-2</v>
      </c>
      <c r="E232" s="73"/>
      <c r="F232" s="71" t="str">
        <f t="shared" si="0"/>
        <v xml:space="preserve"> </v>
      </c>
    </row>
    <row r="233" spans="1:6" ht="15" hidden="1" x14ac:dyDescent="0.25">
      <c r="A233" s="70">
        <v>30000</v>
      </c>
      <c r="B233" s="71"/>
      <c r="C233" s="70">
        <v>45495</v>
      </c>
      <c r="D233" s="72">
        <v>1.7100000000000001E-2</v>
      </c>
      <c r="E233" s="73"/>
      <c r="F233" s="71" t="str">
        <f t="shared" si="0"/>
        <v xml:space="preserve"> </v>
      </c>
    </row>
    <row r="234" spans="1:6" ht="15" hidden="1" x14ac:dyDescent="0.25">
      <c r="A234" s="70">
        <v>45495</v>
      </c>
      <c r="B234" s="71"/>
      <c r="C234" s="70">
        <v>64095</v>
      </c>
      <c r="D234" s="72">
        <v>1.14E-2</v>
      </c>
      <c r="E234" s="73"/>
      <c r="F234" s="71" t="str">
        <f t="shared" si="0"/>
        <v xml:space="preserve"> </v>
      </c>
    </row>
    <row r="235" spans="1:6" ht="15" hidden="1" x14ac:dyDescent="0.25">
      <c r="A235" s="70">
        <v>64095</v>
      </c>
      <c r="B235" s="71"/>
      <c r="C235" s="70">
        <v>250095</v>
      </c>
      <c r="D235" s="72">
        <v>5.7000000000000002E-3</v>
      </c>
      <c r="E235" s="73"/>
      <c r="F235" s="71" t="str">
        <f t="shared" si="0"/>
        <v xml:space="preserve"> </v>
      </c>
    </row>
    <row r="236" spans="1:6" ht="15" hidden="1" x14ac:dyDescent="0.25">
      <c r="A236" s="70">
        <v>250095</v>
      </c>
      <c r="B236" s="71"/>
      <c r="C236" s="70">
        <f>$B$7</f>
        <v>0</v>
      </c>
      <c r="D236" s="72">
        <v>5.6999999999999998E-4</v>
      </c>
      <c r="E236" s="73"/>
      <c r="F236" s="71" t="str">
        <f t="shared" si="0"/>
        <v xml:space="preserve"> </v>
      </c>
    </row>
    <row r="237" spans="1:6" ht="15" hidden="1" x14ac:dyDescent="0.25">
      <c r="A237" s="74"/>
      <c r="B237" s="75"/>
      <c r="C237" s="75"/>
      <c r="D237" s="76"/>
      <c r="E237" s="77"/>
      <c r="F237" s="77"/>
    </row>
    <row r="238" spans="1:6" ht="15" hidden="1" x14ac:dyDescent="0.25">
      <c r="A238" s="67" t="s">
        <v>83</v>
      </c>
      <c r="B238" s="78"/>
      <c r="C238" s="75"/>
      <c r="D238" s="79"/>
      <c r="E238" s="77"/>
      <c r="F238" s="80">
        <f>SUM(F230:F237)</f>
        <v>0</v>
      </c>
    </row>
    <row r="239" spans="1:6" hidden="1" x14ac:dyDescent="0.2"/>
    <row r="240" spans="1:6" hidden="1" x14ac:dyDescent="0.2"/>
    <row r="241" spans="1:5" hidden="1" x14ac:dyDescent="0.2"/>
    <row r="242" spans="1:5" hidden="1" x14ac:dyDescent="0.2"/>
    <row r="243" spans="1:5" hidden="1" x14ac:dyDescent="0.2"/>
    <row r="244" spans="1:5" hidden="1" x14ac:dyDescent="0.2"/>
    <row r="245" spans="1:5" hidden="1" x14ac:dyDescent="0.2"/>
    <row r="246" spans="1:5" hidden="1" x14ac:dyDescent="0.2"/>
    <row r="247" spans="1:5" hidden="1" x14ac:dyDescent="0.2"/>
    <row r="248" spans="1:5" hidden="1" x14ac:dyDescent="0.2">
      <c r="A248" s="33"/>
      <c r="B248" s="81"/>
      <c r="C248" s="81">
        <f>IF(B87=1,185,0)</f>
        <v>185</v>
      </c>
      <c r="D248" s="81">
        <f>IF(B87=2,335,0)</f>
        <v>0</v>
      </c>
      <c r="E248" s="81">
        <f>IF(B87&gt;2,(335+(B87-2)*200),0)</f>
        <v>0</v>
      </c>
    </row>
    <row r="249" spans="1:5" hidden="1" x14ac:dyDescent="0.2">
      <c r="A249" s="33"/>
      <c r="B249" s="81"/>
      <c r="C249" s="81"/>
      <c r="D249" s="81"/>
      <c r="E249" s="81"/>
    </row>
    <row r="250" spans="1:5" hidden="1" x14ac:dyDescent="0.2">
      <c r="A250" s="33"/>
      <c r="B250" s="81"/>
      <c r="C250" s="81">
        <f>SUM(C248:E248)</f>
        <v>185</v>
      </c>
      <c r="D250" s="81"/>
      <c r="E250" s="81"/>
    </row>
    <row r="251" spans="1:5" hidden="1" x14ac:dyDescent="0.2">
      <c r="A251" s="33"/>
      <c r="B251" s="81"/>
      <c r="C251" s="81"/>
      <c r="D251" s="81"/>
      <c r="E251" s="81"/>
    </row>
    <row r="252" spans="1:5" hidden="1" x14ac:dyDescent="0.2">
      <c r="A252" s="33"/>
      <c r="B252" s="81"/>
      <c r="C252" s="81"/>
      <c r="D252" s="81"/>
      <c r="E252" s="81"/>
    </row>
    <row r="253" spans="1:5" hidden="1" x14ac:dyDescent="0.2">
      <c r="A253" s="33"/>
      <c r="B253" s="81"/>
      <c r="C253" s="81"/>
      <c r="D253" s="81"/>
      <c r="E253" s="81"/>
    </row>
    <row r="254" spans="1:5" ht="15" hidden="1" x14ac:dyDescent="0.25">
      <c r="A254" s="82" t="s">
        <v>4</v>
      </c>
      <c r="B254" s="82"/>
      <c r="C254" s="83">
        <f>C85</f>
        <v>0</v>
      </c>
      <c r="D254" s="84"/>
      <c r="E254" s="85"/>
    </row>
    <row r="255" spans="1:5" ht="14.25" hidden="1" x14ac:dyDescent="0.2">
      <c r="A255" s="86" t="s">
        <v>81</v>
      </c>
      <c r="B255" s="86"/>
      <c r="C255" s="86" t="s">
        <v>81</v>
      </c>
      <c r="D255" s="87" t="s">
        <v>120</v>
      </c>
      <c r="E255" s="86" t="s">
        <v>121</v>
      </c>
    </row>
    <row r="256" spans="1:5" ht="15" hidden="1" x14ac:dyDescent="0.25">
      <c r="A256" s="83">
        <v>0</v>
      </c>
      <c r="B256" s="83"/>
      <c r="C256" s="83">
        <v>7500</v>
      </c>
      <c r="D256" s="88">
        <v>1.4250000000000001E-2</v>
      </c>
      <c r="E256" s="83">
        <f>IF(C85&lt;C256,C85*D256,C256*D256)</f>
        <v>0</v>
      </c>
    </row>
    <row r="257" spans="1:5" ht="15" hidden="1" x14ac:dyDescent="0.25">
      <c r="A257" s="83">
        <v>7500</v>
      </c>
      <c r="B257" s="83"/>
      <c r="C257" s="83">
        <v>17500</v>
      </c>
      <c r="D257" s="88">
        <v>1.14E-2</v>
      </c>
      <c r="E257" s="83" t="str">
        <f>IF(C85&lt;=A257," ",IF(C85&lt;C257,(C85-C256)*D257,(C257-A257)*D257))</f>
        <v xml:space="preserve"> </v>
      </c>
    </row>
    <row r="258" spans="1:5" ht="15" hidden="1" x14ac:dyDescent="0.25">
      <c r="A258" s="83">
        <v>17500</v>
      </c>
      <c r="B258" s="83"/>
      <c r="C258" s="83">
        <v>30000</v>
      </c>
      <c r="D258" s="88">
        <v>6.8399999999999997E-3</v>
      </c>
      <c r="E258" s="83" t="str">
        <f>IF(C85&lt;=A258," ",IF(C85&lt;C258,(C85-C257)*D258,(C258-A258)*D258))</f>
        <v xml:space="preserve"> </v>
      </c>
    </row>
    <row r="259" spans="1:5" ht="15" hidden="1" x14ac:dyDescent="0.25">
      <c r="A259" s="83">
        <v>30000</v>
      </c>
      <c r="B259" s="83"/>
      <c r="C259" s="83">
        <v>45495</v>
      </c>
      <c r="D259" s="88">
        <v>5.7000000000000002E-3</v>
      </c>
      <c r="E259" s="83" t="str">
        <f>IF(C85&lt;=A259," ",IF(C85&lt;C259,(C85-C258)*D259,(C259-A259)*D259))</f>
        <v xml:space="preserve"> </v>
      </c>
    </row>
    <row r="260" spans="1:5" ht="15" hidden="1" x14ac:dyDescent="0.25">
      <c r="A260" s="83">
        <v>45495</v>
      </c>
      <c r="B260" s="83"/>
      <c r="C260" s="83">
        <v>64095</v>
      </c>
      <c r="D260" s="88">
        <v>4.5599999999999998E-3</v>
      </c>
      <c r="E260" s="83" t="str">
        <f>IF(C85&lt;=A260," ",IF(C85&lt;C260,(C85-C259)*D260,(C260-A260)*D260))</f>
        <v xml:space="preserve"> </v>
      </c>
    </row>
    <row r="261" spans="1:5" ht="15" hidden="1" x14ac:dyDescent="0.25">
      <c r="A261" s="83">
        <v>64095</v>
      </c>
      <c r="B261" s="83"/>
      <c r="C261" s="83">
        <v>250095</v>
      </c>
      <c r="D261" s="88">
        <v>2.2799999999999999E-3</v>
      </c>
      <c r="E261" s="83" t="str">
        <f>IF(C85&lt;=A261," ",IF(C85&lt;C261,(C85-C260)*D261,(C261-A261)*D261))</f>
        <v xml:space="preserve"> </v>
      </c>
    </row>
    <row r="262" spans="1:5" ht="15" hidden="1" x14ac:dyDescent="0.25">
      <c r="A262" s="83">
        <v>250095</v>
      </c>
      <c r="B262" s="83"/>
      <c r="C262" s="83">
        <f>C85</f>
        <v>0</v>
      </c>
      <c r="D262" s="89">
        <v>4.5600000000000003E-4</v>
      </c>
      <c r="E262" s="83" t="str">
        <f>IF(C85&lt;=A262,"E90",IF(C85&lt;C262,(C85-C261)*D262,(C262-A262)*D262))</f>
        <v>E90</v>
      </c>
    </row>
    <row r="263" spans="1:5" ht="15" hidden="1" x14ac:dyDescent="0.25">
      <c r="A263" s="85"/>
      <c r="B263" s="85"/>
      <c r="C263" s="85"/>
      <c r="D263" s="85"/>
      <c r="E263" s="85"/>
    </row>
    <row r="264" spans="1:5" ht="15" hidden="1" x14ac:dyDescent="0.25">
      <c r="A264" s="86" t="s">
        <v>83</v>
      </c>
      <c r="B264" s="90"/>
      <c r="C264" s="85"/>
      <c r="D264" s="85" t="s">
        <v>122</v>
      </c>
      <c r="E264" s="91">
        <f>SUM(E256:E263)</f>
        <v>0</v>
      </c>
    </row>
    <row r="265" spans="1:5" ht="12" hidden="1" customHeight="1" x14ac:dyDescent="0.2">
      <c r="A265" s="31"/>
      <c r="B265" s="31"/>
      <c r="C265" s="31"/>
      <c r="D265" s="31" t="s">
        <v>123</v>
      </c>
      <c r="E265" s="92">
        <f>E264/4</f>
        <v>0</v>
      </c>
    </row>
  </sheetData>
  <sheetProtection algorithmName="SHA-512" hashValue="k8IVgh1+T22t0nNypCDSSZ5Ibjp7l4B+vYEgGIPkVvD5kppdzQwj+n1WxlFj+fXtaO5qQkO5u3gceElE7dsBxA==" saltValue="nNer5H5lpJcKHWPODYrc7A==" spinCount="100000" sheet="1" objects="1" scenarios="1"/>
  <phoneticPr fontId="0" type="noConversion"/>
  <dataValidations count="8">
    <dataValidation type="list" allowBlank="1" showInputMessage="1" showErrorMessage="1" sqref="C37 C41:C42">
      <formula1>$G$199:$G$200</formula1>
    </dataValidation>
    <dataValidation type="list" allowBlank="1" showInputMessage="1" showErrorMessage="1" sqref="C36">
      <formula1>$G$196:$G$197</formula1>
    </dataValidation>
    <dataValidation type="list" allowBlank="1" showInputMessage="1" showErrorMessage="1" sqref="C35">
      <formula1>$F$196:$F$197</formula1>
    </dataValidation>
    <dataValidation type="list" allowBlank="1" showInputMessage="1" showErrorMessage="1" sqref="C34">
      <formula1>$E$196:$E$197</formula1>
    </dataValidation>
    <dataValidation type="list" allowBlank="1" showInputMessage="1" showErrorMessage="1" sqref="C10">
      <formula1>$D$188:$D$189</formula1>
    </dataValidation>
    <dataValidation type="list" allowBlank="1" showInputMessage="1" showErrorMessage="1" sqref="C9">
      <formula1>$C$188:$C$189</formula1>
    </dataValidation>
    <dataValidation type="list" allowBlank="1" showInputMessage="1" showErrorMessage="1" sqref="C11">
      <formula1>$G$188:$G$189</formula1>
    </dataValidation>
    <dataValidation type="list" allowBlank="1" showInputMessage="1" showErrorMessage="1" sqref="C87">
      <formula1>$E$117:$E$118</formula1>
    </dataValidation>
  </dataValidations>
  <hyperlinks>
    <hyperlink ref="B10" r:id="rId1"/>
    <hyperlink ref="D103" r:id="rId2"/>
    <hyperlink ref="B103" r:id="rId3"/>
    <hyperlink ref="B105" r:id="rId4"/>
    <hyperlink ref="D105" r:id="rId5"/>
    <hyperlink ref="B107" r:id="rId6"/>
  </hyperlinks>
  <pageMargins left="0.75" right="0.75" top="1" bottom="1" header="0.5" footer="0.5"/>
  <pageSetup paperSize="9" scale="93" orientation="landscape" horizontalDpi="300" verticalDpi="300" r:id="rId7"/>
  <headerFooter alignWithMargins="0"/>
  <legacy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9</vt:i4>
      </vt:variant>
    </vt:vector>
  </HeadingPairs>
  <TitlesOfParts>
    <vt:vector size="10" baseType="lpstr">
      <vt:lpstr>VKBPWHV</vt:lpstr>
      <vt:lpstr>VKBPWHV!_1._Zegels_Minuut_Brevet</vt:lpstr>
      <vt:lpstr>VKBPWHV!_2._Registratie_Minuut_Brevet</vt:lpstr>
      <vt:lpstr>VKBPWHV!_3._Registratie_aanhangsel</vt:lpstr>
      <vt:lpstr>VKBPWHV!Aard</vt:lpstr>
      <vt:lpstr>VKBPWHV!Afdrukbereik</vt:lpstr>
      <vt:lpstr>VKBPWHV!Datum</vt:lpstr>
      <vt:lpstr>VKBPWHV!KOSTENFICHE</vt:lpstr>
      <vt:lpstr>VKBPWHV!Naam</vt:lpstr>
      <vt:lpstr>VKBPWHV!Rep.</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dcterms:created xsi:type="dcterms:W3CDTF">2012-08-13T19:57:51Z</dcterms:created>
  <dcterms:modified xsi:type="dcterms:W3CDTF">2014-11-12T22:02:44Z</dcterms:modified>
</cp:coreProperties>
</file>