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KRHV" sheetId="1" r:id="rId1"/>
  </sheets>
  <definedNames>
    <definedName name="_1._Zegels_Minuut_Brevet" localSheetId="0">VKVBTWBREYNEKRHV!$A$20:$F$20</definedName>
    <definedName name="_1._Zegels_Minuut_Brevet">#REF!</definedName>
    <definedName name="_10._Tweede_getuigschrift" localSheetId="0">VKVBTWBREYNEKRHV!#REF!</definedName>
    <definedName name="_10._Tweede_getuigschrift">#REF!</definedName>
    <definedName name="_11._Kadaster_uittreksel" localSheetId="0">VKVBTWBREYNEKRHV!#REF!</definedName>
    <definedName name="_11._Kadaster_uittreksel">#REF!</definedName>
    <definedName name="_12._Getuigen" localSheetId="0">VKVBTWBREYNEKRHV!#REF!</definedName>
    <definedName name="_12._Getuigen">#REF!</definedName>
    <definedName name="_13._Allerlei_uitgaven" localSheetId="0">VKVBTWBREYNEKRHV!#REF!</definedName>
    <definedName name="_13._Allerlei_uitgaven">#REF!</definedName>
    <definedName name="_14." localSheetId="0">VKVBTWBREYNEKRHV!#REF!</definedName>
    <definedName name="_14.">#REF!</definedName>
    <definedName name="_15." localSheetId="0">VKVBTWBREYNEKRHV!#REF!</definedName>
    <definedName name="_15.">#REF!</definedName>
    <definedName name="_2._Registratie_Minuut_Brevet" localSheetId="0">VKVBTWBREYNEKRHV!$B$27:$G$27</definedName>
    <definedName name="_2._Registratie_Minuut_Brevet">#REF!</definedName>
    <definedName name="_3._Registratie_aanhangsel" localSheetId="0">VKVBTWBREYNEKRHV!$E$28:$G$28</definedName>
    <definedName name="_3._Registratie_aanhangsel">#REF!</definedName>
    <definedName name="_4.Zegels_afschrift_grosse" localSheetId="0">VKVBTWBREYNEKRHV!#REF!</definedName>
    <definedName name="_4.Zegels_afschrift_grosse">#REF!</definedName>
    <definedName name="_5._Hypotheek__inschr._overschr._doorh." localSheetId="0">VKVBTWBREYNEKRHV!#REF!</definedName>
    <definedName name="_5._Hypotheek__inschr._overschr._doorh.">#REF!</definedName>
    <definedName name="_6._Loon_pandbewaarder" localSheetId="0">VKVBTWBREYNEKRHV!#REF!</definedName>
    <definedName name="_6._Loon_pandbewaarder">#REF!</definedName>
    <definedName name="_7._Zegels__bord._aanh." localSheetId="0">VKVBTWBREYNEKRHV!#REF!</definedName>
    <definedName name="_7._Zegels__bord._aanh.">#REF!</definedName>
    <definedName name="_8._Opzoekingen" localSheetId="0">VKVBTWBREYNEKRHV!#REF!</definedName>
    <definedName name="_8._Opzoekingen">#REF!</definedName>
    <definedName name="_9._Hypothecair_getuigschrift" localSheetId="0">VKVBTWBREYNEKRHV!#REF!</definedName>
    <definedName name="_9._Hypothecair_getuigschrift">#REF!</definedName>
    <definedName name="Aard" localSheetId="0">VKVBTWBREYNEKRHV!$B$4:$F$4</definedName>
    <definedName name="Aard">#REF!</definedName>
    <definedName name="_xlnm.Print_Area" localSheetId="0">VKVBTWBREYNEKRHV!$A$1:$E$102</definedName>
    <definedName name="Datum" localSheetId="0">VKVBTWBREYNEKRHV!$B$4:$G$44</definedName>
    <definedName name="Datum">#REF!</definedName>
    <definedName name="gemeentelijke_info">#REF!</definedName>
    <definedName name="Kantoor_van_Notaris_J._SIMONART_te_Leuven" localSheetId="0">VKVBTWBREYNEKRHV!#REF!</definedName>
    <definedName name="Kantoor_van_Notaris_J._SIMONART_te_Leuven">#REF!</definedName>
    <definedName name="KOSTENFICHE" localSheetId="0">VKVBTWBREYNEKRHV!$A$1:$G$44</definedName>
    <definedName name="KOSTENFICHE">#REF!</definedName>
    <definedName name="Last_Row">IF(Values_Entered,Header_Row+Number_of_Payments,Header_Row)</definedName>
    <definedName name="Naam" localSheetId="0">VKVBTWBREYNEKRHV!#REF!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VKVBTWBREYNEKRHV!$F$4:$F$46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VKVBTWBREYNEKRHV!#REF!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VKVBTWBREYNEKRHV!$A$3:$G$44</definedName>
  </definedNames>
  <calcPr calcId="152511"/>
</workbook>
</file>

<file path=xl/calcChain.xml><?xml version="1.0" encoding="utf-8"?>
<calcChain xmlns="http://schemas.openxmlformats.org/spreadsheetml/2006/main">
  <c r="D41" i="1" l="1"/>
  <c r="D43" i="1" s="1"/>
  <c r="B10" i="1"/>
  <c r="F160" i="1" s="1"/>
  <c r="D21" i="1"/>
  <c r="D22" i="1"/>
  <c r="D26" i="1"/>
  <c r="D28" i="1"/>
  <c r="C53" i="1"/>
  <c r="C61" i="1" s="1"/>
  <c r="B64" i="1"/>
  <c r="C68" i="1"/>
  <c r="C70" i="1"/>
  <c r="B85" i="1"/>
  <c r="E120" i="1" s="1"/>
  <c r="A111" i="1"/>
  <c r="B65" i="1" s="1"/>
  <c r="H209" i="1" s="1"/>
  <c r="C66" i="1" s="1"/>
  <c r="I114" i="1"/>
  <c r="J114" i="1"/>
  <c r="K114" i="1"/>
  <c r="I116" i="1"/>
  <c r="C92" i="1" s="1"/>
  <c r="G123" i="1"/>
  <c r="G124" i="1"/>
  <c r="G125" i="1"/>
  <c r="G126" i="1"/>
  <c r="G127" i="1"/>
  <c r="G128" i="1"/>
  <c r="B132" i="1"/>
  <c r="C132" i="1"/>
  <c r="C134" i="1" s="1"/>
  <c r="C136" i="1" s="1"/>
  <c r="F132" i="1"/>
  <c r="B133" i="1"/>
  <c r="C133" i="1"/>
  <c r="F133" i="1"/>
  <c r="B140" i="1"/>
  <c r="C140" i="1"/>
  <c r="B141" i="1"/>
  <c r="C141" i="1"/>
  <c r="D200" i="1"/>
  <c r="D201" i="1"/>
  <c r="D202" i="1"/>
  <c r="J214" i="1"/>
  <c r="J215" i="1"/>
  <c r="J216" i="1"/>
  <c r="I223" i="1" s="1"/>
  <c r="E60" i="1" s="1"/>
  <c r="J217" i="1"/>
  <c r="J218" i="1"/>
  <c r="J219" i="1"/>
  <c r="F220" i="1"/>
  <c r="J220" i="1"/>
  <c r="I221" i="1"/>
  <c r="D134" i="1" l="1"/>
  <c r="E134" i="1" s="1"/>
  <c r="D24" i="1" s="1"/>
  <c r="G133" i="1" s="1"/>
  <c r="H133" i="1" s="1"/>
  <c r="D25" i="1" s="1"/>
  <c r="D44" i="1"/>
  <c r="D46" i="1" s="1"/>
  <c r="C74" i="1"/>
  <c r="E75" i="1" s="1"/>
  <c r="C94" i="1"/>
  <c r="E95" i="1" s="1"/>
  <c r="E74" i="1"/>
  <c r="D199" i="1"/>
  <c r="E78" i="1" s="1"/>
  <c r="F159" i="1"/>
  <c r="F158" i="1"/>
  <c r="F157" i="1"/>
  <c r="F163" i="1"/>
  <c r="G122" i="1"/>
  <c r="K130" i="1" s="1"/>
  <c r="K131" i="1" s="1"/>
  <c r="E89" i="1" s="1"/>
  <c r="E94" i="1" s="1"/>
  <c r="E96" i="1" s="1"/>
  <c r="C163" i="1"/>
  <c r="D23" i="1"/>
  <c r="F162" i="1"/>
  <c r="F161" i="1"/>
  <c r="D31" i="1" l="1"/>
  <c r="E76" i="1"/>
  <c r="E80" i="1" s="1"/>
  <c r="E98" i="1"/>
  <c r="E100" i="1" s="1"/>
  <c r="F165" i="1"/>
  <c r="D20" i="1" s="1"/>
  <c r="D32" i="1" s="1"/>
  <c r="D34" i="1" l="1"/>
</calcChain>
</file>

<file path=xl/sharedStrings.xml><?xml version="1.0" encoding="utf-8"?>
<sst xmlns="http://schemas.openxmlformats.org/spreadsheetml/2006/main" count="132" uniqueCount="87">
  <si>
    <t>Dossier</t>
  </si>
  <si>
    <t>Cliënt</t>
  </si>
  <si>
    <t>Prijs</t>
  </si>
  <si>
    <t>Lasten: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</si>
  <si>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</si>
  <si>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</si>
  <si>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</si>
  <si>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</si>
  <si>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</si>
  <si>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</si>
  <si>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</si>
  <si>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</si>
  <si>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</si>
  <si>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</si>
  <si>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</si>
  <si>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</si>
  <si>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</si>
  <si>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</si>
  <si>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</si>
  <si>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</si>
  <si>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</si>
  <si>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</si>
  <si>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</si>
  <si>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</si>
  <si>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</si>
  <si>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</si>
  <si>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</si>
  <si>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</si>
  <si>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</si>
  <si>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</si>
  <si>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</si>
  <si>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</si>
  <si>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</si>
  <si>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</si>
  <si>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</si>
  <si>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</si>
  <si>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</si>
  <si>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Abattement?</t>
  </si>
  <si>
    <t>Verhoogd abattement?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</si>
  <si>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</si>
  <si>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</si>
  <si>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</si>
  <si>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</si>
  <si>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</si>
  <si>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</si>
  <si>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Andere (vacaties …)</t>
  </si>
  <si>
    <t>Boekje</t>
  </si>
  <si>
    <t>Klein beschrijf?</t>
  </si>
  <si>
    <t>Klein beschrijf</t>
  </si>
  <si>
    <t>KREDIETAKTE KOPER</t>
  </si>
  <si>
    <t>Basis registratie</t>
  </si>
  <si>
    <t>Hoofdsom</t>
  </si>
  <si>
    <t>Aanhor.</t>
  </si>
  <si>
    <t>Basis</t>
  </si>
  <si>
    <t>Basis ereloon</t>
  </si>
  <si>
    <t>Krediet sociaal tarief?</t>
  </si>
  <si>
    <t>Registratie Minuut-Brevet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</si>
  <si>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</si>
  <si>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</si>
  <si>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</si>
  <si>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</si>
  <si>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</si>
  <si>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</si>
  <si>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</si>
  <si>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</si>
  <si>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</si>
  <si>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</si>
  <si>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</si>
  <si>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</si>
  <si>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</si>
  <si>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</si>
  <si>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</si>
  <si>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</si>
  <si>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</si>
  <si>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</si>
  <si>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</si>
  <si>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HYPOTHECAIRE VOLMACHT KOPER</t>
  </si>
  <si>
    <t>Hoeveel hypotheekkantoren?</t>
  </si>
  <si>
    <t>Registratierecht akte</t>
  </si>
  <si>
    <t>Registratierecht bijlagen</t>
  </si>
  <si>
    <t>Tarief</t>
  </si>
  <si>
    <t>Ereloon G</t>
  </si>
  <si>
    <t>Lening</t>
  </si>
  <si>
    <t>Hypothecaire volmacht</t>
  </si>
  <si>
    <t>Inschrijving op hoeveel hypotheekkantoren?</t>
  </si>
  <si>
    <t>VERKOOP ONROEREND GOED WET BREYNE - VLAANDEREN + KREDIET + HYPOTHECAIRE VOLMACHT</t>
  </si>
  <si>
    <t>Sociaal krediet voor minstens 50%?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</si>
</sst>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&quot; Fr&quot;;\-#,##0&quot; Fr&quot;"/>
    <numFmt numFmtId="181" formatCode="0.0000%"/>
    <numFmt numFmtId="182" formatCode="#,##0.00\ &quot;BF&quot;;\-#,##0.00\ &quot;BF&quot;"/>
  </numFmts>
  <fonts count="20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4"/>
      <color indexed="9"/>
      <name val="Arial"/>
      <family val="2"/>
    </font>
    <font>
      <b/>
      <sz val="11"/>
      <name val="Times New Roman"/>
      <family val="1"/>
    </font>
    <font>
      <sz val="14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8" fillId="0" borderId="0"/>
    <xf numFmtId="0" fontId="1" fillId="0" borderId="0"/>
    <xf numFmtId="0" fontId="18" fillId="0" borderId="0"/>
    <xf numFmtId="177" fontId="8" fillId="0" borderId="1">
      <protection locked="0"/>
    </xf>
    <xf numFmtId="0" fontId="19" fillId="0" borderId="16" applyNumberFormat="0" applyFill="0" applyAlignment="0" applyProtection="0"/>
  </cellStyleXfs>
  <cellXfs count="151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2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2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4" xfId="13" applyFont="1" applyFill="1" applyBorder="1" applyProtection="1"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6" xfId="13" applyNumberFormat="1" applyFont="1" applyFill="1" applyBorder="1" applyProtection="1">
      <protection hidden="1"/>
    </xf>
    <xf numFmtId="169" fontId="5" fillId="2" borderId="7" xfId="13" applyNumberFormat="1" applyFont="1" applyFill="1" applyBorder="1" applyAlignment="1" applyProtection="1">
      <alignment horizontal="center"/>
      <protection hidden="1"/>
    </xf>
    <xf numFmtId="0" fontId="5" fillId="2" borderId="7" xfId="13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168" fontId="6" fillId="2" borderId="7" xfId="13" applyNumberFormat="1" applyFont="1" applyFill="1" applyBorder="1" applyProtection="1">
      <protection hidden="1"/>
    </xf>
    <xf numFmtId="169" fontId="6" fillId="2" borderId="7" xfId="13" applyNumberFormat="1" applyFont="1" applyFill="1" applyBorder="1" applyProtection="1">
      <protection hidden="1"/>
    </xf>
    <xf numFmtId="170" fontId="6" fillId="2" borderId="7" xfId="13" applyNumberFormat="1" applyFont="1" applyFill="1" applyBorder="1" applyProtection="1">
      <protection hidden="1"/>
    </xf>
    <xf numFmtId="170" fontId="6" fillId="2" borderId="8" xfId="13" applyNumberFormat="1" applyFont="1" applyFill="1" applyBorder="1" applyProtection="1">
      <protection hidden="1"/>
    </xf>
    <xf numFmtId="0" fontId="6" fillId="2" borderId="9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0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0" xfId="13" applyFont="1" applyFill="1" applyBorder="1" applyProtection="1">
      <protection hidden="1"/>
    </xf>
    <xf numFmtId="168" fontId="5" fillId="2" borderId="7" xfId="13" applyNumberFormat="1" applyFont="1" applyFill="1" applyBorder="1" applyProtection="1">
      <protection hidden="1"/>
    </xf>
    <xf numFmtId="0" fontId="13" fillId="3" borderId="11" xfId="13" applyFont="1" applyFill="1" applyBorder="1" applyAlignment="1" applyProtection="1">
      <alignment horizontal="left"/>
      <protection hidden="1"/>
    </xf>
    <xf numFmtId="0" fontId="14" fillId="3" borderId="11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center"/>
      <protection locked="0" hidden="1"/>
    </xf>
    <xf numFmtId="0" fontId="2" fillId="5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1" fillId="0" borderId="0" xfId="13" applyProtection="1">
      <protection hidden="1"/>
    </xf>
    <xf numFmtId="0" fontId="1" fillId="6" borderId="0" xfId="13" applyFill="1" applyProtection="1">
      <protection hidden="1"/>
    </xf>
    <xf numFmtId="167" fontId="1" fillId="0" borderId="0" xfId="13" applyNumberFormat="1" applyProtection="1">
      <protection hidden="1"/>
    </xf>
    <xf numFmtId="170" fontId="6" fillId="7" borderId="0" xfId="13" applyNumberFormat="1" applyFont="1" applyFill="1" applyBorder="1" applyProtection="1">
      <protection hidden="1"/>
    </xf>
    <xf numFmtId="179" fontId="6" fillId="7" borderId="0" xfId="13" applyNumberFormat="1" applyFont="1" applyFill="1" applyBorder="1" applyProtection="1">
      <protection hidden="1"/>
    </xf>
    <xf numFmtId="167" fontId="1" fillId="6" borderId="0" xfId="13" applyNumberFormat="1" applyFill="1" applyProtection="1">
      <protection hidden="1"/>
    </xf>
    <xf numFmtId="180" fontId="6" fillId="7" borderId="0" xfId="13" applyNumberFormat="1" applyFont="1" applyFill="1" applyBorder="1" applyProtection="1">
      <protection hidden="1"/>
    </xf>
    <xf numFmtId="0" fontId="1" fillId="6" borderId="0" xfId="13" applyFill="1" applyBorder="1" applyProtection="1">
      <protection hidden="1"/>
    </xf>
    <xf numFmtId="0" fontId="6" fillId="7" borderId="0" xfId="13" applyFont="1" applyFill="1" applyBorder="1" applyProtection="1">
      <protection hidden="1"/>
    </xf>
    <xf numFmtId="168" fontId="5" fillId="7" borderId="0" xfId="13" applyNumberFormat="1" applyFont="1" applyFill="1" applyBorder="1" applyProtection="1">
      <protection hidden="1"/>
    </xf>
    <xf numFmtId="0" fontId="1" fillId="3" borderId="11" xfId="13" applyNumberFormat="1" applyFill="1" applyBorder="1" applyAlignment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2" borderId="0" xfId="13" applyNumberFormat="1" applyFill="1"/>
    <xf numFmtId="165" fontId="1" fillId="5" borderId="0" xfId="13" applyNumberFormat="1" applyFill="1"/>
    <xf numFmtId="0" fontId="1" fillId="2" borderId="0" xfId="13" applyFill="1"/>
    <xf numFmtId="165" fontId="1" fillId="2" borderId="0" xfId="13" applyNumberFormat="1" applyFill="1"/>
    <xf numFmtId="166" fontId="1" fillId="2" borderId="0" xfId="13" applyNumberFormat="1" applyFill="1" applyBorder="1" applyAlignment="1" applyProtection="1">
      <protection hidden="1"/>
    </xf>
    <xf numFmtId="0" fontId="1" fillId="2" borderId="0" xfId="13" applyFill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0" fontId="15" fillId="3" borderId="0" xfId="13" applyFont="1" applyFill="1" applyBorder="1" applyAlignment="1" applyProtection="1">
      <alignment horizontal="left" vertical="center"/>
      <protection hidden="1"/>
    </xf>
    <xf numFmtId="0" fontId="1" fillId="3" borderId="0" xfId="13" applyFill="1" applyProtection="1">
      <protection hidden="1"/>
    </xf>
    <xf numFmtId="0" fontId="17" fillId="3" borderId="0" xfId="13" applyFont="1" applyFill="1" applyAlignment="1" applyProtection="1">
      <alignment horizontal="left" vertical="center"/>
      <protection hidden="1"/>
    </xf>
    <xf numFmtId="0" fontId="1" fillId="2" borderId="0" xfId="13" applyFill="1" applyBorder="1"/>
    <xf numFmtId="0" fontId="1" fillId="2" borderId="0" xfId="13" applyFont="1" applyFill="1" applyBorder="1" applyAlignment="1" applyProtection="1">
      <alignment horizontal="left"/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Protection="1">
      <protection hidden="1"/>
    </xf>
    <xf numFmtId="0" fontId="1" fillId="2" borderId="0" xfId="13" applyFont="1" applyFill="1"/>
    <xf numFmtId="0" fontId="1" fillId="2" borderId="0" xfId="13" applyFont="1" applyFill="1" applyBorder="1"/>
    <xf numFmtId="0" fontId="16" fillId="2" borderId="8" xfId="13" applyFont="1" applyFill="1" applyBorder="1" applyAlignment="1" applyProtection="1">
      <alignment horizontal="left"/>
      <protection hidden="1"/>
    </xf>
    <xf numFmtId="0" fontId="16" fillId="2" borderId="7" xfId="13" applyFont="1" applyFill="1" applyBorder="1" applyAlignment="1" applyProtection="1">
      <alignment horizontal="left"/>
      <protection hidden="1"/>
    </xf>
    <xf numFmtId="180" fontId="7" fillId="2" borderId="7" xfId="13" applyNumberFormat="1" applyFont="1" applyFill="1" applyBorder="1" applyProtection="1">
      <protection hidden="1"/>
    </xf>
    <xf numFmtId="169" fontId="7" fillId="2" borderId="0" xfId="13" applyNumberFormat="1" applyFont="1" applyFill="1" applyProtection="1">
      <protection hidden="1"/>
    </xf>
    <xf numFmtId="0" fontId="7" fillId="2" borderId="0" xfId="13" applyFont="1" applyFill="1" applyProtection="1">
      <protection hidden="1"/>
    </xf>
    <xf numFmtId="169" fontId="16" fillId="2" borderId="8" xfId="13" applyNumberFormat="1" applyFont="1" applyFill="1" applyBorder="1" applyAlignment="1" applyProtection="1">
      <alignment horizontal="center"/>
      <protection hidden="1"/>
    </xf>
    <xf numFmtId="169" fontId="16" fillId="2" borderId="7" xfId="13" applyNumberFormat="1" applyFont="1" applyFill="1" applyBorder="1" applyAlignment="1" applyProtection="1">
      <alignment horizontal="center"/>
      <protection hidden="1"/>
    </xf>
    <xf numFmtId="0" fontId="16" fillId="2" borderId="7" xfId="13" applyFont="1" applyFill="1" applyBorder="1" applyAlignment="1" applyProtection="1">
      <alignment horizontal="center"/>
      <protection hidden="1"/>
    </xf>
    <xf numFmtId="180" fontId="7" fillId="2" borderId="8" xfId="13" applyNumberFormat="1" applyFont="1" applyFill="1" applyBorder="1" applyProtection="1">
      <protection hidden="1"/>
    </xf>
    <xf numFmtId="170" fontId="7" fillId="2" borderId="7" xfId="13" applyNumberFormat="1" applyFont="1" applyFill="1" applyBorder="1" applyProtection="1">
      <protection hidden="1"/>
    </xf>
    <xf numFmtId="181" fontId="7" fillId="2" borderId="7" xfId="13" applyNumberFormat="1" applyFont="1" applyFill="1" applyBorder="1" applyProtection="1">
      <protection hidden="1"/>
    </xf>
    <xf numFmtId="169" fontId="16" fillId="2" borderId="0" xfId="13" applyNumberFormat="1" applyFont="1" applyFill="1" applyBorder="1" applyAlignment="1" applyProtection="1">
      <alignment horizontal="center"/>
      <protection hidden="1"/>
    </xf>
    <xf numFmtId="180" fontId="16" fillId="2" borderId="7" xfId="13" applyNumberFormat="1" applyFont="1" applyFill="1" applyBorder="1" applyProtection="1">
      <protection hidden="1"/>
    </xf>
    <xf numFmtId="182" fontId="1" fillId="2" borderId="0" xfId="13" applyNumberFormat="1" applyFont="1" applyFill="1" applyProtection="1">
      <protection hidden="1"/>
    </xf>
    <xf numFmtId="166" fontId="1" fillId="3" borderId="11" xfId="13" applyNumberFormat="1" applyFill="1" applyBorder="1" applyAlignment="1" applyProtection="1">
      <protection hidden="1"/>
    </xf>
    <xf numFmtId="0" fontId="1" fillId="3" borderId="0" xfId="13" applyFill="1"/>
    <xf numFmtId="165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Protection="1">
      <protection hidden="1"/>
    </xf>
    <xf numFmtId="0" fontId="1" fillId="8" borderId="0" xfId="13" applyFont="1" applyFill="1" applyBorder="1" applyAlignment="1" applyProtection="1">
      <alignment horizontal="left"/>
      <protection locked="0"/>
    </xf>
    <xf numFmtId="0" fontId="2" fillId="9" borderId="0" xfId="13" applyNumberFormat="1" applyFont="1" applyFill="1" applyBorder="1" applyAlignment="1" applyProtection="1">
      <alignment horizontal="left"/>
      <protection locked="0"/>
    </xf>
    <xf numFmtId="0" fontId="1" fillId="8" borderId="0" xfId="13" applyFill="1" applyBorder="1" applyAlignment="1" applyProtection="1">
      <alignment horizontal="left"/>
      <protection hidden="1"/>
    </xf>
    <xf numFmtId="167" fontId="1" fillId="9" borderId="0" xfId="13" applyNumberFormat="1" applyFill="1" applyBorder="1" applyAlignment="1" applyProtection="1">
      <alignment horizontal="center"/>
      <protection locked="0" hidden="1"/>
    </xf>
    <xf numFmtId="0" fontId="1" fillId="9" borderId="0" xfId="13" applyFont="1" applyFill="1" applyBorder="1" applyAlignment="1" applyProtection="1">
      <alignment horizontal="center"/>
      <protection locked="0" hidden="1"/>
    </xf>
    <xf numFmtId="0" fontId="1" fillId="2" borderId="2" xfId="13" applyFill="1" applyBorder="1"/>
    <xf numFmtId="0" fontId="1" fillId="2" borderId="0" xfId="13" applyFill="1" applyAlignment="1">
      <alignment horizontal="right"/>
    </xf>
    <xf numFmtId="166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alignment horizontal="right"/>
      <protection hidden="1"/>
    </xf>
    <xf numFmtId="165" fontId="1" fillId="8" borderId="0" xfId="13" applyNumberFormat="1" applyFont="1" applyFill="1" applyBorder="1" applyAlignment="1" applyProtection="1">
      <alignment horizontal="right"/>
      <protection locked="0"/>
    </xf>
    <xf numFmtId="165" fontId="1" fillId="10" borderId="0" xfId="13" applyNumberFormat="1" applyFont="1" applyFill="1" applyBorder="1" applyAlignment="1" applyProtection="1">
      <alignment horizontal="right"/>
      <protection locked="0"/>
    </xf>
    <xf numFmtId="165" fontId="1" fillId="10" borderId="0" xfId="13" applyNumberFormat="1" applyFill="1" applyBorder="1" applyAlignment="1" applyProtection="1">
      <protection locked="0" hidden="1"/>
    </xf>
    <xf numFmtId="165" fontId="1" fillId="9" borderId="0" xfId="13" applyNumberFormat="1" applyFill="1" applyBorder="1" applyAlignment="1" applyProtection="1">
      <protection locked="0" hidden="1"/>
    </xf>
    <xf numFmtId="165" fontId="1" fillId="11" borderId="0" xfId="13" applyNumberFormat="1" applyFont="1" applyFill="1" applyBorder="1" applyAlignment="1" applyProtection="1">
      <alignment horizontal="right"/>
      <protection hidden="1"/>
    </xf>
    <xf numFmtId="165" fontId="1" fillId="12" borderId="0" xfId="13" applyNumberFormat="1" applyFill="1" applyBorder="1" applyAlignment="1" applyProtection="1">
      <protection locked="0" hidden="1"/>
    </xf>
    <xf numFmtId="165" fontId="1" fillId="10" borderId="0" xfId="13" applyNumberFormat="1" applyFont="1" applyFill="1" applyBorder="1" applyAlignment="1" applyProtection="1">
      <alignment horizontal="left"/>
      <protection locked="0" hidden="1"/>
    </xf>
    <xf numFmtId="165" fontId="11" fillId="8" borderId="0" xfId="0" applyNumberFormat="1" applyFont="1" applyFill="1" applyBorder="1" applyAlignment="1" applyProtection="1">
      <alignment horizontal="left"/>
      <protection locked="0"/>
    </xf>
    <xf numFmtId="165" fontId="1" fillId="2" borderId="0" xfId="13" applyNumberFormat="1" applyFill="1" applyBorder="1" applyProtection="1">
      <protection hidden="1"/>
    </xf>
    <xf numFmtId="165" fontId="1" fillId="5" borderId="12" xfId="13" applyNumberFormat="1" applyFill="1" applyBorder="1" applyProtection="1">
      <protection hidden="1"/>
    </xf>
    <xf numFmtId="166" fontId="1" fillId="2" borderId="13" xfId="13" applyNumberFormat="1" applyFont="1" applyFill="1" applyBorder="1" applyAlignment="1" applyProtection="1">
      <alignment horizontal="left"/>
      <protection hidden="1"/>
    </xf>
    <xf numFmtId="165" fontId="1" fillId="2" borderId="13" xfId="13" applyNumberFormat="1" applyFill="1" applyBorder="1" applyProtection="1">
      <protection hidden="1"/>
    </xf>
    <xf numFmtId="165" fontId="1" fillId="9" borderId="0" xfId="13" applyNumberFormat="1" applyFill="1" applyBorder="1" applyAlignment="1" applyProtection="1">
      <alignment horizontal="left"/>
      <protection locked="0" hidden="1"/>
    </xf>
    <xf numFmtId="0" fontId="1" fillId="9" borderId="0" xfId="13" applyFill="1" applyBorder="1" applyAlignment="1" applyProtection="1">
      <alignment horizontal="center"/>
      <protection locked="0" hidden="1"/>
    </xf>
    <xf numFmtId="165" fontId="1" fillId="9" borderId="0" xfId="13" applyNumberFormat="1" applyFill="1" applyBorder="1" applyAlignment="1" applyProtection="1">
      <alignment horizontal="left"/>
      <protection locked="0"/>
    </xf>
    <xf numFmtId="0" fontId="1" fillId="2" borderId="13" xfId="13" applyFont="1" applyFill="1" applyBorder="1" applyAlignment="1" applyProtection="1">
      <alignment horizontal="left"/>
      <protection hidden="1"/>
    </xf>
    <xf numFmtId="165" fontId="1" fillId="2" borderId="13" xfId="13" applyNumberFormat="1" applyFill="1" applyBorder="1" applyAlignment="1" applyProtection="1">
      <alignment horizontal="left"/>
      <protection hidden="1"/>
    </xf>
    <xf numFmtId="0" fontId="1" fillId="2" borderId="13" xfId="13" applyFont="1" applyFill="1" applyBorder="1" applyProtection="1">
      <protection hidden="1"/>
    </xf>
    <xf numFmtId="0" fontId="1" fillId="2" borderId="14" xfId="13" applyFont="1" applyFill="1" applyBorder="1" applyAlignment="1" applyProtection="1">
      <alignment horizontal="left"/>
      <protection hidden="1"/>
    </xf>
    <xf numFmtId="0" fontId="2" fillId="13" borderId="12" xfId="13" applyFont="1" applyFill="1" applyBorder="1" applyAlignment="1" applyProtection="1">
      <alignment horizontal="left"/>
      <protection hidden="1"/>
    </xf>
    <xf numFmtId="165" fontId="1" fillId="13" borderId="12" xfId="13" applyNumberFormat="1" applyFill="1" applyBorder="1" applyAlignment="1" applyProtection="1">
      <protection hidden="1"/>
    </xf>
    <xf numFmtId="165" fontId="1" fillId="9" borderId="0" xfId="13" applyNumberFormat="1" applyFill="1" applyBorder="1" applyAlignment="1" applyProtection="1">
      <alignment horizontal="left"/>
      <protection hidden="1"/>
    </xf>
    <xf numFmtId="0" fontId="1" fillId="2" borderId="15" xfId="13" applyFill="1" applyBorder="1" applyAlignment="1" applyProtection="1">
      <alignment horizontal="left"/>
      <protection hidden="1"/>
    </xf>
    <xf numFmtId="165" fontId="1" fillId="2" borderId="13" xfId="13" applyNumberFormat="1" applyFill="1" applyBorder="1" applyAlignment="1" applyProtection="1">
      <protection hidden="1"/>
    </xf>
    <xf numFmtId="0" fontId="1" fillId="2" borderId="12" xfId="13" applyFont="1" applyFill="1" applyBorder="1" applyAlignment="1" applyProtection="1">
      <alignment horizontal="left"/>
      <protection hidden="1"/>
    </xf>
    <xf numFmtId="165" fontId="1" fillId="11" borderId="0" xfId="13" applyNumberFormat="1" applyFill="1" applyBorder="1" applyAlignment="1" applyProtection="1">
      <protection hidden="1"/>
    </xf>
    <xf numFmtId="0" fontId="1" fillId="2" borderId="0" xfId="13" applyFill="1" applyAlignment="1">
      <alignment horizontal="right"/>
    </xf>
    <xf numFmtId="164" fontId="1" fillId="11" borderId="0" xfId="13" applyNumberFormat="1" applyFill="1" applyBorder="1" applyAlignment="1" applyProtection="1">
      <protection hidden="1"/>
    </xf>
    <xf numFmtId="165" fontId="1" fillId="9" borderId="0" xfId="13" applyNumberFormat="1" applyFill="1" applyBorder="1" applyAlignment="1" applyProtection="1">
      <protection locked="0"/>
    </xf>
    <xf numFmtId="165" fontId="1" fillId="11" borderId="0" xfId="13" applyNumberFormat="1" applyFill="1" applyBorder="1" applyAlignment="1" applyProtection="1">
      <protection locked="0"/>
    </xf>
    <xf numFmtId="166" fontId="1" fillId="9" borderId="0" xfId="13" applyNumberFormat="1" applyFill="1" applyBorder="1" applyAlignment="1" applyProtection="1">
      <alignment horizontal="center"/>
      <protection locked="0"/>
    </xf>
    <xf numFmtId="0" fontId="0" fillId="8" borderId="0" xfId="0" applyFill="1" applyBorder="1" applyAlignment="1" applyProtection="1">
      <alignment horizontal="center"/>
      <protection locked="0"/>
    </xf>
    <xf numFmtId="165" fontId="1" fillId="9" borderId="0" xfId="13" applyNumberFormat="1" applyFill="1" applyProtection="1">
      <protection locked="0"/>
    </xf>
    <xf numFmtId="164" fontId="1" fillId="9" borderId="0" xfId="13" applyNumberFormat="1" applyFill="1" applyBorder="1" applyAlignment="1" applyProtection="1">
      <protection locked="0"/>
    </xf>
    <xf numFmtId="1" fontId="1" fillId="8" borderId="0" xfId="13" applyNumberFormat="1" applyFill="1" applyBorder="1" applyAlignment="1" applyProtection="1">
      <alignment horizontal="center"/>
      <protection locked="0"/>
    </xf>
    <xf numFmtId="164" fontId="1" fillId="9" borderId="0" xfId="13" applyNumberFormat="1" applyFill="1" applyBorder="1" applyAlignment="1" applyProtection="1">
      <alignment horizontal="right"/>
      <protection locked="0"/>
    </xf>
    <xf numFmtId="179" fontId="1" fillId="9" borderId="0" xfId="13" applyNumberFormat="1" applyFont="1" applyFill="1" applyBorder="1" applyAlignment="1" applyProtection="1">
      <alignment horizontal="center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KRHVAK.xlsx" TargetMode="External"/><Relationship Id="rId2" Type="http://schemas.openxmlformats.org/officeDocument/2006/relationships/hyperlink" Target="VKVBTWBREYNEKRHVAV.xlsx" TargetMode="External"/><Relationship Id="rId1" Type="http://schemas.openxmlformats.org/officeDocument/2006/relationships/hyperlink" Target="VKVBTWBREYNEKR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KR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tabSelected="1" zoomScaleNormal="100" workbookViewId="0">
      <selection activeCell="B3" sqref="B3"/>
    </sheetView>
  </sheetViews>
  <sheetFormatPr defaultRowHeight="12.75"/>
  <cols>
    <col min="1" max="1" width="39.5703125" style="1" customWidth="1"/>
    <col min="2" max="2" width="19.42578125" style="1" customWidth="1"/>
    <col min="3" max="3" width="18.28515625" style="1" customWidth="1"/>
    <col min="4" max="4" width="17.5703125" style="1" customWidth="1"/>
    <col min="5" max="5" width="16.7109375" style="1" customWidth="1"/>
    <col min="6" max="6" width="9.7109375" style="1" customWidth="1"/>
    <col min="7" max="7" width="13.7109375" style="1" customWidth="1"/>
    <col min="8" max="8" width="15.5703125" style="1" customWidth="1"/>
    <col min="9" max="9" width="4.85546875" style="1" customWidth="1"/>
    <col min="10" max="10" width="9.140625" style="1"/>
    <col min="11" max="11" width="15" style="1" customWidth="1"/>
    <col min="12" max="16" width="9.140625" style="1"/>
    <col min="17" max="17" width="12.140625" style="1" bestFit="1" customWidth="1"/>
    <col min="18" max="16384" width="9.140625" style="1"/>
  </cols>
  <sheetData>
    <row r="1" spans="1:9" ht="27.75" customHeight="1" thickTop="1">
      <c r="A1" s="49" t="s">
        <v>85</v>
      </c>
      <c r="B1" s="50"/>
      <c r="C1" s="50"/>
      <c r="D1" s="50"/>
      <c r="E1" s="64"/>
      <c r="F1" s="100"/>
      <c r="G1" s="100"/>
      <c r="H1" s="101"/>
      <c r="I1" s="101"/>
    </row>
    <row r="2" spans="1:9">
      <c r="A2" s="2"/>
      <c r="B2" s="2"/>
      <c r="C2" s="2"/>
      <c r="D2" s="2"/>
      <c r="E2" s="3"/>
      <c r="F2" s="3"/>
      <c r="G2" s="3"/>
    </row>
    <row r="3" spans="1:9">
      <c r="A3" s="2" t="s">
        <v>0</v>
      </c>
      <c r="B3" s="106"/>
      <c r="C3" s="2"/>
      <c r="D3" s="2"/>
      <c r="E3" s="3"/>
      <c r="F3" s="3"/>
      <c r="G3" s="4"/>
    </row>
    <row r="4" spans="1:9">
      <c r="A4" s="2" t="s">
        <v>1</v>
      </c>
      <c r="B4" s="105"/>
      <c r="C4" s="107"/>
      <c r="E4" s="6"/>
      <c r="F4" s="3"/>
    </row>
    <row r="5" spans="1:9">
      <c r="A5" s="2" t="s">
        <v>39</v>
      </c>
      <c r="B5" s="114">
        <v>0</v>
      </c>
      <c r="C5" s="5"/>
      <c r="E5" s="6"/>
      <c r="F5" s="3"/>
    </row>
    <row r="6" spans="1:9">
      <c r="A6" s="2" t="s">
        <v>40</v>
      </c>
      <c r="B6" s="115">
        <v>0</v>
      </c>
      <c r="C6" s="5"/>
      <c r="E6" s="6"/>
      <c r="F6" s="3"/>
    </row>
    <row r="7" spans="1:9">
      <c r="A7" s="2" t="s">
        <v>41</v>
      </c>
      <c r="B7" s="51" t="s">
        <v>35</v>
      </c>
      <c r="C7" s="5"/>
      <c r="E7" s="6"/>
      <c r="F7" s="3"/>
    </row>
    <row r="8" spans="1:9">
      <c r="A8" s="3" t="s">
        <v>42</v>
      </c>
      <c r="B8" s="116">
        <v>0</v>
      </c>
      <c r="C8" s="5"/>
      <c r="D8" s="3"/>
      <c r="E8" s="7"/>
      <c r="F8" s="3"/>
    </row>
    <row r="9" spans="1:9">
      <c r="A9" s="3" t="s">
        <v>3</v>
      </c>
      <c r="B9" s="117">
        <v>0</v>
      </c>
      <c r="C9" s="5"/>
      <c r="D9" s="3"/>
      <c r="E9" s="7"/>
      <c r="F9" s="3"/>
    </row>
    <row r="10" spans="1:9">
      <c r="A10" s="9" t="s">
        <v>43</v>
      </c>
      <c r="B10" s="118">
        <f>IF(B8&lt;B6,B6/2+B5+B9,B6+B5+B9)</f>
        <v>0</v>
      </c>
      <c r="C10" s="8"/>
      <c r="D10" s="3"/>
      <c r="E10" s="7"/>
      <c r="F10" s="3"/>
    </row>
    <row r="11" spans="1:9">
      <c r="A11" s="8" t="s">
        <v>4</v>
      </c>
      <c r="B11" s="119">
        <v>0</v>
      </c>
      <c r="C11" s="5"/>
      <c r="D11" s="3"/>
      <c r="E11" s="7"/>
      <c r="F11" s="3"/>
    </row>
    <row r="12" spans="1:9">
      <c r="A12" s="8" t="s">
        <v>47</v>
      </c>
      <c r="B12" s="108" t="s">
        <v>36</v>
      </c>
      <c r="C12" s="5"/>
      <c r="D12" s="3"/>
      <c r="E12" s="7"/>
      <c r="F12" s="3"/>
    </row>
    <row r="13" spans="1:9">
      <c r="A13" s="8" t="s">
        <v>5</v>
      </c>
      <c r="B13" s="120">
        <v>0</v>
      </c>
      <c r="C13" s="5"/>
      <c r="E13" s="6"/>
      <c r="F13" s="3"/>
    </row>
    <row r="14" spans="1:9">
      <c r="A14" s="8" t="s">
        <v>37</v>
      </c>
      <c r="B14" s="109" t="s">
        <v>36</v>
      </c>
      <c r="C14" s="5"/>
      <c r="D14" s="5"/>
      <c r="E14" s="9"/>
      <c r="F14" s="3"/>
      <c r="G14" s="7"/>
    </row>
    <row r="15" spans="1:9">
      <c r="A15" s="8" t="s">
        <v>38</v>
      </c>
      <c r="B15" s="109" t="s">
        <v>36</v>
      </c>
      <c r="C15" s="8"/>
      <c r="E15" s="6"/>
      <c r="F15" s="3"/>
      <c r="G15" s="3"/>
    </row>
    <row r="16" spans="1:9">
      <c r="A16" s="8" t="s">
        <v>86</v>
      </c>
      <c r="B16" s="150" t="s">
        <v>36</v>
      </c>
      <c r="C16" s="8"/>
      <c r="E16" s="6"/>
      <c r="F16" s="3"/>
      <c r="G16" s="3"/>
    </row>
    <row r="17" spans="1:7" ht="13.5" thickBot="1">
      <c r="A17" s="10" t="s">
        <v>6</v>
      </c>
      <c r="B17" s="2"/>
      <c r="C17" s="2"/>
      <c r="D17" s="2"/>
      <c r="E17" s="3"/>
      <c r="F17" s="3"/>
      <c r="G17" s="3"/>
    </row>
    <row r="18" spans="1:7" ht="14.25" thickTop="1" thickBot="1">
      <c r="A18" s="52" t="s">
        <v>7</v>
      </c>
      <c r="B18" s="11"/>
      <c r="C18" s="2"/>
      <c r="D18" s="2"/>
      <c r="E18" s="3"/>
      <c r="F18" s="3"/>
      <c r="G18" s="3"/>
    </row>
    <row r="19" spans="1:7" ht="14.25" thickTop="1" thickBot="1">
      <c r="A19" s="2"/>
      <c r="B19" s="2"/>
      <c r="C19" s="2"/>
      <c r="D19" s="2"/>
      <c r="E19" s="3"/>
      <c r="F19" s="3"/>
      <c r="G19" s="3"/>
    </row>
    <row r="20" spans="1:7" ht="14.25" thickTop="1" thickBot="1">
      <c r="A20" s="124" t="s">
        <v>8</v>
      </c>
      <c r="B20" s="75"/>
      <c r="C20" s="75"/>
      <c r="D20" s="125">
        <f>IF(AND(B12="ja",B16="ja"),F165-250,F165)</f>
        <v>0</v>
      </c>
      <c r="F20" s="6"/>
    </row>
    <row r="21" spans="1:7" ht="13.5" thickTop="1">
      <c r="A21" s="8" t="s">
        <v>9</v>
      </c>
      <c r="B21" s="5"/>
      <c r="C21" s="5"/>
      <c r="D21" s="102">
        <f>IF(B7="ja",0,B5*10/100)</f>
        <v>0</v>
      </c>
      <c r="E21" s="3"/>
      <c r="F21" s="9"/>
      <c r="G21" s="7"/>
    </row>
    <row r="22" spans="1:7">
      <c r="A22" s="8"/>
      <c r="B22" s="5" t="s">
        <v>48</v>
      </c>
      <c r="C22" s="5"/>
      <c r="D22" s="102">
        <f>IF(AND(B7="neen",B12="ja"),-B5*5/100,0)</f>
        <v>0</v>
      </c>
      <c r="E22" s="3"/>
      <c r="F22" s="9"/>
      <c r="G22" s="7"/>
    </row>
    <row r="23" spans="1:7">
      <c r="A23" s="8"/>
      <c r="B23" s="8" t="s">
        <v>10</v>
      </c>
      <c r="C23" s="5"/>
      <c r="D23" s="102">
        <f>IF(B13&gt;(D21+D22),-(D21+D22),-B13)</f>
        <v>0</v>
      </c>
      <c r="E23" s="3"/>
      <c r="F23" s="9"/>
      <c r="G23" s="7"/>
    </row>
    <row r="24" spans="1:7">
      <c r="A24" s="8"/>
      <c r="B24" s="8" t="s">
        <v>11</v>
      </c>
      <c r="C24" s="5"/>
      <c r="D24" s="66">
        <f>E134</f>
        <v>0</v>
      </c>
      <c r="E24" s="3"/>
      <c r="F24" s="9"/>
      <c r="G24" s="7"/>
    </row>
    <row r="25" spans="1:7">
      <c r="A25" s="8"/>
      <c r="B25" s="8" t="s">
        <v>12</v>
      </c>
      <c r="C25" s="5"/>
      <c r="D25" s="102">
        <f>H133</f>
        <v>0</v>
      </c>
      <c r="E25" s="3"/>
      <c r="F25" s="9"/>
      <c r="G25" s="7"/>
    </row>
    <row r="26" spans="1:7">
      <c r="A26" s="8" t="s">
        <v>17</v>
      </c>
      <c r="B26" s="8"/>
      <c r="C26" s="5"/>
      <c r="D26" s="102">
        <f>IF(B7="ja",(B5+B8)*21%,B8*21%)</f>
        <v>0</v>
      </c>
      <c r="E26" s="3"/>
      <c r="F26" s="9"/>
      <c r="G26" s="7"/>
    </row>
    <row r="27" spans="1:7">
      <c r="A27" s="5" t="s">
        <v>13</v>
      </c>
      <c r="B27" s="5"/>
      <c r="C27" s="5"/>
      <c r="D27" s="126">
        <v>0</v>
      </c>
      <c r="E27" s="3"/>
      <c r="F27" s="3"/>
      <c r="G27" s="3"/>
    </row>
    <row r="28" spans="1:7">
      <c r="A28" s="8" t="s">
        <v>14</v>
      </c>
      <c r="B28" s="127">
        <v>0</v>
      </c>
      <c r="C28" s="5"/>
      <c r="D28" s="102">
        <f>B28*30</f>
        <v>0</v>
      </c>
      <c r="E28" s="3"/>
      <c r="F28" s="3"/>
      <c r="G28" s="3"/>
    </row>
    <row r="29" spans="1:7">
      <c r="A29" s="8" t="s">
        <v>15</v>
      </c>
      <c r="B29" s="5"/>
      <c r="C29" s="5"/>
      <c r="D29" s="128">
        <v>770</v>
      </c>
      <c r="E29" s="3"/>
      <c r="F29" s="3"/>
      <c r="G29" s="3"/>
    </row>
    <row r="30" spans="1:7" ht="15.75" thickBot="1">
      <c r="A30" s="13" t="s">
        <v>44</v>
      </c>
      <c r="B30" s="14"/>
      <c r="C30" s="14"/>
      <c r="D30" s="121">
        <v>0</v>
      </c>
      <c r="E30" s="3"/>
      <c r="F30" s="3"/>
      <c r="G30" s="3"/>
    </row>
    <row r="31" spans="1:7" ht="14.25" thickTop="1" thickBot="1">
      <c r="A31" s="129" t="s">
        <v>16</v>
      </c>
      <c r="B31" s="74"/>
      <c r="C31" s="68"/>
      <c r="D31" s="130">
        <f>SUM(D21:D30)</f>
        <v>770</v>
      </c>
      <c r="F31" s="3"/>
      <c r="G31" s="3"/>
    </row>
    <row r="32" spans="1:7" ht="14.25" thickTop="1" thickBot="1">
      <c r="A32" s="68"/>
      <c r="B32" s="74"/>
      <c r="C32" s="131" t="s">
        <v>17</v>
      </c>
      <c r="D32" s="125">
        <f>(D20+D29)*21%</f>
        <v>161.69999999999999</v>
      </c>
      <c r="F32" s="3"/>
      <c r="G32" s="3"/>
    </row>
    <row r="33" spans="1:7" ht="14.25" thickTop="1" thickBot="1">
      <c r="A33" s="15"/>
      <c r="B33" s="5"/>
      <c r="C33" s="16"/>
      <c r="D33" s="122"/>
      <c r="F33" s="3"/>
      <c r="G33" s="3"/>
    </row>
    <row r="34" spans="1:7" ht="14.25" thickTop="1" thickBot="1">
      <c r="A34" s="132" t="s">
        <v>18</v>
      </c>
      <c r="B34" s="18"/>
      <c r="C34" s="19"/>
      <c r="D34" s="123">
        <f>SUM(D20:D32)-D31</f>
        <v>931.7</v>
      </c>
      <c r="F34" s="3"/>
      <c r="G34" s="3"/>
    </row>
    <row r="35" spans="1:7" ht="14.25" thickTop="1" thickBot="1">
      <c r="A35" s="8"/>
      <c r="B35" s="5"/>
      <c r="C35" s="5"/>
      <c r="D35" s="19"/>
      <c r="E35" s="20"/>
      <c r="F35" s="3"/>
      <c r="G35" s="3"/>
    </row>
    <row r="36" spans="1:7" ht="14.25" thickTop="1" thickBot="1">
      <c r="A36" s="133" t="s">
        <v>19</v>
      </c>
      <c r="B36" s="18"/>
      <c r="C36" s="5"/>
      <c r="D36" s="12"/>
      <c r="E36" s="3"/>
      <c r="F36" s="3"/>
      <c r="G36" s="3"/>
    </row>
    <row r="37" spans="1:7" ht="13.5" thickTop="1">
      <c r="A37" s="8"/>
      <c r="B37" s="5"/>
      <c r="C37" s="5"/>
      <c r="D37" s="12"/>
      <c r="E37" s="3"/>
      <c r="F37" s="3"/>
      <c r="G37" s="3"/>
    </row>
    <row r="38" spans="1:7">
      <c r="A38" s="8" t="s">
        <v>20</v>
      </c>
      <c r="B38" s="5"/>
      <c r="C38" s="5"/>
      <c r="D38" s="126">
        <v>0</v>
      </c>
      <c r="E38" s="3"/>
      <c r="F38" s="3"/>
      <c r="G38" s="3"/>
    </row>
    <row r="39" spans="1:7">
      <c r="A39" s="8" t="s">
        <v>21</v>
      </c>
      <c r="B39" s="5"/>
      <c r="C39" s="5"/>
      <c r="D39" s="126">
        <v>0</v>
      </c>
      <c r="E39" s="3"/>
      <c r="F39" s="3"/>
      <c r="G39" s="3"/>
    </row>
    <row r="40" spans="1:7">
      <c r="A40" s="8" t="s">
        <v>22</v>
      </c>
      <c r="B40" s="5"/>
      <c r="C40" s="5"/>
      <c r="D40" s="126">
        <v>0</v>
      </c>
      <c r="E40" s="3"/>
      <c r="F40" s="3"/>
      <c r="G40" s="3"/>
    </row>
    <row r="41" spans="1:7">
      <c r="A41" s="8" t="s">
        <v>23</v>
      </c>
      <c r="B41" s="127">
        <v>0</v>
      </c>
      <c r="C41" s="5"/>
      <c r="D41" s="135">
        <f>B41*50</f>
        <v>0</v>
      </c>
      <c r="E41" s="3"/>
      <c r="F41" s="3"/>
      <c r="G41" s="3"/>
    </row>
    <row r="42" spans="1:7" ht="13.5" thickBot="1">
      <c r="A42" s="8" t="s">
        <v>45</v>
      </c>
      <c r="B42" s="5"/>
      <c r="C42" s="5"/>
      <c r="D42" s="126">
        <v>0</v>
      </c>
      <c r="E42" s="3"/>
      <c r="F42" s="3"/>
      <c r="G42" s="3"/>
    </row>
    <row r="43" spans="1:7" ht="14.25" thickTop="1" thickBot="1">
      <c r="A43" s="129" t="s">
        <v>24</v>
      </c>
      <c r="B43" s="74"/>
      <c r="C43" s="68"/>
      <c r="D43" s="130">
        <f>SUM(D38:D42)</f>
        <v>0</v>
      </c>
      <c r="F43" s="3"/>
      <c r="G43" s="7"/>
    </row>
    <row r="44" spans="1:7" ht="14.25" thickTop="1" thickBot="1">
      <c r="A44" s="136"/>
      <c r="B44" s="74"/>
      <c r="C44" s="131" t="s">
        <v>17</v>
      </c>
      <c r="D44" s="137">
        <f>(D38+D41+D42)*21%</f>
        <v>0</v>
      </c>
      <c r="F44" s="3"/>
      <c r="G44" s="7"/>
    </row>
    <row r="45" spans="1:7" ht="14.25" thickTop="1" thickBot="1">
      <c r="A45" s="21"/>
      <c r="B45" s="5"/>
      <c r="C45" s="22"/>
      <c r="D45" s="65"/>
      <c r="F45" s="3"/>
      <c r="G45" s="7"/>
    </row>
    <row r="46" spans="1:7" ht="14.25" thickTop="1" thickBot="1">
      <c r="A46" s="138" t="s">
        <v>25</v>
      </c>
      <c r="B46" s="18"/>
      <c r="C46" s="23"/>
      <c r="D46" s="134">
        <f>SUM(D43:D44)</f>
        <v>0</v>
      </c>
      <c r="E46" s="110"/>
      <c r="F46" s="3"/>
      <c r="G46" s="7"/>
    </row>
    <row r="47" spans="1:7" ht="13.5" thickTop="1">
      <c r="A47" s="8"/>
      <c r="B47" s="5"/>
      <c r="C47" s="5"/>
      <c r="D47" s="5"/>
      <c r="E47" s="7"/>
      <c r="F47" s="3"/>
      <c r="G47" s="7"/>
    </row>
    <row r="48" spans="1:7" ht="15" customHeight="1">
      <c r="A48" s="8"/>
      <c r="B48" s="5"/>
      <c r="C48" s="5"/>
      <c r="D48" s="5"/>
      <c r="E48" s="7"/>
      <c r="F48" s="3"/>
      <c r="G48" s="7"/>
    </row>
    <row r="49" spans="1:7" ht="28.5" customHeight="1">
      <c r="A49" s="77" t="s">
        <v>49</v>
      </c>
      <c r="B49" s="5"/>
      <c r="C49" s="5"/>
      <c r="D49" s="5"/>
      <c r="E49" s="7"/>
      <c r="F49" s="3"/>
      <c r="G49" s="7"/>
    </row>
    <row r="50" spans="1:7">
      <c r="A50" s="8"/>
      <c r="B50" s="5"/>
      <c r="C50" s="5"/>
      <c r="D50" s="5"/>
      <c r="E50" s="7"/>
      <c r="F50" s="3"/>
      <c r="G50" s="7"/>
    </row>
    <row r="51" spans="1:7">
      <c r="A51" s="8" t="s">
        <v>50</v>
      </c>
      <c r="B51" s="5" t="s">
        <v>51</v>
      </c>
      <c r="C51" s="142">
        <v>0</v>
      </c>
      <c r="D51" s="7"/>
    </row>
    <row r="52" spans="1:7">
      <c r="A52" s="8"/>
      <c r="B52" s="5" t="s">
        <v>52</v>
      </c>
      <c r="C52" s="142">
        <v>0</v>
      </c>
      <c r="D52" s="7"/>
    </row>
    <row r="53" spans="1:7">
      <c r="A53" s="8"/>
      <c r="B53" s="5" t="s">
        <v>53</v>
      </c>
      <c r="C53" s="139">
        <f>SUM(C51:C52)</f>
        <v>0</v>
      </c>
      <c r="D53" s="7"/>
    </row>
    <row r="54" spans="1:7">
      <c r="A54" s="8"/>
      <c r="B54" s="5"/>
      <c r="C54" s="65"/>
      <c r="D54" s="7"/>
    </row>
    <row r="55" spans="1:7">
      <c r="A55" s="8" t="s">
        <v>54</v>
      </c>
      <c r="B55" s="5"/>
      <c r="C55" s="143">
        <v>0</v>
      </c>
      <c r="D55" s="7"/>
    </row>
    <row r="56" spans="1:7">
      <c r="A56" s="8"/>
      <c r="B56" s="5"/>
      <c r="C56" s="3"/>
      <c r="D56" s="7"/>
    </row>
    <row r="57" spans="1:7">
      <c r="A57" s="8" t="s">
        <v>55</v>
      </c>
      <c r="B57" s="5"/>
      <c r="C57" s="144" t="s">
        <v>36</v>
      </c>
      <c r="D57" s="7"/>
    </row>
    <row r="58" spans="1:7" ht="15">
      <c r="A58" s="103" t="s">
        <v>84</v>
      </c>
      <c r="B58" s="104"/>
      <c r="C58" s="145">
        <v>1</v>
      </c>
      <c r="D58" s="7"/>
    </row>
    <row r="59" spans="1:7">
      <c r="A59" s="8" t="s">
        <v>6</v>
      </c>
      <c r="B59" s="5"/>
      <c r="C59" s="3"/>
      <c r="D59" s="7"/>
    </row>
    <row r="60" spans="1:7">
      <c r="A60" s="8"/>
      <c r="B60" s="3"/>
      <c r="D60" s="111" t="s">
        <v>8</v>
      </c>
      <c r="E60" s="66">
        <f>IF(C57= "ja",I223/2+4.239,I223)</f>
        <v>0</v>
      </c>
    </row>
    <row r="61" spans="1:7">
      <c r="A61" s="8" t="s">
        <v>56</v>
      </c>
      <c r="B61" s="3"/>
      <c r="C61" s="66">
        <f>C53/100</f>
        <v>0</v>
      </c>
      <c r="D61" s="111"/>
    </row>
    <row r="62" spans="1:7">
      <c r="A62" s="8" t="s">
        <v>57</v>
      </c>
      <c r="B62" s="3"/>
      <c r="C62" s="146">
        <v>0</v>
      </c>
      <c r="D62" s="111"/>
      <c r="E62" s="66"/>
    </row>
    <row r="63" spans="1:7">
      <c r="A63" s="8"/>
      <c r="B63" s="3"/>
      <c r="C63" s="66"/>
      <c r="D63" s="111"/>
      <c r="E63" s="66"/>
    </row>
    <row r="64" spans="1:7">
      <c r="A64" s="8" t="s">
        <v>58</v>
      </c>
      <c r="B64" s="65">
        <f>C53*0.3%</f>
        <v>0</v>
      </c>
      <c r="C64" s="66"/>
      <c r="D64" s="111"/>
      <c r="E64" s="66"/>
    </row>
    <row r="65" spans="1:5">
      <c r="A65" s="8" t="s">
        <v>59</v>
      </c>
      <c r="B65" s="65">
        <f>A111*C58</f>
        <v>87.31</v>
      </c>
      <c r="C65" s="66"/>
      <c r="D65" s="111"/>
      <c r="E65" s="66"/>
    </row>
    <row r="66" spans="1:5">
      <c r="A66" s="8" t="s">
        <v>60</v>
      </c>
      <c r="B66" s="3"/>
      <c r="C66" s="66">
        <f>IF((H209-B64-B65)&lt;22,H209+50,H209)</f>
        <v>150</v>
      </c>
      <c r="D66" s="111"/>
      <c r="E66" s="66"/>
    </row>
    <row r="67" spans="1:5">
      <c r="A67" s="8"/>
      <c r="B67" s="3"/>
      <c r="C67" s="66"/>
      <c r="D67" s="111"/>
      <c r="E67" s="66"/>
    </row>
    <row r="68" spans="1:5">
      <c r="A68" s="8" t="s">
        <v>61</v>
      </c>
      <c r="B68" s="3"/>
      <c r="C68" s="66">
        <f>50</f>
        <v>50</v>
      </c>
      <c r="D68" s="111"/>
      <c r="E68" s="66"/>
    </row>
    <row r="69" spans="1:5">
      <c r="A69" s="8"/>
      <c r="B69" s="3"/>
      <c r="C69" s="66"/>
      <c r="D69" s="111"/>
      <c r="E69" s="66"/>
    </row>
    <row r="70" spans="1:5">
      <c r="A70" s="8" t="s">
        <v>62</v>
      </c>
      <c r="B70" s="3"/>
      <c r="C70" s="146">
        <f>660</f>
        <v>660</v>
      </c>
      <c r="D70" s="111"/>
      <c r="E70" s="66"/>
    </row>
    <row r="71" spans="1:5">
      <c r="A71" s="8"/>
      <c r="B71" s="3"/>
      <c r="C71" s="66"/>
      <c r="D71" s="111"/>
      <c r="E71" s="66"/>
    </row>
    <row r="72" spans="1:5">
      <c r="A72" s="8" t="s">
        <v>63</v>
      </c>
      <c r="B72" s="3"/>
      <c r="C72" s="146">
        <v>0</v>
      </c>
      <c r="D72" s="111"/>
      <c r="E72" s="66"/>
    </row>
    <row r="73" spans="1:5">
      <c r="A73" s="8"/>
      <c r="B73" s="3"/>
      <c r="C73" s="66"/>
      <c r="D73" s="111"/>
      <c r="E73" s="66"/>
    </row>
    <row r="74" spans="1:5">
      <c r="A74" s="8"/>
      <c r="B74" s="70" t="s">
        <v>64</v>
      </c>
      <c r="C74" s="69">
        <f>SUM(C61,C62,C66,C68,C70,C72)</f>
        <v>860</v>
      </c>
      <c r="D74" s="140" t="s">
        <v>65</v>
      </c>
      <c r="E74" s="69">
        <f>E60</f>
        <v>0</v>
      </c>
    </row>
    <row r="75" spans="1:5">
      <c r="A75" s="8"/>
      <c r="B75" s="70"/>
      <c r="C75" s="68"/>
      <c r="D75" s="140" t="s">
        <v>66</v>
      </c>
      <c r="E75" s="69">
        <f>C74</f>
        <v>860</v>
      </c>
    </row>
    <row r="76" spans="1:5">
      <c r="A76" s="8"/>
      <c r="B76" s="70"/>
      <c r="C76" s="68"/>
      <c r="D76" s="140" t="s">
        <v>67</v>
      </c>
      <c r="E76" s="69">
        <f>SUM(E74+C74)</f>
        <v>860</v>
      </c>
    </row>
    <row r="77" spans="1:5">
      <c r="A77" s="8"/>
      <c r="B77" s="70"/>
      <c r="C77" s="68"/>
      <c r="D77" s="140"/>
      <c r="E77" s="69"/>
    </row>
    <row r="78" spans="1:5">
      <c r="A78" s="8"/>
      <c r="B78" s="70"/>
      <c r="C78" s="68"/>
      <c r="D78" s="140" t="s">
        <v>17</v>
      </c>
      <c r="E78" s="69">
        <f>SUM(D200,D201,D202,D199)</f>
        <v>149.1</v>
      </c>
    </row>
    <row r="79" spans="1:5">
      <c r="A79" s="8"/>
      <c r="B79" s="3"/>
      <c r="D79" s="111"/>
      <c r="E79" s="66"/>
    </row>
    <row r="80" spans="1:5">
      <c r="A80" s="8"/>
      <c r="B80" s="3"/>
      <c r="D80" s="140" t="s">
        <v>68</v>
      </c>
      <c r="E80" s="67">
        <f>SUM(E76:E78)</f>
        <v>1009.1</v>
      </c>
    </row>
    <row r="81" spans="1:8">
      <c r="A81" s="8"/>
      <c r="B81" s="5"/>
      <c r="C81" s="3"/>
      <c r="E81" s="68"/>
      <c r="F81" s="68"/>
      <c r="G81" s="69"/>
      <c r="H81" s="68"/>
    </row>
    <row r="82" spans="1:8" ht="27.75" customHeight="1">
      <c r="A82" s="79" t="s">
        <v>76</v>
      </c>
      <c r="B82" s="78"/>
      <c r="C82" s="71"/>
      <c r="D82" s="71"/>
      <c r="E82" s="71"/>
      <c r="F82" s="71"/>
      <c r="G82" s="71"/>
      <c r="H82" s="68"/>
    </row>
    <row r="83" spans="1:8">
      <c r="A83" s="70" t="s">
        <v>51</v>
      </c>
      <c r="B83" s="147">
        <v>0</v>
      </c>
      <c r="C83" s="80"/>
      <c r="D83" s="70"/>
      <c r="E83" s="70"/>
      <c r="F83" s="70"/>
      <c r="H83" s="68"/>
    </row>
    <row r="84" spans="1:8">
      <c r="A84" s="70" t="s">
        <v>52</v>
      </c>
      <c r="B84" s="147">
        <v>0</v>
      </c>
      <c r="C84" s="80"/>
      <c r="D84" s="80"/>
      <c r="E84" s="80"/>
      <c r="F84" s="80"/>
      <c r="H84" s="68"/>
    </row>
    <row r="85" spans="1:8">
      <c r="A85" s="70" t="s">
        <v>53</v>
      </c>
      <c r="B85" s="141">
        <f>SUM(B83:B84)</f>
        <v>0</v>
      </c>
      <c r="C85" s="80"/>
      <c r="D85" s="80"/>
      <c r="E85" s="80"/>
      <c r="F85" s="80"/>
      <c r="H85" s="68"/>
    </row>
    <row r="86" spans="1:8">
      <c r="A86" s="74"/>
      <c r="B86" s="73"/>
      <c r="C86" s="74"/>
      <c r="D86" s="80"/>
      <c r="E86" s="80"/>
      <c r="F86" s="80"/>
      <c r="H86" s="68"/>
    </row>
    <row r="87" spans="1:8">
      <c r="A87" s="81" t="s">
        <v>77</v>
      </c>
      <c r="B87" s="148">
        <v>1</v>
      </c>
      <c r="C87" s="80"/>
      <c r="D87" s="70"/>
      <c r="E87" s="70"/>
      <c r="F87" s="72"/>
      <c r="H87" s="68"/>
    </row>
    <row r="88" spans="1:8">
      <c r="A88" s="82" t="s">
        <v>6</v>
      </c>
      <c r="B88" s="75"/>
      <c r="C88" s="75"/>
      <c r="D88" s="70"/>
      <c r="E88" s="70"/>
      <c r="F88" s="72"/>
      <c r="H88" s="68"/>
    </row>
    <row r="89" spans="1:8">
      <c r="A89" s="74" t="s">
        <v>61</v>
      </c>
      <c r="B89" s="74"/>
      <c r="C89" s="76">
        <v>50</v>
      </c>
      <c r="D89" s="112" t="s">
        <v>8</v>
      </c>
      <c r="E89" s="72">
        <f>K131</f>
        <v>0</v>
      </c>
      <c r="H89" s="68"/>
    </row>
    <row r="90" spans="1:8">
      <c r="A90" s="74" t="s">
        <v>78</v>
      </c>
      <c r="B90" s="74"/>
      <c r="C90" s="76">
        <v>50</v>
      </c>
      <c r="D90" s="112"/>
      <c r="E90" s="72"/>
      <c r="H90" s="68"/>
    </row>
    <row r="91" spans="1:8">
      <c r="A91" s="74" t="s">
        <v>79</v>
      </c>
      <c r="B91" s="74"/>
      <c r="C91" s="149">
        <v>0</v>
      </c>
      <c r="D91" s="112"/>
      <c r="E91" s="72"/>
      <c r="H91" s="68"/>
    </row>
    <row r="92" spans="1:8">
      <c r="A92" s="81" t="s">
        <v>75</v>
      </c>
      <c r="B92" s="74"/>
      <c r="C92" s="149">
        <f>I116</f>
        <v>185</v>
      </c>
      <c r="D92" s="112"/>
      <c r="E92" s="72"/>
      <c r="H92" s="68"/>
    </row>
    <row r="93" spans="1:8">
      <c r="A93" s="74"/>
      <c r="B93" s="74"/>
      <c r="C93" s="76"/>
      <c r="D93" s="112"/>
      <c r="E93" s="72"/>
      <c r="H93" s="68"/>
    </row>
    <row r="94" spans="1:8">
      <c r="A94" s="74"/>
      <c r="B94" s="70" t="s">
        <v>64</v>
      </c>
      <c r="C94" s="69">
        <f>SUM(C89:C92)</f>
        <v>285</v>
      </c>
      <c r="D94" s="140" t="s">
        <v>65</v>
      </c>
      <c r="E94" s="69">
        <f>E89</f>
        <v>0</v>
      </c>
      <c r="H94" s="68"/>
    </row>
    <row r="95" spans="1:8">
      <c r="A95" s="74"/>
      <c r="B95" s="74"/>
      <c r="C95" s="74"/>
      <c r="D95" s="140" t="s">
        <v>66</v>
      </c>
      <c r="E95" s="69">
        <f>C94</f>
        <v>285</v>
      </c>
      <c r="H95" s="68"/>
    </row>
    <row r="96" spans="1:8">
      <c r="A96" s="74"/>
      <c r="B96" s="74"/>
      <c r="C96" s="74"/>
      <c r="D96" s="140" t="s">
        <v>67</v>
      </c>
      <c r="E96" s="69">
        <f>SUM(E94+C94)</f>
        <v>285</v>
      </c>
      <c r="H96" s="68"/>
    </row>
    <row r="97" spans="1:23">
      <c r="A97" s="73"/>
      <c r="B97" s="73"/>
      <c r="C97" s="73"/>
      <c r="D97" s="113"/>
      <c r="E97" s="83"/>
      <c r="H97" s="68"/>
    </row>
    <row r="98" spans="1:23">
      <c r="A98" s="73"/>
      <c r="B98" s="73"/>
      <c r="C98" s="73"/>
      <c r="D98" s="140" t="s">
        <v>17</v>
      </c>
      <c r="E98" s="69">
        <f>(C89+C92+E89)*21%</f>
        <v>49.35</v>
      </c>
      <c r="H98" s="68"/>
    </row>
    <row r="99" spans="1:23">
      <c r="A99" s="73"/>
      <c r="B99" s="73"/>
      <c r="C99" s="73"/>
      <c r="D99" s="113"/>
      <c r="E99" s="83"/>
      <c r="H99" s="68"/>
    </row>
    <row r="100" spans="1:23">
      <c r="A100" s="73"/>
      <c r="B100" s="73"/>
      <c r="C100" s="73"/>
      <c r="D100" s="140" t="s">
        <v>68</v>
      </c>
      <c r="E100" s="67">
        <f>SUM(E96:E98)</f>
        <v>334.35</v>
      </c>
      <c r="H100" s="68"/>
    </row>
    <row r="101" spans="1:23">
      <c r="A101" s="8"/>
      <c r="B101" s="5"/>
      <c r="C101" s="3"/>
      <c r="E101" s="68"/>
      <c r="F101" s="68"/>
      <c r="G101" s="69"/>
      <c r="H101" s="68"/>
    </row>
    <row r="102" spans="1:23">
      <c r="A102" s="8"/>
      <c r="B102" s="5"/>
      <c r="C102" s="3"/>
      <c r="E102" s="68"/>
      <c r="F102" s="68"/>
      <c r="G102" s="69"/>
      <c r="H102" s="68"/>
    </row>
    <row r="103" spans="1:23">
      <c r="A103" s="6"/>
      <c r="B103" s="24" t="s">
        <v>26</v>
      </c>
      <c r="C103" s="24" t="s">
        <v>27</v>
      </c>
      <c r="E103" s="6"/>
    </row>
    <row r="104" spans="1:23">
      <c r="A104" s="6"/>
      <c r="B104" s="6"/>
      <c r="C104" s="19"/>
      <c r="E104" s="6"/>
      <c r="F104" s="20"/>
      <c r="G104" s="6"/>
    </row>
    <row r="105" spans="1:23">
      <c r="A105" s="6"/>
      <c r="B105" s="25" t="s">
        <v>28</v>
      </c>
      <c r="C105" s="53" t="s">
        <v>29</v>
      </c>
      <c r="E105" s="6"/>
      <c r="F105" s="19"/>
      <c r="G105" s="17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</row>
    <row r="106" spans="1:23">
      <c r="A106" s="6"/>
      <c r="B106" s="27"/>
      <c r="C106" s="27"/>
      <c r="E106" s="6"/>
      <c r="F106" s="28"/>
      <c r="G106" s="27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</row>
    <row r="107" spans="1:23" ht="14.25">
      <c r="B107" s="24" t="s">
        <v>46</v>
      </c>
      <c r="C107" s="29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</row>
    <row r="108" spans="1:23" ht="14.25">
      <c r="B108" s="26"/>
      <c r="C108" s="29"/>
      <c r="D108" s="29"/>
      <c r="E108" s="24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</row>
    <row r="109" spans="1:23" ht="14.25">
      <c r="B109" s="26"/>
      <c r="D109" s="29"/>
      <c r="E109" s="24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</row>
    <row r="110" spans="1:23" ht="14.25">
      <c r="B110" s="26"/>
      <c r="C110" s="29"/>
      <c r="D110" s="29"/>
      <c r="E110" s="29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</row>
    <row r="111" spans="1:23" ht="14.25" hidden="1">
      <c r="A111" s="1">
        <f>(A170+ROUNDDOWN((C51+C52-1)/F171,0)*A171)+20</f>
        <v>87.31</v>
      </c>
      <c r="B111" s="26"/>
      <c r="D111" s="29"/>
      <c r="E111" s="29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</row>
    <row r="112" spans="1:23" hidden="1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</row>
    <row r="113" spans="1:23" hidden="1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</row>
    <row r="114" spans="1:23" hidden="1">
      <c r="A114" s="84"/>
      <c r="B114" s="85"/>
      <c r="C114" s="84"/>
      <c r="D114" s="26"/>
      <c r="E114" s="26"/>
      <c r="F114" s="26"/>
      <c r="G114" s="26"/>
      <c r="H114" s="26"/>
      <c r="I114" s="26">
        <f>IF(B87=1,185,0)</f>
        <v>185</v>
      </c>
      <c r="J114" s="26">
        <f>IF(B87=2,385,0)</f>
        <v>0</v>
      </c>
      <c r="K114" s="26">
        <f>IF(B87&gt;2,(385+(B87-2)*200),0)</f>
        <v>0</v>
      </c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</row>
    <row r="115" spans="1:23" hidden="1">
      <c r="A115" s="84"/>
      <c r="B115" s="85"/>
      <c r="C115" s="84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</row>
    <row r="116" spans="1:23" hidden="1">
      <c r="A116" s="84"/>
      <c r="B116" s="85"/>
      <c r="C116" s="84"/>
      <c r="D116" s="26"/>
      <c r="E116" s="26"/>
      <c r="F116" s="26"/>
      <c r="G116" s="26"/>
      <c r="H116" s="26"/>
      <c r="I116" s="26">
        <f>SUM(I114:K114)</f>
        <v>185</v>
      </c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</row>
    <row r="117" spans="1:23" hidden="1">
      <c r="A117" s="84"/>
      <c r="B117" s="85"/>
      <c r="C117" s="84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</row>
    <row r="118" spans="1:23" hidden="1">
      <c r="A118" s="84"/>
      <c r="B118" s="85"/>
      <c r="C118" s="84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</row>
    <row r="119" spans="1:23" hidden="1">
      <c r="A119" s="84"/>
      <c r="B119" s="85"/>
      <c r="C119" s="84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</row>
    <row r="120" spans="1:23" ht="15" hidden="1">
      <c r="A120" s="84"/>
      <c r="B120" s="85"/>
      <c r="C120" s="86" t="s">
        <v>53</v>
      </c>
      <c r="D120" s="87"/>
      <c r="E120" s="88">
        <f>B85</f>
        <v>0</v>
      </c>
      <c r="F120" s="89"/>
      <c r="G120" s="90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</row>
    <row r="121" spans="1:23" ht="14.25" hidden="1">
      <c r="A121" s="84"/>
      <c r="B121" s="85"/>
      <c r="C121" s="91" t="s">
        <v>32</v>
      </c>
      <c r="D121" s="92"/>
      <c r="E121" s="92" t="s">
        <v>32</v>
      </c>
      <c r="F121" s="93" t="s">
        <v>80</v>
      </c>
      <c r="G121" s="92" t="s">
        <v>81</v>
      </c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</row>
    <row r="122" spans="1:23" ht="15" hidden="1">
      <c r="A122" s="84"/>
      <c r="B122" s="85"/>
      <c r="C122" s="94">
        <v>0</v>
      </c>
      <c r="D122" s="88"/>
      <c r="E122" s="88">
        <v>7500</v>
      </c>
      <c r="F122" s="95">
        <v>1.4250000000000001E-2</v>
      </c>
      <c r="G122" s="88">
        <f>IF(B85&lt;E122,B85*F122,E122*F122)</f>
        <v>0</v>
      </c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</row>
    <row r="123" spans="1:23" ht="15" hidden="1">
      <c r="A123" s="84"/>
      <c r="B123" s="85"/>
      <c r="C123" s="94">
        <v>7500</v>
      </c>
      <c r="D123" s="88"/>
      <c r="E123" s="88">
        <v>17500</v>
      </c>
      <c r="F123" s="95">
        <v>1.14E-2</v>
      </c>
      <c r="G123" s="88" t="str">
        <f>IF(B85&lt;=C123," ",IF(B85&lt;E123,(B85-E122)*F123,(E123-C123)*F123))</f>
        <v xml:space="preserve"> </v>
      </c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</row>
    <row r="124" spans="1:23" ht="15" hidden="1">
      <c r="A124" s="84"/>
      <c r="B124" s="85"/>
      <c r="C124" s="94">
        <v>17500</v>
      </c>
      <c r="D124" s="88"/>
      <c r="E124" s="88">
        <v>30000</v>
      </c>
      <c r="F124" s="95">
        <v>6.8399999999999997E-3</v>
      </c>
      <c r="G124" s="88" t="str">
        <f>IF(B85&lt;=C124," ",IF(B85&lt;E124,(B85-E123)*F124,(E124-C124)*F124))</f>
        <v xml:space="preserve"> </v>
      </c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</row>
    <row r="125" spans="1:23" ht="15" hidden="1">
      <c r="A125" s="84"/>
      <c r="B125" s="85"/>
      <c r="C125" s="94">
        <v>30000</v>
      </c>
      <c r="D125" s="88"/>
      <c r="E125" s="88">
        <v>45495</v>
      </c>
      <c r="F125" s="95">
        <v>5.7000000000000002E-3</v>
      </c>
      <c r="G125" s="88" t="str">
        <f>IF(B85&lt;=C125," ",IF(B85&lt;E125,(B85-E124)*F125,(E125-C125)*F125))</f>
        <v xml:space="preserve"> </v>
      </c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</row>
    <row r="126" spans="1:23" ht="15" hidden="1">
      <c r="A126" s="84"/>
      <c r="B126" s="85"/>
      <c r="C126" s="94">
        <v>45495</v>
      </c>
      <c r="D126" s="88"/>
      <c r="E126" s="88">
        <v>64095</v>
      </c>
      <c r="F126" s="95">
        <v>4.5599999999999998E-3</v>
      </c>
      <c r="G126" s="88" t="str">
        <f>IF(B85&lt;=C126," ",IF(B85&lt;E126,(B85-E125)*F126,(E126-C126)*F126))</f>
        <v xml:space="preserve"> </v>
      </c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</row>
    <row r="127" spans="1:23" ht="15" hidden="1">
      <c r="A127" s="84"/>
      <c r="B127" s="85"/>
      <c r="C127" s="94">
        <v>64095</v>
      </c>
      <c r="D127" s="88"/>
      <c r="E127" s="88">
        <v>250095</v>
      </c>
      <c r="F127" s="95">
        <v>2.2799999999999999E-3</v>
      </c>
      <c r="G127" s="88" t="str">
        <f>IF(B85&lt;=C127," ",IF(B85&lt;E127,(B85-E126)*F127,(E127-C127)*F127))</f>
        <v xml:space="preserve"> </v>
      </c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</row>
    <row r="128" spans="1:23" ht="15" hidden="1">
      <c r="A128" s="84"/>
      <c r="B128" s="85"/>
      <c r="C128" s="94">
        <v>250095</v>
      </c>
      <c r="D128" s="88"/>
      <c r="E128" s="88">
        <v>99999999999</v>
      </c>
      <c r="F128" s="96">
        <v>4.5600000000000003E-4</v>
      </c>
      <c r="G128" s="88" t="str">
        <f>IF(B85&lt;=C128," ",IF(B85&lt;E128,(B85-E127)*F128,(E128-C128)*F128))</f>
        <v xml:space="preserve"> </v>
      </c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</row>
    <row r="129" spans="1:23" ht="15" hidden="1">
      <c r="A129" s="84"/>
      <c r="B129" s="85"/>
      <c r="C129" s="90"/>
      <c r="D129" s="90"/>
      <c r="E129" s="90"/>
      <c r="F129" s="90"/>
      <c r="G129" s="90"/>
      <c r="H129" s="90"/>
      <c r="I129" s="90"/>
      <c r="J129" s="90"/>
      <c r="K129" s="90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</row>
    <row r="130" spans="1:23" ht="15" hidden="1">
      <c r="A130" s="84"/>
      <c r="B130" s="85"/>
      <c r="C130" s="91" t="s">
        <v>34</v>
      </c>
      <c r="D130" s="97"/>
      <c r="E130" s="97"/>
      <c r="F130" s="97"/>
      <c r="G130" s="97"/>
      <c r="H130" s="97"/>
      <c r="I130" s="90"/>
      <c r="J130" s="90" t="s">
        <v>82</v>
      </c>
      <c r="K130" s="98">
        <f>SUM(G122:G129)</f>
        <v>0</v>
      </c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</row>
    <row r="131" spans="1:23" hidden="1">
      <c r="A131" s="84"/>
      <c r="B131" s="85"/>
      <c r="C131" s="19"/>
      <c r="D131" s="19"/>
      <c r="E131" s="19"/>
      <c r="F131" s="19"/>
      <c r="G131" s="19"/>
      <c r="H131" s="19"/>
      <c r="I131" s="19"/>
      <c r="J131" s="19" t="s">
        <v>83</v>
      </c>
      <c r="K131" s="99">
        <f>K130/4</f>
        <v>0</v>
      </c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</row>
    <row r="132" spans="1:23" hidden="1">
      <c r="B132" s="26">
        <f>IF(B14="ja",-1500,0)</f>
        <v>0</v>
      </c>
      <c r="C132" s="26">
        <f>IF(AND(B12="ja",B14="ja"),-750,0)</f>
        <v>0</v>
      </c>
      <c r="D132" s="26"/>
      <c r="E132" s="26"/>
      <c r="F132" s="26">
        <f>IF(AND(B14="ja",B15="ja"),-1000,0)</f>
        <v>0</v>
      </c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</row>
    <row r="133" spans="1:23" hidden="1">
      <c r="B133" s="26">
        <f>IF(B14="ja",-750,0)</f>
        <v>0</v>
      </c>
      <c r="C133" s="26">
        <f>IF(AND(B12="neen",B14="ja"),-1500,0)</f>
        <v>0</v>
      </c>
      <c r="D133" s="26"/>
      <c r="E133" s="26"/>
      <c r="F133" s="26">
        <f>-F132</f>
        <v>0</v>
      </c>
      <c r="G133" s="26">
        <f>IF(F133&gt;(D21+D22+D24-50),-(D21+D22+D24-50),F132)</f>
        <v>50</v>
      </c>
      <c r="H133" s="26">
        <f>IF(G133=50,0,G133)</f>
        <v>0</v>
      </c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</row>
    <row r="134" spans="1:23" hidden="1">
      <c r="B134" s="26"/>
      <c r="C134" s="26">
        <f>SUM(C132:C133)</f>
        <v>0</v>
      </c>
      <c r="D134" s="26">
        <f>IF(C136&gt;(D21+D22-50),-(D21+D22-50),C134)</f>
        <v>50</v>
      </c>
      <c r="E134" s="26">
        <f>IF(D134=50,0,D134)</f>
        <v>0</v>
      </c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</row>
    <row r="135" spans="1:23" hidden="1"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</row>
    <row r="136" spans="1:23" hidden="1">
      <c r="B136" s="26"/>
      <c r="C136" s="26">
        <f>-C134</f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</row>
    <row r="137" spans="1:23" hidden="1">
      <c r="A137" s="30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</row>
    <row r="138" spans="1:23" hidden="1">
      <c r="B138" s="26"/>
      <c r="C138" s="26"/>
      <c r="D138" s="26"/>
      <c r="E138" s="26"/>
      <c r="F138" s="26"/>
      <c r="G138" s="26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26"/>
      <c r="V138" s="26"/>
      <c r="W138" s="26"/>
    </row>
    <row r="139" spans="1:23" hidden="1">
      <c r="A139" s="32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26"/>
      <c r="V139" s="26"/>
      <c r="W139" s="26"/>
    </row>
    <row r="140" spans="1:23" hidden="1">
      <c r="A140" s="32"/>
      <c r="B140" s="12">
        <f>IF(B14="ja",-1500,0)</f>
        <v>0</v>
      </c>
      <c r="C140" s="31">
        <f>IF(AND(B12="ja",B14="ja"),-750,0)</f>
        <v>0</v>
      </c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26"/>
      <c r="V140" s="26"/>
      <c r="W140" s="26"/>
    </row>
    <row r="141" spans="1:23" hidden="1">
      <c r="A141" s="32"/>
      <c r="B141" s="12">
        <f>IF(B14="ja",-750,0)</f>
        <v>0</v>
      </c>
      <c r="C141" s="31">
        <f>IF(AND(B12="neen",B14="ja"),-1500,0)</f>
        <v>0</v>
      </c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26"/>
      <c r="V141" s="26"/>
      <c r="W141" s="26"/>
    </row>
    <row r="142" spans="1:23" hidden="1">
      <c r="A142" s="32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26"/>
      <c r="V142" s="26"/>
      <c r="W142" s="26"/>
    </row>
    <row r="143" spans="1:23" hidden="1">
      <c r="A143" s="32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26"/>
      <c r="V143" s="26"/>
      <c r="W143" s="26"/>
    </row>
    <row r="144" spans="1:23" ht="13.5" hidden="1" thickBot="1">
      <c r="A144" s="32"/>
      <c r="B144" s="31"/>
      <c r="C144" s="31"/>
      <c r="D144" s="31"/>
      <c r="E144" s="31"/>
      <c r="F144" s="31"/>
      <c r="G144" s="31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</row>
    <row r="145" spans="1:23" ht="13.5" hidden="1" thickBot="1">
      <c r="A145" s="6"/>
      <c r="B145" s="33"/>
      <c r="C145" s="27"/>
      <c r="D145" s="27"/>
      <c r="E145" s="27"/>
      <c r="F145" s="27"/>
      <c r="G145" s="27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</row>
    <row r="146" spans="1:23" ht="13.5" hidden="1" thickBot="1">
      <c r="A146" s="6"/>
      <c r="B146" s="6"/>
      <c r="C146" s="6"/>
      <c r="D146" s="6"/>
      <c r="E146" s="34"/>
      <c r="F146" s="34"/>
      <c r="G146" s="34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</row>
    <row r="147" spans="1:23" hidden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</row>
    <row r="148" spans="1:23" hidden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</row>
    <row r="149" spans="1:23" hidden="1">
      <c r="A149" s="6" t="s">
        <v>2</v>
      </c>
      <c r="B149" s="6"/>
      <c r="C149" s="6" t="s">
        <v>30</v>
      </c>
      <c r="D149" s="6" t="s">
        <v>31</v>
      </c>
      <c r="E149" s="6"/>
      <c r="F149" s="19" t="s">
        <v>35</v>
      </c>
      <c r="G149" s="19" t="s">
        <v>35</v>
      </c>
      <c r="H149" s="19" t="s">
        <v>35</v>
      </c>
      <c r="I149" s="19" t="s">
        <v>35</v>
      </c>
      <c r="J149" s="6" t="s">
        <v>35</v>
      </c>
      <c r="K149" s="6" t="s">
        <v>35</v>
      </c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</row>
    <row r="150" spans="1:23" hidden="1">
      <c r="A150" s="6"/>
      <c r="B150" s="6"/>
      <c r="C150" s="6"/>
      <c r="D150" s="6">
        <v>525</v>
      </c>
      <c r="E150" s="6"/>
      <c r="F150" s="19" t="s">
        <v>36</v>
      </c>
      <c r="G150" s="19" t="s">
        <v>36</v>
      </c>
      <c r="H150" s="19" t="s">
        <v>36</v>
      </c>
      <c r="I150" s="19" t="s">
        <v>36</v>
      </c>
      <c r="J150" s="6" t="s">
        <v>36</v>
      </c>
      <c r="K150" s="6" t="s">
        <v>36</v>
      </c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</row>
    <row r="151" spans="1:23" hidden="1">
      <c r="A151" s="6"/>
      <c r="B151" s="6"/>
      <c r="C151" s="6"/>
      <c r="D151" s="6">
        <v>100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</row>
    <row r="152" spans="1:23" hidden="1">
      <c r="A152" s="6"/>
      <c r="B152" s="6"/>
      <c r="C152" s="6"/>
      <c r="D152" s="6">
        <v>675</v>
      </c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</row>
    <row r="153" spans="1:23" hidden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</row>
    <row r="154" spans="1:23" hidden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</row>
    <row r="155" spans="1:23" hidden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</row>
    <row r="156" spans="1:23" ht="14.25" hidden="1">
      <c r="A156" s="35" t="s">
        <v>32</v>
      </c>
      <c r="B156" s="35"/>
      <c r="C156" s="35" t="s">
        <v>32</v>
      </c>
      <c r="D156" s="36" t="s">
        <v>33</v>
      </c>
      <c r="E156" s="37"/>
      <c r="F156" s="35" t="s">
        <v>8</v>
      </c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</row>
    <row r="157" spans="1:23" ht="15" hidden="1">
      <c r="A157" s="38">
        <v>0</v>
      </c>
      <c r="B157" s="39"/>
      <c r="C157" s="38">
        <v>7500</v>
      </c>
      <c r="D157" s="40">
        <v>4.5600000000000002E-2</v>
      </c>
      <c r="E157" s="41"/>
      <c r="F157" s="38">
        <f>IF($B$10&lt;C157,$B$10*D157,C157*D157)</f>
        <v>0</v>
      </c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</row>
    <row r="158" spans="1:23" ht="15" hidden="1">
      <c r="A158" s="38">
        <v>7500</v>
      </c>
      <c r="B158" s="39"/>
      <c r="C158" s="38">
        <v>17500</v>
      </c>
      <c r="D158" s="40">
        <v>2.8500000000000001E-2</v>
      </c>
      <c r="E158" s="41"/>
      <c r="F158" s="39" t="str">
        <f t="shared" ref="F158:F163" si="0">IF($B$10&lt;=A158," ",IF($B$10&lt;C158,($B$10-C157)*D158,(C158-A158)*D158))</f>
        <v xml:space="preserve"> </v>
      </c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</row>
    <row r="159" spans="1:23" ht="15" hidden="1">
      <c r="A159" s="38">
        <v>17500</v>
      </c>
      <c r="B159" s="39"/>
      <c r="C159" s="38">
        <v>30000</v>
      </c>
      <c r="D159" s="40">
        <v>2.2800000000000001E-2</v>
      </c>
      <c r="E159" s="41"/>
      <c r="F159" s="39" t="str">
        <f t="shared" si="0"/>
        <v xml:space="preserve"> </v>
      </c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</row>
    <row r="160" spans="1:23" ht="15" hidden="1">
      <c r="A160" s="38">
        <v>30000</v>
      </c>
      <c r="B160" s="39"/>
      <c r="C160" s="38">
        <v>45495</v>
      </c>
      <c r="D160" s="40">
        <v>1.7100000000000001E-2</v>
      </c>
      <c r="E160" s="41"/>
      <c r="F160" s="39" t="str">
        <f t="shared" si="0"/>
        <v xml:space="preserve"> </v>
      </c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</row>
    <row r="161" spans="1:23" ht="15" hidden="1">
      <c r="A161" s="38">
        <v>45495</v>
      </c>
      <c r="B161" s="39"/>
      <c r="C161" s="38">
        <v>64095</v>
      </c>
      <c r="D161" s="40">
        <v>1.14E-2</v>
      </c>
      <c r="E161" s="41"/>
      <c r="F161" s="39" t="str">
        <f t="shared" si="0"/>
        <v xml:space="preserve"> </v>
      </c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</row>
    <row r="162" spans="1:23" ht="15" hidden="1">
      <c r="A162" s="38">
        <v>64095</v>
      </c>
      <c r="B162" s="39"/>
      <c r="C162" s="38">
        <v>250095</v>
      </c>
      <c r="D162" s="40">
        <v>5.7000000000000002E-3</v>
      </c>
      <c r="E162" s="41"/>
      <c r="F162" s="39" t="str">
        <f t="shared" si="0"/>
        <v xml:space="preserve"> </v>
      </c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</row>
    <row r="163" spans="1:23" ht="15" hidden="1">
      <c r="A163" s="38">
        <v>250095</v>
      </c>
      <c r="B163" s="39"/>
      <c r="C163" s="38">
        <f>$B$10</f>
        <v>0</v>
      </c>
      <c r="D163" s="40">
        <v>5.6999999999999998E-4</v>
      </c>
      <c r="E163" s="41"/>
      <c r="F163" s="39" t="str">
        <f t="shared" si="0"/>
        <v xml:space="preserve"> </v>
      </c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</row>
    <row r="164" spans="1:23" ht="15" hidden="1">
      <c r="A164" s="42"/>
      <c r="B164" s="43"/>
      <c r="C164" s="43"/>
      <c r="D164" s="44"/>
      <c r="E164" s="45"/>
      <c r="F164" s="45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</row>
    <row r="165" spans="1:23" ht="15" hidden="1">
      <c r="A165" s="35" t="s">
        <v>34</v>
      </c>
      <c r="B165" s="46"/>
      <c r="C165" s="43"/>
      <c r="D165" s="47"/>
      <c r="E165" s="45"/>
      <c r="F165" s="48">
        <f>SUM(F157:F164)</f>
        <v>0</v>
      </c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</row>
    <row r="166" spans="1:23" hidden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</row>
    <row r="167" spans="1:23" hidden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</row>
    <row r="168" spans="1:23" hidden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</row>
    <row r="169" spans="1:23" hidden="1">
      <c r="A169" s="6" t="s">
        <v>69</v>
      </c>
      <c r="B169" s="6"/>
      <c r="C169" s="6"/>
      <c r="D169" s="6"/>
      <c r="E169" s="6"/>
      <c r="F169" s="6"/>
      <c r="G169" s="6"/>
      <c r="H169" s="6"/>
      <c r="I169" s="6"/>
      <c r="J169" s="6" t="s">
        <v>70</v>
      </c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</row>
    <row r="170" spans="1:23" hidden="1">
      <c r="A170" s="6">
        <v>67.31</v>
      </c>
      <c r="B170" s="6"/>
      <c r="C170" s="6" t="s">
        <v>71</v>
      </c>
      <c r="D170" s="6"/>
      <c r="E170" s="6"/>
      <c r="F170" s="6">
        <v>25000</v>
      </c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</row>
    <row r="171" spans="1:23" hidden="1">
      <c r="A171" s="6">
        <v>23.56</v>
      </c>
      <c r="B171" s="6"/>
      <c r="C171" s="6" t="s">
        <v>72</v>
      </c>
      <c r="D171" s="6"/>
      <c r="E171" s="6"/>
      <c r="F171" s="6">
        <v>25000</v>
      </c>
      <c r="G171" s="6"/>
      <c r="H171" s="6" t="s">
        <v>73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</row>
    <row r="172" spans="1:23" hidden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</row>
    <row r="173" spans="1:23" hidden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</row>
    <row r="174" spans="1:23" hidden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>
        <v>720</v>
      </c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</row>
    <row r="175" spans="1:23" hidden="1">
      <c r="A175" s="6" t="s">
        <v>74</v>
      </c>
      <c r="B175" s="6"/>
      <c r="C175" s="6"/>
      <c r="D175" s="6"/>
      <c r="E175" s="6"/>
      <c r="F175" s="6" t="s">
        <v>32</v>
      </c>
      <c r="G175" s="6"/>
      <c r="H175" s="6" t="s">
        <v>75</v>
      </c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</row>
    <row r="176" spans="1:23" hidden="1">
      <c r="A176" s="6"/>
      <c r="B176" s="6"/>
      <c r="C176" s="6"/>
      <c r="D176" s="6"/>
      <c r="E176" s="6"/>
      <c r="F176" s="6">
        <v>0</v>
      </c>
      <c r="G176" s="6"/>
      <c r="H176" s="6">
        <v>575</v>
      </c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</row>
    <row r="177" spans="1:23" hidden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</row>
    <row r="178" spans="1:23" hidden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</row>
    <row r="179" spans="1:23" hidden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</row>
    <row r="180" spans="1:23" hidden="1">
      <c r="A180" s="6">
        <v>920</v>
      </c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</row>
    <row r="181" spans="1:23" hidden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</row>
    <row r="182" spans="1:23" hidden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</row>
    <row r="183" spans="1:23" hidden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</row>
    <row r="184" spans="1:23" hidden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</row>
    <row r="185" spans="1:23" hidden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</row>
    <row r="186" spans="1:23" hidden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</row>
    <row r="187" spans="1:23" hidden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</row>
    <row r="188" spans="1:23" hidden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</row>
    <row r="189" spans="1:23" hidden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</row>
    <row r="190" spans="1:23" hidden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</row>
    <row r="191" spans="1:23" hidden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</row>
    <row r="192" spans="1:23" hidden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</row>
    <row r="193" spans="1:23" hidden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</row>
    <row r="194" spans="1:23" hidden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</row>
    <row r="195" spans="1:23" hidden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</row>
    <row r="196" spans="1:23" hidden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</row>
    <row r="197" spans="1:23" hidden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</row>
    <row r="198" spans="1:23" hidden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</row>
    <row r="199" spans="1:23" hidden="1">
      <c r="A199" s="6"/>
      <c r="B199" s="6"/>
      <c r="C199" s="6"/>
      <c r="D199" s="66">
        <f>E60*21/100</f>
        <v>0</v>
      </c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</row>
    <row r="200" spans="1:23" hidden="1">
      <c r="A200" s="6"/>
      <c r="B200" s="6"/>
      <c r="C200" s="6"/>
      <c r="D200" s="66">
        <f>C68*21%</f>
        <v>10.5</v>
      </c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</row>
    <row r="201" spans="1:23" hidden="1">
      <c r="A201" s="6"/>
      <c r="B201" s="6"/>
      <c r="C201" s="6"/>
      <c r="D201" s="66">
        <f>C70*21%</f>
        <v>138.6</v>
      </c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</row>
    <row r="202" spans="1:23" hidden="1">
      <c r="A202" s="6"/>
      <c r="B202" s="6"/>
      <c r="C202" s="6"/>
      <c r="D202" s="66">
        <f>C72*21%</f>
        <v>0</v>
      </c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</row>
    <row r="203" spans="1:23" hidden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</row>
    <row r="204" spans="1:23" hidden="1">
      <c r="A204" s="6"/>
      <c r="B204" s="6" t="s">
        <v>35</v>
      </c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</row>
    <row r="205" spans="1:23" hidden="1">
      <c r="A205" s="6"/>
      <c r="B205" s="6" t="s">
        <v>36</v>
      </c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</row>
    <row r="206" spans="1:23" hidden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</row>
    <row r="207" spans="1:23" hidden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</row>
    <row r="208" spans="1:23" hidden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</row>
    <row r="209" spans="1:23" hidden="1">
      <c r="A209" s="54"/>
      <c r="B209" s="55"/>
      <c r="C209" s="54"/>
      <c r="D209" s="55"/>
      <c r="E209" s="54"/>
      <c r="F209" s="54"/>
      <c r="G209" s="55"/>
      <c r="H209" s="56">
        <f>ROUNDUP(B64+B65,-2)</f>
        <v>100</v>
      </c>
      <c r="I209" s="54"/>
      <c r="J209" s="54"/>
      <c r="K209" s="54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</row>
    <row r="210" spans="1:23" hidden="1">
      <c r="A210" s="54"/>
      <c r="B210" s="55"/>
      <c r="C210" s="54"/>
      <c r="D210" s="55"/>
      <c r="E210" s="54"/>
      <c r="F210" s="54"/>
      <c r="G210" s="55"/>
      <c r="H210" s="54"/>
      <c r="I210" s="54"/>
      <c r="J210" s="54"/>
      <c r="K210" s="54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</row>
    <row r="211" spans="1:23" hidden="1">
      <c r="A211" s="54"/>
      <c r="B211" s="55"/>
      <c r="C211" s="54"/>
      <c r="D211" s="55"/>
      <c r="E211" s="54"/>
      <c r="F211" s="54"/>
      <c r="G211" s="55"/>
      <c r="H211" s="54"/>
      <c r="I211" s="54"/>
      <c r="J211" s="54"/>
      <c r="K211" s="54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</row>
    <row r="212" spans="1:23" hidden="1">
      <c r="A212" s="54"/>
      <c r="B212" s="55"/>
      <c r="C212" s="54"/>
      <c r="D212" s="55"/>
      <c r="E212" s="54"/>
      <c r="F212" s="54"/>
      <c r="G212" s="55"/>
      <c r="H212" s="54"/>
      <c r="I212" s="54"/>
      <c r="J212" s="54"/>
      <c r="K212" s="54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</row>
    <row r="213" spans="1:23" hidden="1">
      <c r="A213" s="54" t="s">
        <v>53</v>
      </c>
      <c r="B213" s="55"/>
      <c r="C213" s="54"/>
      <c r="D213" s="55"/>
      <c r="E213" s="54"/>
      <c r="F213" s="54">
        <v>0</v>
      </c>
      <c r="G213" s="55"/>
      <c r="H213" s="54"/>
      <c r="I213" s="54"/>
      <c r="J213" s="54"/>
      <c r="K213" s="54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</row>
    <row r="214" spans="1:23" ht="15" hidden="1">
      <c r="A214" s="54">
        <v>0</v>
      </c>
      <c r="B214" s="55"/>
      <c r="C214" s="54"/>
      <c r="D214" s="55"/>
      <c r="E214" s="54"/>
      <c r="F214" s="54">
        <v>7500</v>
      </c>
      <c r="G214" s="55"/>
      <c r="H214" s="54">
        <v>1.7100000000000001E-2</v>
      </c>
      <c r="I214" s="57"/>
      <c r="J214" s="58">
        <f>IF(C55&lt;F214,C55*H214,F214*H214)</f>
        <v>0</v>
      </c>
      <c r="K214" s="54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</row>
    <row r="215" spans="1:23" ht="15" hidden="1">
      <c r="A215" s="54">
        <v>7500</v>
      </c>
      <c r="B215" s="55"/>
      <c r="C215" s="54"/>
      <c r="D215" s="55"/>
      <c r="E215" s="54"/>
      <c r="F215" s="54">
        <v>17500</v>
      </c>
      <c r="G215" s="55"/>
      <c r="H215" s="54">
        <v>1.3679999999999999E-2</v>
      </c>
      <c r="I215" s="57"/>
      <c r="J215" s="58" t="str">
        <f>IF(C55&lt;=A215," ",IF(C55&lt;F215,(C55-F214)*H215,(F215-A215)*H215))</f>
        <v xml:space="preserve"> </v>
      </c>
      <c r="K215" s="54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</row>
    <row r="216" spans="1:23" ht="15" hidden="1">
      <c r="A216" s="54">
        <v>17500</v>
      </c>
      <c r="B216" s="55"/>
      <c r="C216" s="54"/>
      <c r="D216" s="55"/>
      <c r="E216" s="54"/>
      <c r="F216" s="54">
        <v>30000</v>
      </c>
      <c r="G216" s="55"/>
      <c r="H216" s="54">
        <v>9.1199999999999996E-3</v>
      </c>
      <c r="I216" s="57"/>
      <c r="J216" s="58" t="str">
        <f>IF(C55&lt;=A216," ",IF(C55&lt;F216,(C55-F215)*H216,(F216-A216)*H216))</f>
        <v xml:space="preserve"> </v>
      </c>
      <c r="K216" s="54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</row>
    <row r="217" spans="1:23" ht="15" hidden="1">
      <c r="A217" s="54">
        <v>30000</v>
      </c>
      <c r="B217" s="55"/>
      <c r="C217" s="54"/>
      <c r="D217" s="55"/>
      <c r="E217" s="54"/>
      <c r="F217" s="54">
        <v>45495</v>
      </c>
      <c r="G217" s="55"/>
      <c r="H217" s="54">
        <v>6.8399999999999997E-3</v>
      </c>
      <c r="I217" s="57"/>
      <c r="J217" s="58" t="str">
        <f>IF(C55&lt;=A217," ",IF(C55&lt;F217,(C55-F216)*H217,(F217-A217)*H217))</f>
        <v xml:space="preserve"> </v>
      </c>
      <c r="K217" s="54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</row>
    <row r="218" spans="1:23" ht="15" hidden="1">
      <c r="A218" s="54">
        <v>45495</v>
      </c>
      <c r="B218" s="55"/>
      <c r="C218" s="54"/>
      <c r="D218" s="55"/>
      <c r="E218" s="54"/>
      <c r="F218" s="54">
        <v>64095</v>
      </c>
      <c r="G218" s="55"/>
      <c r="H218" s="54">
        <v>4.5599999999999998E-3</v>
      </c>
      <c r="I218" s="57"/>
      <c r="J218" s="58" t="str">
        <f>IF(C55&lt;=A218," ",IF(C55&lt;F218,(C55-F217)*H218,(F218-A218)*H218))</f>
        <v xml:space="preserve"> </v>
      </c>
      <c r="K218" s="54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</row>
    <row r="219" spans="1:23" ht="15" hidden="1">
      <c r="A219" s="54">
        <v>64095</v>
      </c>
      <c r="B219" s="55"/>
      <c r="C219" s="54"/>
      <c r="D219" s="55"/>
      <c r="E219" s="54"/>
      <c r="F219" s="54">
        <v>250095</v>
      </c>
      <c r="G219" s="55"/>
      <c r="H219" s="54">
        <v>2.2799999999999999E-3</v>
      </c>
      <c r="I219" s="57"/>
      <c r="J219" s="58" t="str">
        <f>IF(C55&lt;=A219," ",IF(C55&lt;F219,(C55-F218)*H219,(F219-A219)*H219))</f>
        <v xml:space="preserve"> </v>
      </c>
      <c r="K219" s="54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</row>
    <row r="220" spans="1:23" ht="15" hidden="1">
      <c r="A220" s="54">
        <v>250095</v>
      </c>
      <c r="B220" s="55"/>
      <c r="C220" s="54"/>
      <c r="D220" s="55"/>
      <c r="E220" s="54"/>
      <c r="F220" s="56">
        <f>C55</f>
        <v>0</v>
      </c>
      <c r="G220" s="59"/>
      <c r="H220" s="54">
        <v>4.5600000000000003E-4</v>
      </c>
      <c r="I220" s="57"/>
      <c r="J220" s="58" t="str">
        <f>IF(C55&lt;=A220," ",IF(C55&lt;F220,(C55-F219)*H220,(F220-A220)*H220))</f>
        <v xml:space="preserve"> </v>
      </c>
      <c r="K220" s="54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</row>
    <row r="221" spans="1:23" ht="15" hidden="1">
      <c r="A221" s="54">
        <v>10075000</v>
      </c>
      <c r="B221" s="55"/>
      <c r="C221" s="54"/>
      <c r="D221" s="55"/>
      <c r="E221" s="54"/>
      <c r="F221" s="54">
        <v>0</v>
      </c>
      <c r="G221" s="55"/>
      <c r="H221" s="54">
        <v>4.5600000000000003E-4</v>
      </c>
      <c r="I221" s="60" t="str">
        <f>IF($F$117&lt;=A221," E90",IF($F$117&lt;F221,($F$117-F220)*H221,(F221-A221)*H221))</f>
        <v xml:space="preserve"> E90</v>
      </c>
      <c r="J221" s="61"/>
      <c r="K221" s="54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</row>
    <row r="222" spans="1:23" ht="15" hidden="1">
      <c r="A222" s="54"/>
      <c r="B222" s="55"/>
      <c r="C222" s="54"/>
      <c r="D222" s="55"/>
      <c r="E222" s="54"/>
      <c r="F222" s="54"/>
      <c r="G222" s="55"/>
      <c r="H222" s="54"/>
      <c r="I222" s="62"/>
      <c r="J222" s="61"/>
      <c r="K222" s="54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</row>
    <row r="223" spans="1:23" ht="14.25" hidden="1">
      <c r="A223" s="54" t="s">
        <v>34</v>
      </c>
      <c r="B223" s="55"/>
      <c r="C223" s="54"/>
      <c r="D223" s="55"/>
      <c r="E223" s="54"/>
      <c r="F223" s="54"/>
      <c r="G223" s="55"/>
      <c r="H223" s="54"/>
      <c r="I223" s="63">
        <f>SUM(J214:J221)</f>
        <v>0</v>
      </c>
      <c r="J223" s="61"/>
      <c r="K223" s="54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</row>
    <row r="224" spans="1:23" hidden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</row>
    <row r="225" spans="1:23" hidden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</row>
    <row r="226" spans="1:23" hidden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</row>
    <row r="227" spans="1:23" hidden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</row>
    <row r="228" spans="1:23" hidden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</row>
    <row r="229" spans="1:23" hidden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</row>
    <row r="230" spans="1:23" hidden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</row>
    <row r="231" spans="1:23" hidden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</row>
    <row r="232" spans="1:23" hidden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</row>
    <row r="233" spans="1:23" hidden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</row>
    <row r="234" spans="1:23" hidden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</row>
    <row r="235" spans="1:23" hidden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</row>
    <row r="236" spans="1:23" hidden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</row>
    <row r="237" spans="1:23" hidden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</row>
    <row r="238" spans="1:23" hidden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</row>
    <row r="239" spans="1:23" hidden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</row>
    <row r="240" spans="1:23" hidden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</row>
    <row r="241" spans="1:23" hidden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</row>
    <row r="242" spans="1:23" hidden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</row>
    <row r="243" spans="1:23" hidden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</row>
    <row r="244" spans="1:23" hidden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</row>
    <row r="245" spans="1:23" hidden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</row>
    <row r="246" spans="1:23" hidden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</row>
    <row r="247" spans="1:23" hidden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</row>
    <row r="248" spans="1:23" hidden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</row>
    <row r="249" spans="1:23" hidden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</row>
    <row r="250" spans="1:23" hidden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</row>
    <row r="251" spans="1:23" hidden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</row>
    <row r="252" spans="1:23" hidden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</row>
    <row r="253" spans="1:23" hidden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</row>
    <row r="254" spans="1:23" hidden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</row>
    <row r="255" spans="1:23" hidden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</row>
    <row r="256" spans="1:23" hidden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</row>
    <row r="257" spans="1:23" hidden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</row>
    <row r="258" spans="1:23" hidden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</row>
    <row r="259" spans="1:23" hidden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</row>
    <row r="260" spans="1:23" hidden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</row>
    <row r="261" spans="1:23" hidden="1">
      <c r="A261" s="6"/>
      <c r="B261" s="6"/>
      <c r="C261" s="6"/>
      <c r="D261" s="6"/>
      <c r="E261" s="6"/>
      <c r="F261" s="6"/>
      <c r="G261" s="6"/>
    </row>
    <row r="262" spans="1:23" hidden="1"/>
    <row r="263" spans="1:23" hidden="1"/>
    <row r="264" spans="1:23" hidden="1"/>
    <row r="265" spans="1:23" hidden="1"/>
    <row r="266" spans="1:23" hidden="1"/>
    <row r="267" spans="1:23" hidden="1"/>
    <row r="268" spans="1:23" hidden="1"/>
    <row r="269" spans="1:23" hidden="1"/>
    <row r="270" spans="1:23" hidden="1"/>
    <row r="271" spans="1:23" hidden="1"/>
    <row r="272" spans="1:23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</sheetData>
  <sheetProtection algorithmName="SHA-512" hashValue="YzLxYHWEv0yabXo53bnVr1kaZpn4M32R5tjXAKvYs+1+q51aFOs/pB3GPyLZ15WLTIHx3eQZr5VyqwgEo+hahw==" saltValue="hD5wlh+u+SXI3foi9gYK3w==" spinCount="100000" sheet="1" objects="1" scenarios="1"/>
  <phoneticPr fontId="0" type="noConversion"/>
  <dataValidations count="6">
    <dataValidation type="list" allowBlank="1" showInputMessage="1" showErrorMessage="1" sqref="B14">
      <formula1>$G$149:$G$150</formula1>
    </dataValidation>
    <dataValidation type="list" allowBlank="1" showInputMessage="1" showErrorMessage="1" sqref="B15">
      <formula1>$H$149:$H$150</formula1>
    </dataValidation>
    <dataValidation type="list" allowBlank="1" showInputMessage="1" showErrorMessage="1" sqref="B7">
      <formula1>$K$149:$K$150</formula1>
    </dataValidation>
    <dataValidation type="list" allowBlank="1" showInputMessage="1" showErrorMessage="1" sqref="B12">
      <formula1>$F$149:$F$150</formula1>
    </dataValidation>
    <dataValidation type="list" allowBlank="1" showInputMessage="1" showErrorMessage="1" sqref="C57">
      <formula1>$B$204:$B$205</formula1>
    </dataValidation>
    <dataValidation type="list" allowBlank="1" showInputMessage="1" showErrorMessage="1" sqref="B16">
      <formula1>$F$149:$F$150</formula1>
    </dataValidation>
  </dataValidations>
  <hyperlinks>
    <hyperlink ref="C105" r:id="rId1"/>
    <hyperlink ref="C103" r:id="rId2"/>
    <hyperlink ref="B103" r:id="rId3"/>
    <hyperlink ref="B107" r:id="rId4"/>
    <hyperlink ref="B105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VKVBTWBREYNEKRHV</vt:lpstr>
      <vt:lpstr>VKVBTWBREYNEKRHV!_1._Zegels_Minuut_Brevet</vt:lpstr>
      <vt:lpstr>VKVBTWBREYNEKRHV!_2._Registratie_Minuut_Brevet</vt:lpstr>
      <vt:lpstr>VKVBTWBREYNEKRHV!_3._Registratie_aanhangsel</vt:lpstr>
      <vt:lpstr>VKVBTWBREYNEKRHV!Aard</vt:lpstr>
      <vt:lpstr>VKVBTWBREYNEKRHV!Afdrukbereik</vt:lpstr>
      <vt:lpstr>VKVBTWBREYNEKRHV!Datum</vt:lpstr>
      <vt:lpstr>VKVBTWBREYNEKRHV!KOSTENFICHE</vt:lpstr>
      <vt:lpstr>VKVBTWBREYNEKRHV!Rep.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2014-11-15T16:44:47Z</dcterms:modified>
</cp:coreProperties>
</file>