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KRO" sheetId="1" r:id="rId1"/>
  </sheets>
  <definedNames>
    <definedName name="_1._Zegels_Minuut_Brevet" localSheetId="0">VKVBTWBREYNEKRO!$A$20:$F$20</definedName>
    <definedName name="_1._Zegels_Minuut_Brevet">#REF!</definedName>
    <definedName name="_10._Tweede_getuigschrift" localSheetId="0">VKVBTWBREYNEKRO!#REF!</definedName>
    <definedName name="_10._Tweede_getuigschrift">#REF!</definedName>
    <definedName name="_11._Kadaster_uittreksel" localSheetId="0">VKVBTWBREYNEKRO!#REF!</definedName>
    <definedName name="_11._Kadaster_uittreksel">#REF!</definedName>
    <definedName name="_12._Getuigen" localSheetId="0">VKVBTWBREYNEKRO!#REF!</definedName>
    <definedName name="_12._Getuigen">#REF!</definedName>
    <definedName name="_13._Allerlei_uitgaven" localSheetId="0">VKVBTWBREYNEKRO!#REF!</definedName>
    <definedName name="_13._Allerlei_uitgaven">#REF!</definedName>
    <definedName name="_14." localSheetId="0">VKVBTWBREYNEKRO!#REF!</definedName>
    <definedName name="_14.">#REF!</definedName>
    <definedName name="_15." localSheetId="0">VKVBTWBREYNEKRO!#REF!</definedName>
    <definedName name="_15.">#REF!</definedName>
    <definedName name="_2._Registratie_Minuut_Brevet" localSheetId="0">VKVBTWBREYNEKRO!$B$27:$G$27</definedName>
    <definedName name="_2._Registratie_Minuut_Brevet">#REF!</definedName>
    <definedName name="_3._Registratie_aanhangsel" localSheetId="0">VKVBTWBREYNEKRO!$E$28:$G$28</definedName>
    <definedName name="_3._Registratie_aanhangsel">#REF!</definedName>
    <definedName name="_4.Zegels_afschrift_grosse" localSheetId="0">VKVBTWBREYNEKRO!#REF!</definedName>
    <definedName name="_4.Zegels_afschrift_grosse">#REF!</definedName>
    <definedName name="_5._Hypotheek__inschr._overschr._doorh." localSheetId="0">VKVBTWBREYNEKRO!#REF!</definedName>
    <definedName name="_5._Hypotheek__inschr._overschr._doorh.">#REF!</definedName>
    <definedName name="_6._Loon_pandbewaarder" localSheetId="0">VKVBTWBREYNEKRO!#REF!</definedName>
    <definedName name="_6._Loon_pandbewaarder">#REF!</definedName>
    <definedName name="_7._Zegels__bord._aanh." localSheetId="0">VKVBTWBREYNEKRO!#REF!</definedName>
    <definedName name="_7._Zegels__bord._aanh.">#REF!</definedName>
    <definedName name="_8._Opzoekingen" localSheetId="0">VKVBTWBREYNEKRO!#REF!</definedName>
    <definedName name="_8._Opzoekingen">#REF!</definedName>
    <definedName name="_9._Hypothecair_getuigschrift" localSheetId="0">VKVBTWBREYNEKRO!#REF!</definedName>
    <definedName name="_9._Hypothecair_getuigschrift">#REF!</definedName>
    <definedName name="Aard" localSheetId="0">VKVBTWBREYNEKRO!$B$4:$F$4</definedName>
    <definedName name="Aard">#REF!</definedName>
    <definedName name="_xlnm.Print_Area" localSheetId="0">VKVBTWBREYNEKRO!$A$1:$E$84</definedName>
    <definedName name="Datum" localSheetId="0">VKVBTWBREYNEKRO!$B$4:$G$44</definedName>
    <definedName name="Datum">#REF!</definedName>
    <definedName name="gemeentelijke_info">#REF!</definedName>
    <definedName name="Kantoor_van_Notaris_J._SIMONART_te_Leuven" localSheetId="0">VKVBTWBREYNEKRO!#REF!</definedName>
    <definedName name="Kantoor_van_Notaris_J._SIMONART_te_Leuven">#REF!</definedName>
    <definedName name="KOSTENFICHE" localSheetId="0">VKVBTWBREYNEKRO!$A$1:$G$44</definedName>
    <definedName name="KOSTENFICHE">#REF!</definedName>
    <definedName name="Last_Row">IF(Values_Entered,Header_Row+Number_of_Payments,Header_Row)</definedName>
    <definedName name="Naam" localSheetId="0">VKVBTWBREYNEKRO!#REF!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VKVBTWBREYNEKRO!$F$4:$F$46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VKVBTWBREYNEKRO!#REF!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VKVBTWBREYNEKRO!$A$3:$G$44</definedName>
  </definedNames>
  <calcPr calcId="152511"/>
</workbook>
</file>

<file path=xl/calcChain.xml><?xml version="1.0" encoding="utf-8"?>
<calcChain xmlns="http://schemas.openxmlformats.org/spreadsheetml/2006/main">
  <c r="D41" i="1" l="1"/>
  <c r="D43" i="1" s="1"/>
  <c r="A101" i="1"/>
  <c r="B65" i="1" s="1"/>
  <c r="F106" i="1"/>
  <c r="F107" i="1" s="1"/>
  <c r="C107" i="1"/>
  <c r="C106" i="1"/>
  <c r="C108" i="1" s="1"/>
  <c r="C110" i="1" s="1"/>
  <c r="D108" i="1" s="1"/>
  <c r="E108" i="1" s="1"/>
  <c r="D24" i="1" s="1"/>
  <c r="B107" i="1"/>
  <c r="B106" i="1"/>
  <c r="B10" i="1"/>
  <c r="C145" i="1" s="1"/>
  <c r="D21" i="1"/>
  <c r="D22" i="1"/>
  <c r="D26" i="1"/>
  <c r="D28" i="1"/>
  <c r="C53" i="1"/>
  <c r="B64" i="1" s="1"/>
  <c r="C61" i="1"/>
  <c r="C68" i="1"/>
  <c r="C70" i="1"/>
  <c r="D183" i="1" s="1"/>
  <c r="B122" i="1"/>
  <c r="C122" i="1"/>
  <c r="B123" i="1"/>
  <c r="C123" i="1"/>
  <c r="D182" i="1"/>
  <c r="D184" i="1"/>
  <c r="J196" i="1"/>
  <c r="I205" i="1" s="1"/>
  <c r="E60" i="1" s="1"/>
  <c r="J197" i="1"/>
  <c r="J198" i="1"/>
  <c r="J199" i="1"/>
  <c r="J200" i="1"/>
  <c r="J201" i="1"/>
  <c r="F202" i="1"/>
  <c r="J202" i="1"/>
  <c r="I203" i="1"/>
  <c r="D23" i="1" l="1"/>
  <c r="E74" i="1"/>
  <c r="D181" i="1"/>
  <c r="H191" i="1"/>
  <c r="C66" i="1" s="1"/>
  <c r="C74" i="1" s="1"/>
  <c r="E75" i="1" s="1"/>
  <c r="E78" i="1"/>
  <c r="G107" i="1"/>
  <c r="H107" i="1" s="1"/>
  <c r="D25" i="1" s="1"/>
  <c r="D31" i="1" s="1"/>
  <c r="F144" i="1"/>
  <c r="D44" i="1"/>
  <c r="D46" i="1" s="1"/>
  <c r="F143" i="1"/>
  <c r="F142" i="1"/>
  <c r="F141" i="1"/>
  <c r="F140" i="1"/>
  <c r="F139" i="1"/>
  <c r="F145" i="1"/>
  <c r="E76" i="1" l="1"/>
  <c r="E80" i="1" s="1"/>
  <c r="F147" i="1"/>
  <c r="D20" i="1" s="1"/>
  <c r="D32" i="1" s="1"/>
  <c r="D34" i="1" l="1"/>
</calcChain>
</file>

<file path=xl/sharedStrings.xml><?xml version="1.0" encoding="utf-8"?>
<sst xmlns="http://schemas.openxmlformats.org/spreadsheetml/2006/main" count="107" uniqueCount="79">
  <si>
    <t>Dossier</t>
  </si>
  <si>
    <t>Cliënt</t>
  </si>
  <si>
    <t>Prijs</t>
  </si>
  <si>
    <t>Lasten: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</si>
  <si>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</si>
  <si>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</si>
  <si>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</si>
  <si>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</si>
  <si>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</si>
  <si>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</si>
  <si>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</si>
  <si>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</si>
  <si>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</si>
  <si>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</si>
  <si>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</si>
  <si>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</si>
  <si>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</si>
  <si>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</si>
  <si>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</si>
  <si>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</si>
  <si>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</si>
  <si>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</si>
  <si>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</si>
  <si>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</si>
  <si>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</si>
  <si>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</si>
  <si>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</si>
  <si>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</si>
  <si>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</si>
  <si>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</si>
  <si>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</si>
  <si>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</si>
  <si>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</si>
  <si>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</si>
  <si>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</si>
  <si>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</si>
  <si>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</si>
  <si>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Abattement?</t>
  </si>
  <si>
    <t>Verhoogd abattement?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</si>
  <si>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</si>
  <si>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</si>
  <si>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</si>
  <si>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</si>
  <si>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</si>
  <si>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</si>
  <si>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Andere (vacaties …)</t>
  </si>
  <si>
    <t>Boekje</t>
  </si>
  <si>
    <t>Klein beschrijf?</t>
  </si>
  <si>
    <t>Klein beschrijf</t>
  </si>
  <si>
    <t>KREDIETAKTE KOPER</t>
  </si>
  <si>
    <t>Basis registratie</t>
  </si>
  <si>
    <t>Hoofdsom</t>
  </si>
  <si>
    <t>Aanhor.</t>
  </si>
  <si>
    <t>Basis</t>
  </si>
  <si>
    <t>Basis ereloon</t>
  </si>
  <si>
    <t>Krediet sociaal tarief?</t>
  </si>
  <si>
    <t>Registratie Minuut-Brevet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</si>
  <si>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</si>
  <si>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</si>
  <si>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</si>
  <si>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</si>
  <si>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</si>
  <si>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</si>
  <si>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</si>
  <si>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</si>
  <si>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</si>
  <si>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</si>
  <si>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</si>
  <si>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</si>
  <si>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</si>
  <si>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</si>
  <si>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</si>
  <si>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</si>
  <si>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</si>
  <si>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</si>
  <si>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</si>
  <si>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Inschrijving op hoeveel hypotheekkantoren?</t>
  </si>
  <si>
    <t>VERKOOP ONROEREND GOED WET BREYNE - VLAANDEREN + KREDIET</t>
  </si>
  <si>
    <t>Sociaal krediet voor minstens 50%?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</si>
</sst>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18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4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0EA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7" fillId="0" borderId="16" applyNumberFormat="0" applyFill="0" applyAlignment="0" applyProtection="0"/>
  </cellStyleXfs>
  <cellXfs count="118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ont="1" applyFill="1" applyBorder="1" applyProtection="1">
      <protection hidden="1"/>
    </xf>
    <xf numFmtId="0" fontId="1" fillId="2" borderId="6" xfId="13" applyFill="1" applyBorder="1" applyAlignment="1" applyProtection="1">
      <alignment horizontal="left"/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8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7" fontId="6" fillId="2" borderId="8" xfId="13" applyNumberFormat="1" applyFont="1" applyFill="1" applyBorder="1" applyProtection="1"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7" fontId="5" fillId="2" borderId="8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5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1" fillId="0" borderId="0" xfId="13" applyProtection="1">
      <protection hidden="1"/>
    </xf>
    <xf numFmtId="0" fontId="1" fillId="6" borderId="0" xfId="13" applyFill="1" applyProtection="1">
      <protection hidden="1"/>
    </xf>
    <xf numFmtId="166" fontId="1" fillId="0" borderId="0" xfId="13" applyNumberFormat="1" applyProtection="1">
      <protection hidden="1"/>
    </xf>
    <xf numFmtId="169" fontId="6" fillId="7" borderId="0" xfId="13" applyNumberFormat="1" applyFont="1" applyFill="1" applyBorder="1" applyProtection="1">
      <protection hidden="1"/>
    </xf>
    <xf numFmtId="178" fontId="6" fillId="7" borderId="0" xfId="13" applyNumberFormat="1" applyFont="1" applyFill="1" applyBorder="1" applyProtection="1">
      <protection hidden="1"/>
    </xf>
    <xf numFmtId="166" fontId="1" fillId="6" borderId="0" xfId="13" applyNumberFormat="1" applyFill="1" applyProtection="1">
      <protection hidden="1"/>
    </xf>
    <xf numFmtId="179" fontId="6" fillId="7" borderId="0" xfId="13" applyNumberFormat="1" applyFont="1" applyFill="1" applyBorder="1" applyProtection="1">
      <protection hidden="1"/>
    </xf>
    <xf numFmtId="0" fontId="1" fillId="6" borderId="0" xfId="13" applyFill="1" applyBorder="1" applyProtection="1">
      <protection hidden="1"/>
    </xf>
    <xf numFmtId="0" fontId="6" fillId="7" borderId="0" xfId="13" applyFont="1" applyFill="1" applyBorder="1" applyProtection="1">
      <protection hidden="1"/>
    </xf>
    <xf numFmtId="167" fontId="5" fillId="7" borderId="0" xfId="13" applyNumberFormat="1" applyFont="1" applyFill="1" applyBorder="1" applyProtection="1">
      <protection hidden="1"/>
    </xf>
    <xf numFmtId="0" fontId="1" fillId="3" borderId="2" xfId="13" applyNumberFormat="1" applyFill="1" applyBorder="1" applyAlignment="1" applyProtection="1">
      <protection hidden="1"/>
    </xf>
    <xf numFmtId="0" fontId="15" fillId="3" borderId="0" xfId="13" applyFont="1" applyFill="1" applyBorder="1" applyAlignment="1" applyProtection="1">
      <alignment horizontal="left" vertical="center"/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2" borderId="0" xfId="13" applyNumberFormat="1" applyFill="1"/>
    <xf numFmtId="164" fontId="1" fillId="2" borderId="0" xfId="13" applyNumberFormat="1" applyFill="1" applyBorder="1" applyAlignment="1" applyProtection="1">
      <alignment horizontal="left"/>
      <protection hidden="1"/>
    </xf>
    <xf numFmtId="0" fontId="1" fillId="10" borderId="0" xfId="0" applyFont="1" applyFill="1" applyBorder="1" applyAlignment="1" applyProtection="1">
      <alignment horizontal="left"/>
      <protection hidden="1"/>
    </xf>
    <xf numFmtId="0" fontId="0" fillId="10" borderId="0" xfId="0" applyFill="1" applyProtection="1">
      <protection hidden="1"/>
    </xf>
    <xf numFmtId="0" fontId="1" fillId="11" borderId="0" xfId="13" applyFill="1" applyBorder="1" applyAlignment="1" applyProtection="1">
      <alignment horizontal="left"/>
      <protection hidden="1"/>
    </xf>
    <xf numFmtId="166" fontId="1" fillId="12" borderId="0" xfId="13" applyNumberFormat="1" applyFill="1" applyBorder="1" applyAlignment="1" applyProtection="1">
      <alignment horizontal="center"/>
      <protection locked="0" hidden="1"/>
    </xf>
    <xf numFmtId="0" fontId="1" fillId="12" borderId="0" xfId="13" applyFont="1" applyFill="1" applyBorder="1" applyAlignment="1" applyProtection="1">
      <alignment horizontal="center"/>
      <protection locked="0" hidden="1"/>
    </xf>
    <xf numFmtId="165" fontId="1" fillId="10" borderId="13" xfId="13" applyNumberFormat="1" applyFont="1" applyFill="1" applyBorder="1" applyAlignment="1" applyProtection="1">
      <alignment horizontal="left"/>
      <protection hidden="1"/>
    </xf>
    <xf numFmtId="0" fontId="2" fillId="10" borderId="0" xfId="13" applyFont="1" applyFill="1" applyBorder="1" applyAlignment="1" applyProtection="1">
      <alignment horizontal="left"/>
      <protection hidden="1"/>
    </xf>
    <xf numFmtId="0" fontId="1" fillId="10" borderId="0" xfId="13" applyFill="1"/>
    <xf numFmtId="0" fontId="1" fillId="12" borderId="0" xfId="13" applyFill="1" applyBorder="1" applyAlignment="1" applyProtection="1">
      <alignment horizontal="center"/>
      <protection locked="0" hidden="1"/>
    </xf>
    <xf numFmtId="0" fontId="1" fillId="10" borderId="13" xfId="13" applyFont="1" applyFill="1" applyBorder="1" applyAlignment="1" applyProtection="1">
      <alignment horizontal="left"/>
      <protection hidden="1"/>
    </xf>
    <xf numFmtId="0" fontId="1" fillId="10" borderId="0" xfId="13" applyFill="1" applyBorder="1" applyAlignment="1" applyProtection="1">
      <alignment horizontal="left"/>
      <protection hidden="1"/>
    </xf>
    <xf numFmtId="0" fontId="1" fillId="10" borderId="13" xfId="13" applyFont="1" applyFill="1" applyBorder="1" applyProtection="1">
      <protection hidden="1"/>
    </xf>
    <xf numFmtId="0" fontId="1" fillId="10" borderId="14" xfId="13" applyFont="1" applyFill="1" applyBorder="1" applyAlignment="1" applyProtection="1">
      <alignment horizontal="left"/>
      <protection hidden="1"/>
    </xf>
    <xf numFmtId="0" fontId="2" fillId="13" borderId="12" xfId="13" applyFont="1" applyFill="1" applyBorder="1" applyAlignment="1" applyProtection="1">
      <alignment horizontal="left"/>
      <protection hidden="1"/>
    </xf>
    <xf numFmtId="0" fontId="1" fillId="10" borderId="15" xfId="13" applyFill="1" applyBorder="1" applyAlignment="1" applyProtection="1">
      <alignment horizontal="left"/>
      <protection hidden="1"/>
    </xf>
    <xf numFmtId="0" fontId="1" fillId="10" borderId="12" xfId="13" applyFont="1" applyFill="1" applyBorder="1" applyAlignment="1" applyProtection="1">
      <alignment horizontal="left"/>
      <protection hidden="1"/>
    </xf>
    <xf numFmtId="164" fontId="1" fillId="14" borderId="0" xfId="13" applyNumberFormat="1" applyFill="1" applyBorder="1" applyAlignment="1" applyProtection="1">
      <protection hidden="1"/>
    </xf>
    <xf numFmtId="165" fontId="1" fillId="10" borderId="0" xfId="13" applyNumberFormat="1" applyFill="1" applyBorder="1" applyAlignment="1" applyProtection="1">
      <protection hidden="1"/>
    </xf>
    <xf numFmtId="164" fontId="1" fillId="10" borderId="0" xfId="13" applyNumberFormat="1" applyFill="1"/>
    <xf numFmtId="164" fontId="1" fillId="5" borderId="12" xfId="13" applyNumberFormat="1" applyFill="1" applyBorder="1"/>
    <xf numFmtId="164" fontId="1" fillId="12" borderId="0" xfId="13" applyNumberFormat="1" applyFill="1" applyBorder="1" applyAlignment="1" applyProtection="1">
      <protection locked="0"/>
    </xf>
    <xf numFmtId="164" fontId="1" fillId="15" borderId="0" xfId="13" applyNumberFormat="1" applyFill="1" applyBorder="1" applyAlignment="1" applyProtection="1">
      <protection locked="0"/>
    </xf>
    <xf numFmtId="165" fontId="1" fillId="12" borderId="0" xfId="13" applyNumberFormat="1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164" fontId="1" fillId="12" borderId="0" xfId="13" applyNumberFormat="1" applyFill="1" applyProtection="1">
      <protection locked="0"/>
    </xf>
    <xf numFmtId="0" fontId="2" fillId="12" borderId="0" xfId="13" applyNumberFormat="1" applyFont="1" applyFill="1" applyBorder="1" applyAlignment="1" applyProtection="1">
      <alignment horizontal="left"/>
      <protection locked="0"/>
    </xf>
    <xf numFmtId="0" fontId="1" fillId="11" borderId="0" xfId="13" applyFont="1" applyFill="1" applyBorder="1" applyAlignment="1" applyProtection="1">
      <alignment horizontal="left"/>
      <protection locked="0"/>
    </xf>
    <xf numFmtId="0" fontId="1" fillId="2" borderId="3" xfId="13" applyFill="1" applyBorder="1"/>
    <xf numFmtId="0" fontId="1" fillId="2" borderId="0" xfId="13" applyFill="1" applyAlignment="1">
      <alignment horizontal="right"/>
    </xf>
    <xf numFmtId="0" fontId="1" fillId="10" borderId="0" xfId="13" applyFill="1" applyAlignment="1">
      <alignment horizontal="right"/>
    </xf>
    <xf numFmtId="164" fontId="1" fillId="11" borderId="0" xfId="13" applyNumberFormat="1" applyFont="1" applyFill="1" applyBorder="1" applyAlignment="1" applyProtection="1">
      <alignment horizontal="right"/>
      <protection locked="0" hidden="1"/>
    </xf>
    <xf numFmtId="164" fontId="1" fillId="16" borderId="0" xfId="13" applyNumberFormat="1" applyFont="1" applyFill="1" applyBorder="1" applyAlignment="1" applyProtection="1">
      <alignment horizontal="right"/>
      <protection locked="0" hidden="1"/>
    </xf>
    <xf numFmtId="164" fontId="1" fillId="16" borderId="0" xfId="13" applyNumberFormat="1" applyFill="1" applyBorder="1" applyAlignment="1" applyProtection="1">
      <protection locked="0" hidden="1"/>
    </xf>
    <xf numFmtId="164" fontId="1" fillId="9" borderId="0" xfId="13" applyNumberFormat="1" applyFill="1" applyBorder="1" applyAlignment="1" applyProtection="1">
      <protection locked="0" hidden="1"/>
    </xf>
    <xf numFmtId="164" fontId="1" fillId="14" borderId="0" xfId="13" applyNumberFormat="1" applyFont="1" applyFill="1" applyBorder="1" applyAlignment="1" applyProtection="1">
      <alignment horizontal="right"/>
      <protection hidden="1"/>
    </xf>
    <xf numFmtId="164" fontId="1" fillId="17" borderId="0" xfId="13" applyNumberFormat="1" applyFill="1" applyBorder="1" applyAlignment="1" applyProtection="1">
      <protection locked="0" hidden="1"/>
    </xf>
    <xf numFmtId="164" fontId="1" fillId="16" borderId="0" xfId="13" applyNumberFormat="1" applyFont="1" applyFill="1" applyBorder="1" applyAlignment="1" applyProtection="1">
      <alignment horizontal="left"/>
      <protection locked="0" hidden="1"/>
    </xf>
    <xf numFmtId="164" fontId="1" fillId="10" borderId="13" xfId="13" applyNumberFormat="1" applyFill="1" applyBorder="1" applyProtection="1">
      <protection hidden="1"/>
    </xf>
    <xf numFmtId="164" fontId="1" fillId="12" borderId="0" xfId="13" applyNumberFormat="1" applyFill="1" applyBorder="1" applyAlignment="1" applyProtection="1">
      <alignment horizontal="left"/>
      <protection locked="0" hidden="1"/>
    </xf>
    <xf numFmtId="164" fontId="1" fillId="12" borderId="0" xfId="13" applyNumberFormat="1" applyFill="1" applyBorder="1" applyAlignment="1" applyProtection="1">
      <alignment horizontal="left"/>
      <protection locked="0"/>
    </xf>
    <xf numFmtId="164" fontId="11" fillId="8" borderId="0" xfId="0" applyNumberFormat="1" applyFont="1" applyFill="1" applyBorder="1" applyAlignment="1" applyProtection="1">
      <alignment horizontal="left"/>
      <protection locked="0"/>
    </xf>
    <xf numFmtId="164" fontId="1" fillId="10" borderId="13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2" xfId="13" applyNumberFormat="1" applyFill="1" applyBorder="1" applyProtection="1">
      <protection hidden="1"/>
    </xf>
    <xf numFmtId="164" fontId="1" fillId="12" borderId="0" xfId="13" applyNumberFormat="1" applyFill="1" applyBorder="1" applyAlignment="1" applyProtection="1">
      <alignment horizontal="left"/>
      <protection hidden="1"/>
    </xf>
    <xf numFmtId="164" fontId="1" fillId="10" borderId="13" xfId="13" applyNumberFormat="1" applyFill="1" applyBorder="1" applyAlignment="1" applyProtection="1">
      <protection hidden="1"/>
    </xf>
    <xf numFmtId="164" fontId="1" fillId="13" borderId="12" xfId="13" applyNumberFormat="1" applyFill="1" applyBorder="1" applyAlignment="1" applyProtection="1">
      <protection hidden="1"/>
    </xf>
    <xf numFmtId="178" fontId="1" fillId="9" borderId="0" xfId="13" applyNumberFormat="1" applyFont="1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KROAK.xlsx" TargetMode="External"/><Relationship Id="rId2" Type="http://schemas.openxmlformats.org/officeDocument/2006/relationships/hyperlink" Target="VKVBTWBREYNEKROAV.xlsx" TargetMode="External"/><Relationship Id="rId1" Type="http://schemas.openxmlformats.org/officeDocument/2006/relationships/hyperlink" Target="VKVBTWBREYNEKRO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KRO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3"/>
  <sheetViews>
    <sheetView tabSelected="1" zoomScaleNormal="100" workbookViewId="0">
      <selection activeCell="B3" sqref="B3"/>
    </sheetView>
  </sheetViews>
  <sheetFormatPr defaultRowHeight="12.75"/>
  <cols>
    <col min="1" max="1" width="39.5703125" style="2" customWidth="1"/>
    <col min="2" max="2" width="19" style="2" customWidth="1"/>
    <col min="3" max="3" width="18.28515625" style="2" customWidth="1"/>
    <col min="4" max="4" width="15.7109375" style="2" customWidth="1"/>
    <col min="5" max="5" width="16.7109375" style="2" customWidth="1"/>
    <col min="6" max="6" width="9.7109375" style="2" customWidth="1"/>
    <col min="7" max="7" width="13.7109375" style="2" customWidth="1"/>
    <col min="8" max="8" width="15.5703125" style="2" customWidth="1"/>
    <col min="9" max="9" width="4.85546875" style="2" customWidth="1"/>
    <col min="10" max="10" width="9.140625" style="2"/>
    <col min="11" max="11" width="15" style="2" customWidth="1"/>
    <col min="12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50" t="s">
        <v>77</v>
      </c>
      <c r="B1" s="51"/>
      <c r="C1" s="51"/>
      <c r="D1" s="51"/>
      <c r="E1" s="65"/>
      <c r="F1" s="1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95"/>
      <c r="C3" s="3"/>
      <c r="D3" s="3"/>
      <c r="E3" s="4"/>
      <c r="F3" s="4"/>
      <c r="G3" s="5"/>
    </row>
    <row r="4" spans="1:7">
      <c r="A4" s="3" t="s">
        <v>1</v>
      </c>
      <c r="B4" s="96"/>
      <c r="C4" s="72"/>
      <c r="E4" s="7"/>
      <c r="F4" s="4"/>
    </row>
    <row r="5" spans="1:7">
      <c r="A5" s="3" t="s">
        <v>39</v>
      </c>
      <c r="B5" s="100">
        <v>0</v>
      </c>
      <c r="C5" s="6"/>
      <c r="E5" s="7"/>
      <c r="F5" s="4"/>
    </row>
    <row r="6" spans="1:7">
      <c r="A6" s="3" t="s">
        <v>40</v>
      </c>
      <c r="B6" s="101">
        <v>0</v>
      </c>
      <c r="C6" s="6"/>
      <c r="E6" s="7"/>
      <c r="F6" s="4"/>
    </row>
    <row r="7" spans="1:7">
      <c r="A7" s="3" t="s">
        <v>41</v>
      </c>
      <c r="B7" s="52" t="s">
        <v>35</v>
      </c>
      <c r="C7" s="6"/>
      <c r="E7" s="7"/>
      <c r="F7" s="4"/>
    </row>
    <row r="8" spans="1:7">
      <c r="A8" s="4" t="s">
        <v>42</v>
      </c>
      <c r="B8" s="102">
        <v>0</v>
      </c>
      <c r="C8" s="6"/>
      <c r="D8" s="4"/>
      <c r="E8" s="8"/>
      <c r="F8" s="4"/>
    </row>
    <row r="9" spans="1:7">
      <c r="A9" s="4" t="s">
        <v>3</v>
      </c>
      <c r="B9" s="103">
        <v>0</v>
      </c>
      <c r="C9" s="6"/>
      <c r="D9" s="4"/>
      <c r="E9" s="8"/>
      <c r="F9" s="4"/>
    </row>
    <row r="10" spans="1:7">
      <c r="A10" s="10" t="s">
        <v>43</v>
      </c>
      <c r="B10" s="104">
        <f>IF(B8&lt;B6,B6/2+B5+B9,B6+B5+B9)</f>
        <v>0</v>
      </c>
      <c r="C10" s="9"/>
      <c r="D10" s="4"/>
      <c r="E10" s="8"/>
      <c r="F10" s="4"/>
    </row>
    <row r="11" spans="1:7">
      <c r="A11" s="9" t="s">
        <v>4</v>
      </c>
      <c r="B11" s="105">
        <v>0</v>
      </c>
      <c r="C11" s="6"/>
      <c r="D11" s="4"/>
      <c r="E11" s="8"/>
      <c r="F11" s="4"/>
    </row>
    <row r="12" spans="1:7">
      <c r="A12" s="9" t="s">
        <v>47</v>
      </c>
      <c r="B12" s="73" t="s">
        <v>36</v>
      </c>
      <c r="C12" s="6"/>
      <c r="D12" s="4"/>
      <c r="E12" s="8"/>
      <c r="F12" s="4"/>
    </row>
    <row r="13" spans="1:7">
      <c r="A13" s="9" t="s">
        <v>5</v>
      </c>
      <c r="B13" s="106">
        <v>0</v>
      </c>
      <c r="C13" s="6"/>
      <c r="E13" s="7"/>
      <c r="F13" s="4"/>
    </row>
    <row r="14" spans="1:7">
      <c r="A14" s="9" t="s">
        <v>37</v>
      </c>
      <c r="B14" s="74" t="s">
        <v>36</v>
      </c>
      <c r="C14" s="6"/>
      <c r="D14" s="6"/>
      <c r="E14" s="10"/>
      <c r="F14" s="4"/>
      <c r="G14" s="8"/>
    </row>
    <row r="15" spans="1:7">
      <c r="A15" s="9" t="s">
        <v>38</v>
      </c>
      <c r="B15" s="74" t="s">
        <v>36</v>
      </c>
      <c r="C15" s="9"/>
      <c r="E15" s="7"/>
      <c r="F15" s="4"/>
      <c r="G15" s="4"/>
    </row>
    <row r="16" spans="1:7">
      <c r="A16" s="9" t="s">
        <v>78</v>
      </c>
      <c r="B16" s="117" t="s">
        <v>36</v>
      </c>
      <c r="C16" s="9"/>
      <c r="E16" s="7"/>
      <c r="F16" s="4"/>
      <c r="G16" s="4"/>
    </row>
    <row r="17" spans="1:7" ht="13.5" thickBot="1">
      <c r="A17" s="11" t="s">
        <v>6</v>
      </c>
      <c r="B17" s="3"/>
      <c r="C17" s="3"/>
      <c r="D17" s="3"/>
      <c r="E17" s="4"/>
      <c r="F17" s="4"/>
      <c r="G17" s="4"/>
    </row>
    <row r="18" spans="1:7" ht="14.25" thickTop="1" thickBot="1">
      <c r="A18" s="53" t="s">
        <v>7</v>
      </c>
      <c r="B18" s="12"/>
      <c r="C18" s="3"/>
      <c r="D18" s="3"/>
      <c r="E18" s="4"/>
      <c r="F18" s="4"/>
      <c r="G18" s="4"/>
    </row>
    <row r="19" spans="1:7" ht="14.25" thickTop="1" thickBot="1">
      <c r="A19" s="3"/>
      <c r="B19" s="3"/>
      <c r="C19" s="3"/>
      <c r="D19" s="3"/>
      <c r="E19" s="4"/>
      <c r="F19" s="4"/>
      <c r="G19" s="4"/>
    </row>
    <row r="20" spans="1:7" ht="14.25" thickTop="1" thickBot="1">
      <c r="A20" s="75" t="s">
        <v>8</v>
      </c>
      <c r="B20" s="76"/>
      <c r="C20" s="76"/>
      <c r="D20" s="107">
        <f>IF(AND(B12="ja",B16="ja"),F147-250,F147)</f>
        <v>0</v>
      </c>
      <c r="F20" s="7"/>
    </row>
    <row r="21" spans="1:7" ht="13.5" thickTop="1">
      <c r="A21" s="9" t="s">
        <v>9</v>
      </c>
      <c r="B21" s="6"/>
      <c r="C21" s="6"/>
      <c r="D21" s="69">
        <f>IF(B7="ja",0,B5*10/100)</f>
        <v>0</v>
      </c>
      <c r="E21" s="4"/>
      <c r="F21" s="10"/>
      <c r="G21" s="8"/>
    </row>
    <row r="22" spans="1:7">
      <c r="A22" s="9"/>
      <c r="B22" s="6" t="s">
        <v>48</v>
      </c>
      <c r="C22" s="6"/>
      <c r="D22" s="69">
        <f>IF(AND(B7="neen",B12="ja"),-B5*5/100,0)</f>
        <v>0</v>
      </c>
      <c r="E22" s="4"/>
      <c r="F22" s="10"/>
      <c r="G22" s="8"/>
    </row>
    <row r="23" spans="1:7">
      <c r="A23" s="9"/>
      <c r="B23" s="9" t="s">
        <v>10</v>
      </c>
      <c r="C23" s="6"/>
      <c r="D23" s="69">
        <f>IF(B13&gt;(D21+D22),-(D21+D22),-B13)</f>
        <v>0</v>
      </c>
      <c r="E23" s="4"/>
      <c r="F23" s="10"/>
      <c r="G23" s="8"/>
    </row>
    <row r="24" spans="1:7">
      <c r="A24" s="9"/>
      <c r="B24" s="9" t="s">
        <v>11</v>
      </c>
      <c r="C24" s="6"/>
      <c r="D24" s="68">
        <f>E108</f>
        <v>0</v>
      </c>
      <c r="E24" s="4"/>
      <c r="F24" s="10"/>
      <c r="G24" s="8"/>
    </row>
    <row r="25" spans="1:7">
      <c r="A25" s="9"/>
      <c r="B25" s="9" t="s">
        <v>12</v>
      </c>
      <c r="C25" s="6"/>
      <c r="D25" s="69">
        <f>H107</f>
        <v>0</v>
      </c>
      <c r="E25" s="4"/>
      <c r="F25" s="10"/>
      <c r="G25" s="8"/>
    </row>
    <row r="26" spans="1:7">
      <c r="A26" s="9" t="s">
        <v>17</v>
      </c>
      <c r="B26" s="9"/>
      <c r="C26" s="6"/>
      <c r="D26" s="69">
        <f>IF(B7="ja",(B5+B8)*21%,B8*21%)</f>
        <v>0</v>
      </c>
      <c r="E26" s="4"/>
      <c r="F26" s="10"/>
      <c r="G26" s="8"/>
    </row>
    <row r="27" spans="1:7">
      <c r="A27" s="6" t="s">
        <v>13</v>
      </c>
      <c r="B27" s="6"/>
      <c r="C27" s="6"/>
      <c r="D27" s="108">
        <v>0</v>
      </c>
      <c r="E27" s="4"/>
      <c r="F27" s="4"/>
      <c r="G27" s="4"/>
    </row>
    <row r="28" spans="1:7">
      <c r="A28" s="9" t="s">
        <v>14</v>
      </c>
      <c r="B28" s="78">
        <v>0</v>
      </c>
      <c r="C28" s="6"/>
      <c r="D28" s="69">
        <f>B28*30</f>
        <v>0</v>
      </c>
      <c r="E28" s="4"/>
      <c r="F28" s="4"/>
      <c r="G28" s="4"/>
    </row>
    <row r="29" spans="1:7">
      <c r="A29" s="9" t="s">
        <v>15</v>
      </c>
      <c r="B29" s="6"/>
      <c r="C29" s="6"/>
      <c r="D29" s="109">
        <v>770</v>
      </c>
      <c r="E29" s="4"/>
      <c r="F29" s="4"/>
      <c r="G29" s="4"/>
    </row>
    <row r="30" spans="1:7" ht="15.75" thickBot="1">
      <c r="A30" s="14" t="s">
        <v>44</v>
      </c>
      <c r="B30" s="15"/>
      <c r="C30" s="15"/>
      <c r="D30" s="110">
        <v>0</v>
      </c>
      <c r="E30" s="4"/>
      <c r="F30" s="4"/>
      <c r="G30" s="4"/>
    </row>
    <row r="31" spans="1:7" ht="14.25" thickTop="1" thickBot="1">
      <c r="A31" s="79" t="s">
        <v>16</v>
      </c>
      <c r="B31" s="80"/>
      <c r="C31" s="77"/>
      <c r="D31" s="111">
        <f>SUM(D21:D30)</f>
        <v>770</v>
      </c>
      <c r="F31" s="4"/>
      <c r="G31" s="4"/>
    </row>
    <row r="32" spans="1:7" ht="14.25" thickTop="1" thickBot="1">
      <c r="A32" s="77"/>
      <c r="B32" s="80"/>
      <c r="C32" s="81" t="s">
        <v>17</v>
      </c>
      <c r="D32" s="107">
        <f>(D20+D29)*21%</f>
        <v>161.69999999999999</v>
      </c>
      <c r="F32" s="4"/>
      <c r="G32" s="4"/>
    </row>
    <row r="33" spans="1:7" ht="14.25" thickTop="1" thickBot="1">
      <c r="A33" s="16"/>
      <c r="B33" s="6"/>
      <c r="C33" s="17"/>
      <c r="D33" s="112"/>
      <c r="F33" s="4"/>
      <c r="G33" s="4"/>
    </row>
    <row r="34" spans="1:7" ht="14.25" thickTop="1" thickBot="1">
      <c r="A34" s="82" t="s">
        <v>18</v>
      </c>
      <c r="B34" s="19"/>
      <c r="C34" s="20"/>
      <c r="D34" s="113">
        <f>SUM(D20:D32)-D31</f>
        <v>931.7</v>
      </c>
      <c r="F34" s="4"/>
      <c r="G34" s="4"/>
    </row>
    <row r="35" spans="1:7" ht="14.25" thickTop="1" thickBot="1">
      <c r="A35" s="9"/>
      <c r="B35" s="6"/>
      <c r="C35" s="6"/>
      <c r="D35" s="20"/>
      <c r="E35" s="21"/>
      <c r="F35" s="4"/>
      <c r="G35" s="4"/>
    </row>
    <row r="36" spans="1:7" ht="14.25" thickTop="1" thickBot="1">
      <c r="A36" s="83" t="s">
        <v>19</v>
      </c>
      <c r="B36" s="19"/>
      <c r="C36" s="6"/>
      <c r="D36" s="13"/>
      <c r="E36" s="4"/>
      <c r="F36" s="4"/>
      <c r="G36" s="4"/>
    </row>
    <row r="37" spans="1:7" ht="13.5" thickTop="1">
      <c r="A37" s="9"/>
      <c r="B37" s="6"/>
      <c r="C37" s="6"/>
      <c r="D37" s="13"/>
      <c r="E37" s="4"/>
      <c r="F37" s="4"/>
      <c r="G37" s="4"/>
    </row>
    <row r="38" spans="1:7">
      <c r="A38" s="9" t="s">
        <v>20</v>
      </c>
      <c r="B38" s="6"/>
      <c r="C38" s="6"/>
      <c r="D38" s="108">
        <v>0</v>
      </c>
      <c r="E38" s="4"/>
      <c r="F38" s="4"/>
      <c r="G38" s="4"/>
    </row>
    <row r="39" spans="1:7">
      <c r="A39" s="9" t="s">
        <v>21</v>
      </c>
      <c r="B39" s="6"/>
      <c r="C39" s="6"/>
      <c r="D39" s="108">
        <v>0</v>
      </c>
      <c r="E39" s="4"/>
      <c r="F39" s="4"/>
      <c r="G39" s="4"/>
    </row>
    <row r="40" spans="1:7">
      <c r="A40" s="9" t="s">
        <v>22</v>
      </c>
      <c r="B40" s="6"/>
      <c r="C40" s="6"/>
      <c r="D40" s="108">
        <v>0</v>
      </c>
      <c r="E40" s="4"/>
      <c r="F40" s="4"/>
      <c r="G40" s="4"/>
    </row>
    <row r="41" spans="1:7">
      <c r="A41" s="9" t="s">
        <v>23</v>
      </c>
      <c r="B41" s="78">
        <v>0</v>
      </c>
      <c r="C41" s="6"/>
      <c r="D41" s="114">
        <f>B41*50</f>
        <v>0</v>
      </c>
      <c r="E41" s="4"/>
      <c r="F41" s="4"/>
      <c r="G41" s="4"/>
    </row>
    <row r="42" spans="1:7" ht="13.5" thickBot="1">
      <c r="A42" s="9" t="s">
        <v>45</v>
      </c>
      <c r="B42" s="6"/>
      <c r="C42" s="6"/>
      <c r="D42" s="108">
        <v>0</v>
      </c>
      <c r="E42" s="4"/>
      <c r="F42" s="4"/>
      <c r="G42" s="4"/>
    </row>
    <row r="43" spans="1:7" ht="14.25" thickTop="1" thickBot="1">
      <c r="A43" s="79" t="s">
        <v>24</v>
      </c>
      <c r="B43" s="80"/>
      <c r="C43" s="77"/>
      <c r="D43" s="111">
        <f>SUM(D38:D42)</f>
        <v>0</v>
      </c>
      <c r="F43" s="4"/>
      <c r="G43" s="8"/>
    </row>
    <row r="44" spans="1:7" ht="14.25" thickTop="1" thickBot="1">
      <c r="A44" s="84"/>
      <c r="B44" s="80"/>
      <c r="C44" s="81" t="s">
        <v>17</v>
      </c>
      <c r="D44" s="115">
        <f>(D38+D41+D42)*21%</f>
        <v>0</v>
      </c>
      <c r="F44" s="4"/>
      <c r="G44" s="8"/>
    </row>
    <row r="45" spans="1:7" ht="14.25" thickTop="1" thickBot="1">
      <c r="A45" s="22"/>
      <c r="B45" s="6"/>
      <c r="C45" s="23"/>
      <c r="D45" s="67"/>
      <c r="F45" s="4"/>
      <c r="G45" s="8"/>
    </row>
    <row r="46" spans="1:7" ht="14.25" thickTop="1" thickBot="1">
      <c r="A46" s="85" t="s">
        <v>25</v>
      </c>
      <c r="B46" s="19"/>
      <c r="C46" s="24"/>
      <c r="D46" s="116">
        <f>SUM(D43:D44)</f>
        <v>0</v>
      </c>
      <c r="E46" s="97"/>
      <c r="F46" s="4"/>
      <c r="G46" s="8"/>
    </row>
    <row r="47" spans="1:7" ht="13.5" thickTop="1">
      <c r="A47" s="9"/>
      <c r="B47" s="6"/>
      <c r="C47" s="6"/>
      <c r="D47" s="6"/>
      <c r="E47" s="8"/>
      <c r="F47" s="4"/>
      <c r="G47" s="8"/>
    </row>
    <row r="48" spans="1:7" ht="15" customHeight="1">
      <c r="A48" s="9"/>
      <c r="B48" s="6"/>
      <c r="C48" s="6"/>
      <c r="D48" s="6"/>
      <c r="E48" s="8"/>
      <c r="F48" s="4"/>
      <c r="G48" s="8"/>
    </row>
    <row r="49" spans="1:7" ht="28.5" customHeight="1">
      <c r="A49" s="66" t="s">
        <v>49</v>
      </c>
      <c r="B49" s="6"/>
      <c r="C49" s="6"/>
      <c r="D49" s="6"/>
      <c r="E49" s="8"/>
      <c r="F49" s="4"/>
      <c r="G49" s="8"/>
    </row>
    <row r="50" spans="1:7">
      <c r="A50" s="9"/>
      <c r="B50" s="6"/>
      <c r="C50" s="6"/>
      <c r="D50" s="6"/>
      <c r="E50" s="8"/>
      <c r="F50" s="4"/>
      <c r="G50" s="8"/>
    </row>
    <row r="51" spans="1:7">
      <c r="A51" s="9" t="s">
        <v>50</v>
      </c>
      <c r="B51" s="6" t="s">
        <v>51</v>
      </c>
      <c r="C51" s="90">
        <v>0</v>
      </c>
      <c r="D51" s="8"/>
    </row>
    <row r="52" spans="1:7">
      <c r="A52" s="9"/>
      <c r="B52" s="6" t="s">
        <v>52</v>
      </c>
      <c r="C52" s="90">
        <v>0</v>
      </c>
      <c r="D52" s="8"/>
    </row>
    <row r="53" spans="1:7">
      <c r="A53" s="9"/>
      <c r="B53" s="6" t="s">
        <v>53</v>
      </c>
      <c r="C53" s="86">
        <f>SUM(C51:C52)</f>
        <v>0</v>
      </c>
      <c r="D53" s="8"/>
    </row>
    <row r="54" spans="1:7">
      <c r="A54" s="9"/>
      <c r="B54" s="6"/>
      <c r="C54" s="67"/>
      <c r="D54" s="8"/>
    </row>
    <row r="55" spans="1:7">
      <c r="A55" s="9" t="s">
        <v>54</v>
      </c>
      <c r="B55" s="6"/>
      <c r="C55" s="91">
        <v>0</v>
      </c>
      <c r="D55" s="8"/>
    </row>
    <row r="56" spans="1:7">
      <c r="A56" s="9"/>
      <c r="B56" s="6"/>
      <c r="C56" s="4"/>
      <c r="D56" s="8"/>
    </row>
    <row r="57" spans="1:7">
      <c r="A57" s="9" t="s">
        <v>55</v>
      </c>
      <c r="B57" s="6"/>
      <c r="C57" s="92" t="s">
        <v>36</v>
      </c>
      <c r="D57" s="8"/>
    </row>
    <row r="58" spans="1:7" ht="15">
      <c r="A58" s="70" t="s">
        <v>76</v>
      </c>
      <c r="B58" s="71"/>
      <c r="C58" s="93">
        <v>1</v>
      </c>
      <c r="D58" s="8"/>
    </row>
    <row r="59" spans="1:7">
      <c r="A59" s="9" t="s">
        <v>6</v>
      </c>
      <c r="B59" s="6"/>
      <c r="C59" s="4"/>
      <c r="D59" s="8"/>
    </row>
    <row r="60" spans="1:7">
      <c r="A60" s="9"/>
      <c r="B60" s="4"/>
      <c r="D60" s="98" t="s">
        <v>8</v>
      </c>
      <c r="E60" s="68">
        <f>IF(C57= "ja",I205/2+4.239,I205)</f>
        <v>0</v>
      </c>
    </row>
    <row r="61" spans="1:7">
      <c r="A61" s="9" t="s">
        <v>56</v>
      </c>
      <c r="B61" s="4"/>
      <c r="C61" s="68">
        <f>C53/100</f>
        <v>0</v>
      </c>
      <c r="D61" s="98"/>
    </row>
    <row r="62" spans="1:7">
      <c r="A62" s="9" t="s">
        <v>57</v>
      </c>
      <c r="B62" s="4"/>
      <c r="C62" s="94">
        <v>0</v>
      </c>
      <c r="D62" s="98"/>
      <c r="E62" s="68"/>
    </row>
    <row r="63" spans="1:7">
      <c r="A63" s="9"/>
      <c r="B63" s="4"/>
      <c r="C63" s="68"/>
      <c r="D63" s="98"/>
      <c r="E63" s="68"/>
    </row>
    <row r="64" spans="1:7">
      <c r="A64" s="9" t="s">
        <v>58</v>
      </c>
      <c r="B64" s="67">
        <f>C53*0.3%</f>
        <v>0</v>
      </c>
      <c r="C64" s="68"/>
      <c r="D64" s="98"/>
      <c r="E64" s="68"/>
    </row>
    <row r="65" spans="1:5">
      <c r="A65" s="9" t="s">
        <v>59</v>
      </c>
      <c r="B65" s="67">
        <f>A101*C58</f>
        <v>87.31</v>
      </c>
      <c r="C65" s="68"/>
      <c r="D65" s="98"/>
      <c r="E65" s="68"/>
    </row>
    <row r="66" spans="1:5">
      <c r="A66" s="9" t="s">
        <v>60</v>
      </c>
      <c r="B66" s="4"/>
      <c r="C66" s="68">
        <f>IF((H191-B64-B65)&lt;22,H191+50,H191)</f>
        <v>150</v>
      </c>
      <c r="D66" s="98"/>
      <c r="E66" s="68"/>
    </row>
    <row r="67" spans="1:5">
      <c r="A67" s="9"/>
      <c r="B67" s="4"/>
      <c r="C67" s="68"/>
      <c r="D67" s="98"/>
      <c r="E67" s="68"/>
    </row>
    <row r="68" spans="1:5">
      <c r="A68" s="9" t="s">
        <v>61</v>
      </c>
      <c r="B68" s="4"/>
      <c r="C68" s="68">
        <f>50</f>
        <v>50</v>
      </c>
      <c r="D68" s="98"/>
      <c r="E68" s="68"/>
    </row>
    <row r="69" spans="1:5">
      <c r="A69" s="9"/>
      <c r="B69" s="4"/>
      <c r="C69" s="68"/>
      <c r="D69" s="98"/>
      <c r="E69" s="68"/>
    </row>
    <row r="70" spans="1:5">
      <c r="A70" s="9" t="s">
        <v>62</v>
      </c>
      <c r="B70" s="4"/>
      <c r="C70" s="94">
        <f>660</f>
        <v>660</v>
      </c>
      <c r="D70" s="98"/>
      <c r="E70" s="68"/>
    </row>
    <row r="71" spans="1:5">
      <c r="A71" s="9"/>
      <c r="B71" s="4"/>
      <c r="C71" s="68"/>
      <c r="D71" s="98"/>
      <c r="E71" s="68"/>
    </row>
    <row r="72" spans="1:5">
      <c r="A72" s="9" t="s">
        <v>63</v>
      </c>
      <c r="B72" s="4"/>
      <c r="C72" s="94">
        <v>0</v>
      </c>
      <c r="D72" s="98"/>
      <c r="E72" s="68"/>
    </row>
    <row r="73" spans="1:5">
      <c r="A73" s="9"/>
      <c r="B73" s="4"/>
      <c r="C73" s="68"/>
      <c r="D73" s="98"/>
      <c r="E73" s="68"/>
    </row>
    <row r="74" spans="1:5">
      <c r="A74" s="9"/>
      <c r="B74" s="87" t="s">
        <v>64</v>
      </c>
      <c r="C74" s="88">
        <f>SUM(C61,C62,C66,C68,C70,C72)</f>
        <v>860</v>
      </c>
      <c r="D74" s="99" t="s">
        <v>65</v>
      </c>
      <c r="E74" s="88">
        <f>E60</f>
        <v>0</v>
      </c>
    </row>
    <row r="75" spans="1:5">
      <c r="A75" s="9"/>
      <c r="B75" s="87"/>
      <c r="C75" s="77"/>
      <c r="D75" s="99" t="s">
        <v>66</v>
      </c>
      <c r="E75" s="88">
        <f>C74</f>
        <v>860</v>
      </c>
    </row>
    <row r="76" spans="1:5">
      <c r="A76" s="9"/>
      <c r="B76" s="87"/>
      <c r="C76" s="77"/>
      <c r="D76" s="99" t="s">
        <v>67</v>
      </c>
      <c r="E76" s="88">
        <f>SUM(E74+C74)</f>
        <v>860</v>
      </c>
    </row>
    <row r="77" spans="1:5">
      <c r="A77" s="9"/>
      <c r="B77" s="87"/>
      <c r="C77" s="77"/>
      <c r="D77" s="99"/>
      <c r="E77" s="88"/>
    </row>
    <row r="78" spans="1:5">
      <c r="A78" s="9"/>
      <c r="B78" s="87"/>
      <c r="C78" s="77"/>
      <c r="D78" s="99" t="s">
        <v>17</v>
      </c>
      <c r="E78" s="88">
        <f>SUM(D182,D183,D184,D181)</f>
        <v>149.1</v>
      </c>
    </row>
    <row r="79" spans="1:5" ht="13.5" thickBot="1">
      <c r="A79" s="9"/>
      <c r="B79" s="4"/>
      <c r="D79" s="98"/>
      <c r="E79" s="68"/>
    </row>
    <row r="80" spans="1:5" ht="14.25" thickTop="1" thickBot="1">
      <c r="A80" s="9"/>
      <c r="B80" s="4"/>
      <c r="D80" s="99" t="s">
        <v>68</v>
      </c>
      <c r="E80" s="89">
        <f>SUM(E76:E78)</f>
        <v>1009.1</v>
      </c>
    </row>
    <row r="81" spans="1:23" ht="13.5" thickTop="1">
      <c r="A81" s="9"/>
      <c r="B81" s="6"/>
      <c r="C81" s="6"/>
      <c r="D81" s="6"/>
      <c r="E81" s="8"/>
      <c r="F81" s="4"/>
      <c r="G81" s="8"/>
    </row>
    <row r="82" spans="1:23">
      <c r="A82" s="9"/>
      <c r="B82" s="6"/>
      <c r="C82" s="6"/>
      <c r="D82" s="6"/>
      <c r="E82" s="8"/>
      <c r="F82" s="4"/>
      <c r="G82" s="8"/>
    </row>
    <row r="83" spans="1:23">
      <c r="A83" s="9"/>
      <c r="B83" s="6"/>
      <c r="C83" s="6"/>
      <c r="D83" s="6"/>
      <c r="E83" s="8"/>
      <c r="F83" s="4"/>
      <c r="G83" s="8"/>
    </row>
    <row r="84" spans="1:23">
      <c r="A84" s="7"/>
      <c r="B84" s="7"/>
      <c r="C84" s="7"/>
      <c r="D84" s="7"/>
      <c r="E84" s="7"/>
      <c r="F84" s="7"/>
      <c r="G84" s="7"/>
    </row>
    <row r="85" spans="1:23">
      <c r="A85" s="7"/>
      <c r="B85" s="25" t="s">
        <v>26</v>
      </c>
      <c r="C85" s="25" t="s">
        <v>27</v>
      </c>
      <c r="E85" s="7"/>
    </row>
    <row r="86" spans="1:23">
      <c r="A86" s="7"/>
      <c r="B86" s="7"/>
      <c r="C86" s="20"/>
      <c r="E86" s="7"/>
      <c r="F86" s="21"/>
      <c r="G86" s="7"/>
    </row>
    <row r="87" spans="1:23">
      <c r="A87" s="7"/>
      <c r="B87" s="26" t="s">
        <v>28</v>
      </c>
      <c r="C87" s="54" t="s">
        <v>29</v>
      </c>
      <c r="E87" s="7"/>
      <c r="F87" s="20"/>
      <c r="G87" s="18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</row>
    <row r="88" spans="1:23">
      <c r="A88" s="7"/>
      <c r="B88" s="28"/>
      <c r="C88" s="28"/>
      <c r="E88" s="7"/>
      <c r="F88" s="29"/>
      <c r="G88" s="28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</row>
    <row r="89" spans="1:23" ht="14.25">
      <c r="B89" s="25" t="s">
        <v>46</v>
      </c>
      <c r="C89" s="30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</row>
    <row r="90" spans="1:23" ht="14.25">
      <c r="B90" s="27"/>
      <c r="C90" s="30"/>
      <c r="D90" s="30"/>
      <c r="E90" s="25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</row>
    <row r="91" spans="1:23" ht="14.25">
      <c r="B91" s="27"/>
      <c r="D91" s="30"/>
      <c r="E91" s="25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</row>
    <row r="92" spans="1:23" ht="14.25">
      <c r="B92" s="27"/>
      <c r="C92" s="30"/>
      <c r="D92" s="30"/>
      <c r="E92" s="30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</row>
    <row r="93" spans="1:23" ht="14.25">
      <c r="B93" s="27"/>
      <c r="D93" s="30"/>
      <c r="E93" s="30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</row>
    <row r="94" spans="1:23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</row>
    <row r="95" spans="1:23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</row>
    <row r="96" spans="1:23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</row>
    <row r="97" spans="1:23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</row>
    <row r="98" spans="1:23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</row>
    <row r="99" spans="1:23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</row>
    <row r="100" spans="1:23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</row>
    <row r="101" spans="1:23" hidden="1">
      <c r="A101" s="2">
        <f>(A152+ROUNDDOWN((C51+C52-1)/F153,0)*A153)+20</f>
        <v>87.31</v>
      </c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</row>
    <row r="102" spans="1:23" hidden="1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</row>
    <row r="103" spans="1:23" hidden="1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</row>
    <row r="104" spans="1:23" hidden="1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</row>
    <row r="105" spans="1:23" hidden="1"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</row>
    <row r="106" spans="1:23" hidden="1">
      <c r="B106" s="13">
        <f>IF(B14="ja",-1500,0)</f>
        <v>0</v>
      </c>
      <c r="C106" s="32">
        <f>IF(AND(B12="ja",B14="ja"),-750,0)</f>
        <v>0</v>
      </c>
      <c r="D106" s="32"/>
      <c r="E106" s="32"/>
      <c r="F106" s="32">
        <f>IF(AND(B14="ja",B15="ja"),-1000,0)</f>
        <v>0</v>
      </c>
      <c r="G106" s="32"/>
      <c r="H106" s="32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</row>
    <row r="107" spans="1:23" hidden="1">
      <c r="B107" s="13">
        <f>IF(B14="ja",-750,0)</f>
        <v>0</v>
      </c>
      <c r="C107" s="32">
        <f>IF(AND(B12="neen",B14="ja"),-1500,0)</f>
        <v>0</v>
      </c>
      <c r="D107" s="32"/>
      <c r="E107" s="32"/>
      <c r="F107" s="32">
        <f>-F106</f>
        <v>0</v>
      </c>
      <c r="G107" s="32">
        <f>IF(F107&gt;(D21+D22+D24-50),-(D21+D22+D24-50),F106)</f>
        <v>50</v>
      </c>
      <c r="H107" s="32">
        <f>IF(G107=50,0,G107)</f>
        <v>0</v>
      </c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</row>
    <row r="108" spans="1:23" hidden="1">
      <c r="B108" s="32"/>
      <c r="C108" s="32">
        <f>SUM(C106:C107)</f>
        <v>0</v>
      </c>
      <c r="D108" s="32">
        <f>IF(C110&gt;(D21+D22-50),-(D21+D22-50),C108)</f>
        <v>50</v>
      </c>
      <c r="E108" s="32">
        <f>IF(D108=50,0,D108)</f>
        <v>0</v>
      </c>
      <c r="F108" s="32"/>
      <c r="G108" s="32"/>
      <c r="H108" s="32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</row>
    <row r="109" spans="1:23" hidden="1">
      <c r="B109" s="32"/>
      <c r="C109" s="32"/>
      <c r="D109" s="32"/>
      <c r="E109" s="32"/>
      <c r="F109" s="32"/>
      <c r="G109" s="32"/>
      <c r="H109" s="32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</row>
    <row r="110" spans="1:23" hidden="1">
      <c r="B110" s="32"/>
      <c r="C110" s="32">
        <f>-C108</f>
        <v>0</v>
      </c>
      <c r="D110" s="32"/>
      <c r="E110" s="32"/>
      <c r="F110" s="32"/>
      <c r="G110" s="32"/>
      <c r="H110" s="28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</row>
    <row r="111" spans="1:23" hidden="1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</row>
    <row r="112" spans="1:23" hidden="1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</row>
    <row r="113" spans="1:23" hidden="1">
      <c r="B113" s="27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</row>
    <row r="114" spans="1:23" hidden="1">
      <c r="B114" s="27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</row>
    <row r="115" spans="1:23" hidden="1">
      <c r="B115" s="27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</row>
    <row r="116" spans="1:23" hidden="1"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</row>
    <row r="117" spans="1:23" hidden="1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</row>
    <row r="118" spans="1:23" hidden="1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</row>
    <row r="119" spans="1:23" hidden="1">
      <c r="A119" s="31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</row>
    <row r="120" spans="1:23" hidden="1">
      <c r="B120" s="27"/>
      <c r="C120" s="27"/>
      <c r="D120" s="27"/>
      <c r="E120" s="27"/>
      <c r="F120" s="27"/>
      <c r="G120" s="27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27"/>
      <c r="V120" s="27"/>
      <c r="W120" s="27"/>
    </row>
    <row r="121" spans="1:23" hidden="1">
      <c r="A121" s="33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27"/>
      <c r="V121" s="27"/>
      <c r="W121" s="27"/>
    </row>
    <row r="122" spans="1:23" hidden="1">
      <c r="A122" s="33"/>
      <c r="B122" s="13">
        <f>IF(B14="ja",-1500,0)</f>
        <v>0</v>
      </c>
      <c r="C122" s="32">
        <f>IF(AND(B12="ja",B14="ja"),-750,0)</f>
        <v>0</v>
      </c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27"/>
      <c r="V122" s="27"/>
      <c r="W122" s="27"/>
    </row>
    <row r="123" spans="1:23" hidden="1">
      <c r="A123" s="33"/>
      <c r="B123" s="13">
        <f>IF(B14="ja",-750,0)</f>
        <v>0</v>
      </c>
      <c r="C123" s="32">
        <f>IF(AND(B12="neen",B14="ja"),-1500,0)</f>
        <v>0</v>
      </c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27"/>
      <c r="V123" s="27"/>
      <c r="W123" s="27"/>
    </row>
    <row r="124" spans="1:23" hidden="1">
      <c r="A124" s="33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27"/>
      <c r="V124" s="27"/>
      <c r="W124" s="27"/>
    </row>
    <row r="125" spans="1:23" hidden="1">
      <c r="A125" s="33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27"/>
      <c r="V125" s="27"/>
      <c r="W125" s="27"/>
    </row>
    <row r="126" spans="1:23" ht="13.5" hidden="1" thickBot="1">
      <c r="A126" s="33"/>
      <c r="B126" s="32"/>
      <c r="C126" s="32"/>
      <c r="D126" s="32"/>
      <c r="E126" s="32"/>
      <c r="F126" s="32"/>
      <c r="G126" s="32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ht="13.5" hidden="1" thickBot="1">
      <c r="A127" s="7"/>
      <c r="B127" s="34"/>
      <c r="C127" s="28"/>
      <c r="D127" s="28"/>
      <c r="E127" s="28"/>
      <c r="F127" s="28"/>
      <c r="G127" s="28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</row>
    <row r="128" spans="1:23" ht="13.5" hidden="1" thickBot="1">
      <c r="A128" s="7"/>
      <c r="B128" s="7"/>
      <c r="C128" s="7"/>
      <c r="D128" s="7"/>
      <c r="E128" s="35"/>
      <c r="F128" s="35"/>
      <c r="G128" s="35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</row>
    <row r="129" spans="1:23" hidden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hidden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hidden="1">
      <c r="A131" s="7" t="s">
        <v>2</v>
      </c>
      <c r="B131" s="7"/>
      <c r="C131" s="7" t="s">
        <v>30</v>
      </c>
      <c r="D131" s="7" t="s">
        <v>31</v>
      </c>
      <c r="E131" s="7"/>
      <c r="F131" s="20" t="s">
        <v>35</v>
      </c>
      <c r="G131" s="20" t="s">
        <v>35</v>
      </c>
      <c r="H131" s="20" t="s">
        <v>35</v>
      </c>
      <c r="I131" s="20" t="s">
        <v>35</v>
      </c>
      <c r="J131" s="7" t="s">
        <v>35</v>
      </c>
      <c r="K131" s="7" t="s">
        <v>35</v>
      </c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hidden="1">
      <c r="A132" s="7"/>
      <c r="B132" s="7"/>
      <c r="C132" s="7"/>
      <c r="D132" s="7">
        <v>525</v>
      </c>
      <c r="E132" s="7"/>
      <c r="F132" s="20" t="s">
        <v>36</v>
      </c>
      <c r="G132" s="20" t="s">
        <v>36</v>
      </c>
      <c r="H132" s="20" t="s">
        <v>36</v>
      </c>
      <c r="I132" s="20" t="s">
        <v>36</v>
      </c>
      <c r="J132" s="7" t="s">
        <v>36</v>
      </c>
      <c r="K132" s="7" t="s">
        <v>36</v>
      </c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hidden="1">
      <c r="A133" s="7"/>
      <c r="B133" s="7"/>
      <c r="C133" s="7"/>
      <c r="D133" s="7">
        <v>100</v>
      </c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hidden="1">
      <c r="A134" s="7"/>
      <c r="B134" s="7"/>
      <c r="C134" s="7"/>
      <c r="D134" s="7">
        <v>675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hidden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hidden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hidden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ht="14.25" hidden="1">
      <c r="A138" s="36" t="s">
        <v>32</v>
      </c>
      <c r="B138" s="36"/>
      <c r="C138" s="36" t="s">
        <v>32</v>
      </c>
      <c r="D138" s="37" t="s">
        <v>33</v>
      </c>
      <c r="E138" s="38"/>
      <c r="F138" s="36" t="s">
        <v>8</v>
      </c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ht="15" hidden="1">
      <c r="A139" s="39">
        <v>0</v>
      </c>
      <c r="B139" s="40"/>
      <c r="C139" s="39">
        <v>7500</v>
      </c>
      <c r="D139" s="41">
        <v>4.5600000000000002E-2</v>
      </c>
      <c r="E139" s="42"/>
      <c r="F139" s="39">
        <f>IF($B$10&lt;C139,$B$10*D139,C139*D139)</f>
        <v>0</v>
      </c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ht="15" hidden="1">
      <c r="A140" s="39">
        <v>7500</v>
      </c>
      <c r="B140" s="40"/>
      <c r="C140" s="39">
        <v>17500</v>
      </c>
      <c r="D140" s="41">
        <v>2.8500000000000001E-2</v>
      </c>
      <c r="E140" s="42"/>
      <c r="F140" s="40" t="str">
        <f t="shared" ref="F140:F145" si="0">IF($B$10&lt;=A140," ",IF($B$10&lt;C140,($B$10-C139)*D140,(C140-A140)*D140))</f>
        <v xml:space="preserve"> </v>
      </c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ht="15" hidden="1">
      <c r="A141" s="39">
        <v>17500</v>
      </c>
      <c r="B141" s="40"/>
      <c r="C141" s="39">
        <v>30000</v>
      </c>
      <c r="D141" s="41">
        <v>2.2800000000000001E-2</v>
      </c>
      <c r="E141" s="42"/>
      <c r="F141" s="40" t="str">
        <f t="shared" si="0"/>
        <v xml:space="preserve"> 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ht="15" hidden="1">
      <c r="A142" s="39">
        <v>30000</v>
      </c>
      <c r="B142" s="40"/>
      <c r="C142" s="39">
        <v>45495</v>
      </c>
      <c r="D142" s="41">
        <v>1.7100000000000001E-2</v>
      </c>
      <c r="E142" s="42"/>
      <c r="F142" s="40" t="str">
        <f t="shared" si="0"/>
        <v xml:space="preserve"> 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ht="15" hidden="1">
      <c r="A143" s="39">
        <v>45495</v>
      </c>
      <c r="B143" s="40"/>
      <c r="C143" s="39">
        <v>64095</v>
      </c>
      <c r="D143" s="41">
        <v>1.14E-2</v>
      </c>
      <c r="E143" s="42"/>
      <c r="F143" s="40" t="str">
        <f t="shared" si="0"/>
        <v xml:space="preserve"> </v>
      </c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ht="15" hidden="1">
      <c r="A144" s="39">
        <v>64095</v>
      </c>
      <c r="B144" s="40"/>
      <c r="C144" s="39">
        <v>250095</v>
      </c>
      <c r="D144" s="41">
        <v>5.7000000000000002E-3</v>
      </c>
      <c r="E144" s="42"/>
      <c r="F144" s="40" t="str">
        <f t="shared" si="0"/>
        <v xml:space="preserve"> </v>
      </c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t="15" hidden="1">
      <c r="A145" s="39">
        <v>250095</v>
      </c>
      <c r="B145" s="40"/>
      <c r="C145" s="39">
        <f>$B$10</f>
        <v>0</v>
      </c>
      <c r="D145" s="41">
        <v>5.6999999999999998E-4</v>
      </c>
      <c r="E145" s="42"/>
      <c r="F145" s="40" t="str">
        <f t="shared" si="0"/>
        <v xml:space="preserve"> </v>
      </c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t="15" hidden="1">
      <c r="A146" s="43"/>
      <c r="B146" s="44"/>
      <c r="C146" s="44"/>
      <c r="D146" s="45"/>
      <c r="E146" s="46"/>
      <c r="F146" s="46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t="15" hidden="1">
      <c r="A147" s="36" t="s">
        <v>34</v>
      </c>
      <c r="B147" s="47"/>
      <c r="C147" s="44"/>
      <c r="D147" s="48"/>
      <c r="E147" s="46"/>
      <c r="F147" s="49">
        <f>SUM(F139:F146)</f>
        <v>0</v>
      </c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idden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idden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idden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idden="1">
      <c r="A151" s="7" t="s">
        <v>69</v>
      </c>
      <c r="B151" s="7"/>
      <c r="C151" s="7"/>
      <c r="D151" s="7"/>
      <c r="E151" s="7"/>
      <c r="F151" s="7"/>
      <c r="G151" s="7"/>
      <c r="H151" s="7"/>
      <c r="I151" s="7"/>
      <c r="J151" s="7" t="s">
        <v>70</v>
      </c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idden="1">
      <c r="A152" s="7">
        <v>67.31</v>
      </c>
      <c r="B152" s="7"/>
      <c r="C152" s="7" t="s">
        <v>71</v>
      </c>
      <c r="D152" s="7"/>
      <c r="E152" s="7"/>
      <c r="F152" s="7">
        <v>25000</v>
      </c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idden="1">
      <c r="A153" s="7">
        <v>23.56</v>
      </c>
      <c r="B153" s="7"/>
      <c r="C153" s="7" t="s">
        <v>72</v>
      </c>
      <c r="D153" s="7"/>
      <c r="E153" s="7"/>
      <c r="F153" s="7">
        <v>25000</v>
      </c>
      <c r="G153" s="7"/>
      <c r="H153" s="7" t="s">
        <v>73</v>
      </c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idden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idden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idden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>
        <v>720</v>
      </c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idden="1">
      <c r="A157" s="7" t="s">
        <v>74</v>
      </c>
      <c r="B157" s="7"/>
      <c r="C157" s="7"/>
      <c r="D157" s="7"/>
      <c r="E157" s="7"/>
      <c r="F157" s="7" t="s">
        <v>32</v>
      </c>
      <c r="G157" s="7"/>
      <c r="H157" s="7" t="s">
        <v>75</v>
      </c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idden="1">
      <c r="A158" s="7"/>
      <c r="B158" s="7"/>
      <c r="C158" s="7"/>
      <c r="D158" s="7"/>
      <c r="E158" s="7"/>
      <c r="F158" s="7">
        <v>0</v>
      </c>
      <c r="G158" s="7"/>
      <c r="H158" s="7">
        <v>575</v>
      </c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idden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idden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idden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idden="1">
      <c r="A162" s="7">
        <v>920</v>
      </c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idden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idden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idden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idden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idden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idden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idden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idden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idden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idden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idden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idden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idden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idden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idden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idden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idden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idden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idden="1">
      <c r="A181" s="7"/>
      <c r="B181" s="7"/>
      <c r="C181" s="7"/>
      <c r="D181" s="68">
        <f>E60*21/100</f>
        <v>0</v>
      </c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idden="1">
      <c r="A182" s="7"/>
      <c r="B182" s="7"/>
      <c r="C182" s="7"/>
      <c r="D182" s="68">
        <f>C68*21%</f>
        <v>10.5</v>
      </c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idden="1">
      <c r="A183" s="7"/>
      <c r="B183" s="7"/>
      <c r="C183" s="7"/>
      <c r="D183" s="68">
        <f>C70*21%</f>
        <v>138.6</v>
      </c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idden="1">
      <c r="A184" s="7"/>
      <c r="B184" s="7"/>
      <c r="C184" s="7"/>
      <c r="D184" s="68">
        <f>C72*21%</f>
        <v>0</v>
      </c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idden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idden="1">
      <c r="A186" s="7"/>
      <c r="B186" s="7" t="s">
        <v>35</v>
      </c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idden="1">
      <c r="A187" s="7"/>
      <c r="B187" s="7" t="s">
        <v>36</v>
      </c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idden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idden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idden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idden="1">
      <c r="A191" s="55"/>
      <c r="B191" s="56"/>
      <c r="C191" s="55"/>
      <c r="D191" s="56"/>
      <c r="E191" s="55"/>
      <c r="F191" s="55"/>
      <c r="G191" s="56"/>
      <c r="H191" s="57">
        <f>ROUNDUP(B64+B65,-2)</f>
        <v>100</v>
      </c>
      <c r="I191" s="55"/>
      <c r="J191" s="55"/>
      <c r="K191" s="55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idden="1">
      <c r="A192" s="55"/>
      <c r="B192" s="56"/>
      <c r="C192" s="55"/>
      <c r="D192" s="56"/>
      <c r="E192" s="55"/>
      <c r="F192" s="55"/>
      <c r="G192" s="56"/>
      <c r="H192" s="55"/>
      <c r="I192" s="55"/>
      <c r="J192" s="55"/>
      <c r="K192" s="55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idden="1">
      <c r="A193" s="55"/>
      <c r="B193" s="56"/>
      <c r="C193" s="55"/>
      <c r="D193" s="56"/>
      <c r="E193" s="55"/>
      <c r="F193" s="55"/>
      <c r="G193" s="56"/>
      <c r="H193" s="55"/>
      <c r="I193" s="55"/>
      <c r="J193" s="55"/>
      <c r="K193" s="55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idden="1">
      <c r="A194" s="55"/>
      <c r="B194" s="56"/>
      <c r="C194" s="55"/>
      <c r="D194" s="56"/>
      <c r="E194" s="55"/>
      <c r="F194" s="55"/>
      <c r="G194" s="56"/>
      <c r="H194" s="55"/>
      <c r="I194" s="55"/>
      <c r="J194" s="55"/>
      <c r="K194" s="55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idden="1">
      <c r="A195" s="55" t="s">
        <v>53</v>
      </c>
      <c r="B195" s="56"/>
      <c r="C195" s="55"/>
      <c r="D195" s="56"/>
      <c r="E195" s="55"/>
      <c r="F195" s="55">
        <v>0</v>
      </c>
      <c r="G195" s="56"/>
      <c r="H195" s="55"/>
      <c r="I195" s="55"/>
      <c r="J195" s="55"/>
      <c r="K195" s="55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t="15" hidden="1">
      <c r="A196" s="55">
        <v>0</v>
      </c>
      <c r="B196" s="56"/>
      <c r="C196" s="55"/>
      <c r="D196" s="56"/>
      <c r="E196" s="55"/>
      <c r="F196" s="55">
        <v>7500</v>
      </c>
      <c r="G196" s="56"/>
      <c r="H196" s="55">
        <v>1.7100000000000001E-2</v>
      </c>
      <c r="I196" s="58"/>
      <c r="J196" s="59">
        <f>IF(C55&lt;F196,C55*H196,F196*H196)</f>
        <v>0</v>
      </c>
      <c r="K196" s="55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t="15" hidden="1">
      <c r="A197" s="55">
        <v>7500</v>
      </c>
      <c r="B197" s="56"/>
      <c r="C197" s="55"/>
      <c r="D197" s="56"/>
      <c r="E197" s="55"/>
      <c r="F197" s="55">
        <v>17500</v>
      </c>
      <c r="G197" s="56"/>
      <c r="H197" s="55">
        <v>1.3679999999999999E-2</v>
      </c>
      <c r="I197" s="58"/>
      <c r="J197" s="59" t="str">
        <f>IF(C55&lt;=A197," ",IF(C55&lt;F197,(C55-F196)*H197,(F197-A197)*H197))</f>
        <v xml:space="preserve"> </v>
      </c>
      <c r="K197" s="55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t="15" hidden="1">
      <c r="A198" s="55">
        <v>17500</v>
      </c>
      <c r="B198" s="56"/>
      <c r="C198" s="55"/>
      <c r="D198" s="56"/>
      <c r="E198" s="55"/>
      <c r="F198" s="55">
        <v>30000</v>
      </c>
      <c r="G198" s="56"/>
      <c r="H198" s="55">
        <v>9.1199999999999996E-3</v>
      </c>
      <c r="I198" s="58"/>
      <c r="J198" s="59" t="str">
        <f>IF(C55&lt;=A198," ",IF(C55&lt;F198,(C55-F197)*H198,(F198-A198)*H198))</f>
        <v xml:space="preserve"> </v>
      </c>
      <c r="K198" s="55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t="15" hidden="1">
      <c r="A199" s="55">
        <v>30000</v>
      </c>
      <c r="B199" s="56"/>
      <c r="C199" s="55"/>
      <c r="D199" s="56"/>
      <c r="E199" s="55"/>
      <c r="F199" s="55">
        <v>45495</v>
      </c>
      <c r="G199" s="56"/>
      <c r="H199" s="55">
        <v>6.8399999999999997E-3</v>
      </c>
      <c r="I199" s="58"/>
      <c r="J199" s="59" t="str">
        <f>IF(C55&lt;=A199," ",IF(C55&lt;F199,(C55-F198)*H199,(F199-A199)*H199))</f>
        <v xml:space="preserve"> </v>
      </c>
      <c r="K199" s="55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t="15" hidden="1">
      <c r="A200" s="55">
        <v>45495</v>
      </c>
      <c r="B200" s="56"/>
      <c r="C200" s="55"/>
      <c r="D200" s="56"/>
      <c r="E200" s="55"/>
      <c r="F200" s="55">
        <v>64095</v>
      </c>
      <c r="G200" s="56"/>
      <c r="H200" s="55">
        <v>4.5599999999999998E-3</v>
      </c>
      <c r="I200" s="58"/>
      <c r="J200" s="59" t="str">
        <f>IF(C55&lt;=A200," ",IF(C55&lt;F200,(C55-F199)*H200,(F200-A200)*H200))</f>
        <v xml:space="preserve"> </v>
      </c>
      <c r="K200" s="55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t="15" hidden="1">
      <c r="A201" s="55">
        <v>64095</v>
      </c>
      <c r="B201" s="56"/>
      <c r="C201" s="55"/>
      <c r="D201" s="56"/>
      <c r="E201" s="55"/>
      <c r="F201" s="55">
        <v>250095</v>
      </c>
      <c r="G201" s="56"/>
      <c r="H201" s="55">
        <v>2.2799999999999999E-3</v>
      </c>
      <c r="I201" s="58"/>
      <c r="J201" s="59" t="str">
        <f>IF(C55&lt;=A201," ",IF(C55&lt;F201,(C55-F200)*H201,(F201-A201)*H201))</f>
        <v xml:space="preserve"> </v>
      </c>
      <c r="K201" s="55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t="15" hidden="1">
      <c r="A202" s="55">
        <v>250095</v>
      </c>
      <c r="B202" s="56"/>
      <c r="C202" s="55"/>
      <c r="D202" s="56"/>
      <c r="E202" s="55"/>
      <c r="F202" s="57">
        <f>C55</f>
        <v>0</v>
      </c>
      <c r="G202" s="60"/>
      <c r="H202" s="55">
        <v>4.5600000000000003E-4</v>
      </c>
      <c r="I202" s="58"/>
      <c r="J202" s="59" t="str">
        <f>IF(C55&lt;=A202," ",IF(C55&lt;F202,(C55-F201)*H202,(F202-A202)*H202))</f>
        <v xml:space="preserve"> </v>
      </c>
      <c r="K202" s="55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t="15" hidden="1">
      <c r="A203" s="55">
        <v>10075000</v>
      </c>
      <c r="B203" s="56"/>
      <c r="C203" s="55"/>
      <c r="D203" s="56"/>
      <c r="E203" s="55"/>
      <c r="F203" s="55">
        <v>0</v>
      </c>
      <c r="G203" s="56"/>
      <c r="H203" s="55">
        <v>4.5600000000000003E-4</v>
      </c>
      <c r="I203" s="61" t="str">
        <f>IF($F$99&lt;=A203," E90",IF($F$99&lt;F203,($F$99-F202)*H203,(F203-A203)*H203))</f>
        <v xml:space="preserve"> E90</v>
      </c>
      <c r="J203" s="62"/>
      <c r="K203" s="55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t="15" hidden="1">
      <c r="A204" s="55"/>
      <c r="B204" s="56"/>
      <c r="C204" s="55"/>
      <c r="D204" s="56"/>
      <c r="E204" s="55"/>
      <c r="F204" s="55"/>
      <c r="G204" s="56"/>
      <c r="H204" s="55"/>
      <c r="I204" s="63"/>
      <c r="J204" s="62"/>
      <c r="K204" s="55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t="14.25" hidden="1">
      <c r="A205" s="55" t="s">
        <v>34</v>
      </c>
      <c r="B205" s="56"/>
      <c r="C205" s="55"/>
      <c r="D205" s="56"/>
      <c r="E205" s="55"/>
      <c r="F205" s="55"/>
      <c r="G205" s="56"/>
      <c r="H205" s="55"/>
      <c r="I205" s="64">
        <f>SUM(J196:J203)</f>
        <v>0</v>
      </c>
      <c r="J205" s="62"/>
      <c r="K205" s="55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idden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idden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idden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>
      <c r="A243" s="7"/>
      <c r="B243" s="7"/>
      <c r="C243" s="7"/>
      <c r="D243" s="7"/>
      <c r="E243" s="7"/>
      <c r="F243" s="7"/>
      <c r="G243" s="7"/>
    </row>
  </sheetData>
  <sheetProtection algorithmName="SHA-512" hashValue="AOMACdoYoX0tzoPv7gIt9rjYowzqwxeT0p7q233WYYHWdcA2/ry13g+vku9/+Npf3Vr4FZZJ9WouwKFBnAfG3A==" saltValue="CEE3sffdGVzREBpxNX87mA==" spinCount="100000" sheet="1" objects="1" scenarios="1"/>
  <phoneticPr fontId="0" type="noConversion"/>
  <dataValidations count="6">
    <dataValidation type="list" allowBlank="1" showInputMessage="1" showErrorMessage="1" sqref="B14">
      <formula1>$G$131:$G$132</formula1>
    </dataValidation>
    <dataValidation type="list" allowBlank="1" showInputMessage="1" showErrorMessage="1" sqref="B15">
      <formula1>$H$131:$H$132</formula1>
    </dataValidation>
    <dataValidation type="list" allowBlank="1" showInputMessage="1" showErrorMessage="1" sqref="B7">
      <formula1>$K$131:$K$132</formula1>
    </dataValidation>
    <dataValidation type="list" allowBlank="1" showInputMessage="1" showErrorMessage="1" sqref="B12">
      <formula1>$F$131:$F$132</formula1>
    </dataValidation>
    <dataValidation type="list" allowBlank="1" showInputMessage="1" showErrorMessage="1" sqref="C57">
      <formula1>$B$186:$B$187</formula1>
    </dataValidation>
    <dataValidation type="list" allowBlank="1" showInputMessage="1" showErrorMessage="1" sqref="B16">
      <formula1>$F$131:$F$132</formula1>
    </dataValidation>
  </dataValidations>
  <hyperlinks>
    <hyperlink ref="C87" r:id="rId1"/>
    <hyperlink ref="C85" r:id="rId2"/>
    <hyperlink ref="B85" r:id="rId3"/>
    <hyperlink ref="B89" r:id="rId4"/>
    <hyperlink ref="B87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VKVBTWBREYNEKRO</vt:lpstr>
      <vt:lpstr>VKVBTWBREYNEKRO!_1._Zegels_Minuut_Brevet</vt:lpstr>
      <vt:lpstr>VKVBTWBREYNEKRO!_2._Registratie_Minuut_Brevet</vt:lpstr>
      <vt:lpstr>VKVBTWBREYNEKRO!_3._Registratie_aanhangsel</vt:lpstr>
      <vt:lpstr>VKVBTWBREYNEKRO!Aard</vt:lpstr>
      <vt:lpstr>VKVBTWBREYNEKRO!Afdrukbereik</vt:lpstr>
      <vt:lpstr>VKVBTWBREYNEKRO!Datum</vt:lpstr>
      <vt:lpstr>VKVBTWBREYNEKRO!KOSTENFICHE</vt:lpstr>
      <vt:lpstr>VKVBTWBREYNEKRO!Rep.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2014-11-15T16:41:50Z</dcterms:modified>
</cp:coreProperties>
</file>