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LENHV" sheetId="1" r:id="rId1"/>
  </sheets>
  <definedNames>
    <definedName name="_1._Zegels_Minuut_Brevet" localSheetId="0">VKVBTWBREYNELENHV!$A$20:$F$20</definedName>
    <definedName name="_1._Zegels_Minuut_Brevet">#REF!</definedName>
    <definedName name="_10._Tweede_getuigschrift" localSheetId="0">VKVBTWBREYNELENHV!#REF!</definedName>
    <definedName name="_10._Tweede_getuigschrift">#REF!</definedName>
    <definedName name="_11._Kadaster_uittreksel" localSheetId="0">VKVBTWBREYNELENHV!#REF!</definedName>
    <definedName name="_11._Kadaster_uittreksel">#REF!</definedName>
    <definedName name="_12._Getuigen" localSheetId="0">VKVBTWBREYNELENHV!#REF!</definedName>
    <definedName name="_12._Getuigen">#REF!</definedName>
    <definedName name="_13._Allerlei_uitgaven" localSheetId="0">VKVBTWBREYNELENHV!#REF!</definedName>
    <definedName name="_13._Allerlei_uitgaven">#REF!</definedName>
    <definedName name="_14." localSheetId="0">VKVBTWBREYNELENHV!#REF!</definedName>
    <definedName name="_14.">#REF!</definedName>
    <definedName name="_15." localSheetId="0">VKVBTWBREYNELENHV!#REF!</definedName>
    <definedName name="_15.">#REF!</definedName>
    <definedName name="_2._Registratie_Minuut_Brevet" localSheetId="0">VKVBTWBREYNELENHV!$B$27:$G$27</definedName>
    <definedName name="_2._Registratie_Minuut_Brevet">#REF!</definedName>
    <definedName name="_3._Registratie_aanhangsel" localSheetId="0">VKVBTWBREYNELENHV!$E$28:$G$28</definedName>
    <definedName name="_3._Registratie_aanhangsel">#REF!</definedName>
    <definedName name="_4.Zegels_afschrift_grosse" localSheetId="0">VKVBTWBREYNELENHV!#REF!</definedName>
    <definedName name="_4.Zegels_afschrift_grosse">#REF!</definedName>
    <definedName name="_5._Hypotheek__inschr._overschr._doorh." localSheetId="0">VKVBTWBREYNELENHV!#REF!</definedName>
    <definedName name="_5._Hypotheek__inschr._overschr._doorh.">#REF!</definedName>
    <definedName name="_6._Loon_pandbewaarder" localSheetId="0">VKVBTWBREYNELENHV!#REF!</definedName>
    <definedName name="_6._Loon_pandbewaarder">#REF!</definedName>
    <definedName name="_7._Zegels__bord._aanh." localSheetId="0">VKVBTWBREYNELENHV!#REF!</definedName>
    <definedName name="_7._Zegels__bord._aanh.">#REF!</definedName>
    <definedName name="_8._Opzoekingen" localSheetId="0">VKVBTWBREYNELENHV!#REF!</definedName>
    <definedName name="_8._Opzoekingen">#REF!</definedName>
    <definedName name="_9._Hypothecair_getuigschrift" localSheetId="0">VKVBTWBREYNELENHV!#REF!</definedName>
    <definedName name="_9._Hypothecair_getuigschrift">#REF!</definedName>
    <definedName name="Aard" localSheetId="0">VKVBTWBREYNELENHV!$B$4:$F$4</definedName>
    <definedName name="Aard">#REF!</definedName>
    <definedName name="_xlnm.Print_Area" localSheetId="0">VKVBTWBREYNELENHV!$A$1:$E$105</definedName>
    <definedName name="Datum" localSheetId="0">VKVBTWBREYNELENHV!$B$4:$G$44</definedName>
    <definedName name="Datum">#REF!</definedName>
    <definedName name="gemeentelijke_info">#REF!</definedName>
    <definedName name="Kantoor_van_Notaris_J._SIMONART_te_Leuven" localSheetId="0">VKVBTWBREYNELENHV!#REF!</definedName>
    <definedName name="Kantoor_van_Notaris_J._SIMONART_te_Leuven">#REF!</definedName>
    <definedName name="KOSTENFICHE" localSheetId="0">VKVBTWBREYNELENHV!$A$1:$G$44</definedName>
    <definedName name="KOSTENFICHE">#REF!</definedName>
    <definedName name="Last_Row">IF(Values_Entered,Header_Row+Number_of_Payments,Header_Row)</definedName>
    <definedName name="Naam" localSheetId="0">VKVBTWBREYNELENHV!#REF!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VKVBTWBREYNELENHV!$F$4:$F$46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VKVBTWBREYNELENHV!#REF!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VKVBTWBREYNELENHV!$A$3:$G$44</definedName>
  </definedNames>
  <calcPr calcId="152511"/>
</workbook>
</file>

<file path=xl/calcChain.xml><?xml version="1.0" encoding="utf-8"?>
<calcChain xmlns="http://schemas.openxmlformats.org/spreadsheetml/2006/main">
  <c r="D41" i="1" l="1"/>
  <c r="D44" i="1" s="1"/>
  <c r="D46" i="1" s="1"/>
  <c r="A113" i="1"/>
  <c r="B65" i="1" s="1"/>
  <c r="C133" i="1"/>
  <c r="B133" i="1"/>
  <c r="F132" i="1"/>
  <c r="F133" i="1" s="1"/>
  <c r="C132" i="1"/>
  <c r="C134" i="1" s="1"/>
  <c r="C136" i="1" s="1"/>
  <c r="B132" i="1"/>
  <c r="B88" i="1"/>
  <c r="E126" i="1"/>
  <c r="E113" i="1"/>
  <c r="D113" i="1"/>
  <c r="C113" i="1"/>
  <c r="C184" i="1"/>
  <c r="C75" i="1"/>
  <c r="C72" i="1"/>
  <c r="C69" i="1"/>
  <c r="C53" i="1"/>
  <c r="C61" i="1" s="1"/>
  <c r="E192" i="1"/>
  <c r="C192" i="1"/>
  <c r="F191" i="1"/>
  <c r="F190" i="1"/>
  <c r="F189" i="1"/>
  <c r="F188" i="1"/>
  <c r="F187" i="1"/>
  <c r="E194" i="1" s="1"/>
  <c r="E60" i="1" s="1"/>
  <c r="F186" i="1"/>
  <c r="F185" i="1"/>
  <c r="D147" i="1"/>
  <c r="C147" i="1"/>
  <c r="G145" i="1"/>
  <c r="B10" i="1"/>
  <c r="F227" i="1" s="1"/>
  <c r="D21" i="1"/>
  <c r="D23" i="1" s="1"/>
  <c r="D22" i="1"/>
  <c r="D26" i="1"/>
  <c r="D28" i="1"/>
  <c r="D43" i="1"/>
  <c r="B206" i="1"/>
  <c r="C206" i="1"/>
  <c r="B207" i="1"/>
  <c r="C207" i="1"/>
  <c r="F224" i="1"/>
  <c r="F225" i="1"/>
  <c r="F226" i="1"/>
  <c r="F228" i="1"/>
  <c r="D265" i="1"/>
  <c r="D266" i="1"/>
  <c r="D267" i="1"/>
  <c r="D268" i="1"/>
  <c r="H275" i="1"/>
  <c r="J280" i="1"/>
  <c r="J281" i="1"/>
  <c r="J282" i="1"/>
  <c r="J283" i="1"/>
  <c r="J284" i="1"/>
  <c r="J285" i="1"/>
  <c r="F286" i="1"/>
  <c r="J286" i="1"/>
  <c r="I287" i="1"/>
  <c r="C127" i="1"/>
  <c r="E123" i="1"/>
  <c r="C119" i="1"/>
  <c r="E124" i="1"/>
  <c r="E127" i="1"/>
  <c r="C115" i="1"/>
  <c r="C95" i="1" s="1"/>
  <c r="E121" i="1"/>
  <c r="E129" i="1" s="1"/>
  <c r="E130" i="1" s="1"/>
  <c r="E92" i="1" s="1"/>
  <c r="E97" i="1" s="1"/>
  <c r="E125" i="1"/>
  <c r="E122" i="1"/>
  <c r="B64" i="1"/>
  <c r="D180" i="1" s="1"/>
  <c r="C66" i="1" s="1"/>
  <c r="I289" i="1"/>
  <c r="D134" i="1" l="1"/>
  <c r="E134" i="1" s="1"/>
  <c r="D24" i="1" s="1"/>
  <c r="C97" i="1"/>
  <c r="E98" i="1"/>
  <c r="E101" i="1"/>
  <c r="A151" i="1"/>
  <c r="C77" i="1" s="1"/>
  <c r="E78" i="1" s="1"/>
  <c r="E77" i="1"/>
  <c r="E61" i="1"/>
  <c r="G133" i="1"/>
  <c r="H133" i="1" s="1"/>
  <c r="D25" i="1" s="1"/>
  <c r="D31" i="1" s="1"/>
  <c r="E81" i="1"/>
  <c r="E99" i="1"/>
  <c r="F223" i="1"/>
  <c r="F229" i="1"/>
  <c r="C229" i="1"/>
  <c r="E79" i="1" l="1"/>
  <c r="E83" i="1" s="1"/>
  <c r="F231" i="1"/>
  <c r="D20" i="1" s="1"/>
  <c r="D32" i="1" s="1"/>
  <c r="E103" i="1"/>
  <c r="D34" i="1" l="1"/>
</calcChain>
</file>

<file path=xl/sharedStrings.xml><?xml version="1.0" encoding="utf-8"?>
<sst xmlns="http://schemas.openxmlformats.org/spreadsheetml/2006/main" count="148" uniqueCount="88">
  <si>
    <t>Dossier</t>
  </si>
  <si>
    <t>Cliënt</t>
  </si>
  <si>
    <t>Prijs</t>
  </si>
  <si>
    <t>Lasten:</t>
  </si>
  <si>
    <t>Betaald voorschot</t>
  </si>
  <si>
    <t>Meeneembaarheid? (bedrag invullen)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</si>
  <si>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</si>
  <si>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</si>
  <si>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</si>
  <si>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</si>
  <si>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Meeneembaarheid</t>
  </si>
  <si>
    <t>Abattement</t>
  </si>
  <si>
    <t>Verhoogd abattement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</si>
  <si>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</si>
  <si>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</si>
  <si>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</si>
  <si>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</si>
  <si>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</si>
  <si>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</si>
  <si>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</si>
  <si>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</si>
  <si>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</si>
  <si>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</si>
  <si>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Bodemattesten</t>
  </si>
  <si>
    <t>Totaal uitgaven voor verkoper:</t>
  </si>
  <si>
    <t>Algemeen totaal verkoper: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</si>
  <si>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</si>
  <si>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</si>
  <si>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</si>
  <si>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</si>
  <si>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</si>
  <si>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</si>
  <si>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</si>
  <si>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</si>
  <si>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</si>
  <si>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ja</t>
  </si>
  <si>
    <t>neen</t>
  </si>
  <si>
    <t>Abattement?</t>
  </si>
  <si>
    <t>Verhoogd abattement?</t>
  </si>
  <si>
    <t>Grondwaarde</t>
  </si>
  <si>
    <t>Gebouwen</t>
  </si>
  <si>
    <t>Zelfde eigenaar?</t>
  </si>
  <si>
    <t>Prijs van de reeds voltooide gebouwen bij akte</t>
  </si>
  <si>
    <t>Basis voor erelonen</t>
  </si>
  <si>
    <t>Aandeel basisakte of verkavelingsakte</t>
  </si>
  <si>
    <t>Andere (vacaties …)</t>
  </si>
  <si>
    <t>Boekje</t>
  </si>
  <si>
    <t>Klein beschrijf?</t>
  </si>
  <si>
    <t>Klein beschrijf</t>
  </si>
  <si>
    <t>Basis registratie</t>
  </si>
  <si>
    <t>Hoofdsom</t>
  </si>
  <si>
    <t>Aanhor.</t>
  </si>
  <si>
    <t>Basis</t>
  </si>
  <si>
    <t>Basis ereloon</t>
  </si>
  <si>
    <t>Registratie Minuut-Brevet</t>
  </si>
  <si>
    <t>Registratie bijlagen</t>
  </si>
  <si>
    <t>Hypotheekrecht</t>
  </si>
  <si>
    <t>Loon pandbewaarder</t>
  </si>
  <si>
    <t>Provisie hypotheken</t>
  </si>
  <si>
    <t>Recht op geschriften</t>
  </si>
  <si>
    <t>Dossierkosten</t>
  </si>
  <si>
    <t>Stedenbouwkundige info of uittreksel</t>
  </si>
  <si>
    <t>Totaal uitgaven</t>
  </si>
  <si>
    <t>Totaal</t>
  </si>
  <si>
    <t>Tot. Uitg.</t>
  </si>
  <si>
    <t>Samen</t>
  </si>
  <si>
    <t>Totaal: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</si>
  <si>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</si>
  <si>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</si>
  <si>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</si>
  <si>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</si>
  <si>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</si>
  <si>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</si>
  <si>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</si>
  <si>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HYPOTHECAIRE LENING</t>
  </si>
  <si>
    <t>Lening sociaal tarief?</t>
  </si>
  <si>
    <t>(BTW)</t>
  </si>
  <si>
    <t>Tarief</t>
  </si>
  <si>
    <t>Ereloon G</t>
  </si>
  <si>
    <t>Lening</t>
  </si>
  <si>
    <t>Hypothecaire volmacht</t>
  </si>
  <si>
    <t>Hoeveel hypotheekkantoren?</t>
  </si>
  <si>
    <t>Registratierecht akte</t>
  </si>
  <si>
    <t>Registratierecht bijlagen</t>
  </si>
  <si>
    <t>HYPOTHECAIRE VOLMACHT</t>
  </si>
  <si>
    <t>Inschrijving op hoeveel hypotheekkantoren?</t>
  </si>
  <si>
    <t>VERKOOP ONROEREND GOED WET BREYNE - VLAANDEREN + LENING + HYPOTHECAIRE VOLMACHT</t>
  </si>
  <si>
    <t>Sociaal krediet voor minstens 50%?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</si>
</sst>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  <numFmt numFmtId="179" formatCode="#,##0&quot; Fr&quot;;\-#,##0&quot; Fr&quot;"/>
    <numFmt numFmtId="180" formatCode="#,##0.000000"/>
  </numFmts>
  <fonts count="20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sz val="14"/>
      <color indexed="9"/>
      <name val="Arial"/>
      <family val="2"/>
    </font>
    <font>
      <sz val="11"/>
      <color theme="1"/>
      <name val="Calibri"/>
      <family val="2"/>
      <scheme val="minor"/>
    </font>
    <font>
      <sz val="14"/>
      <color theme="0"/>
      <name val="Arial"/>
      <family val="2"/>
    </font>
    <font>
      <sz val="10"/>
      <color theme="0"/>
      <name val="Arial"/>
      <family val="2"/>
    </font>
    <font>
      <b/>
      <sz val="11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1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EBE60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8" fillId="0" borderId="0">
      <protection locked="0"/>
    </xf>
    <xf numFmtId="171" fontId="1" fillId="0" borderId="0" applyFont="0" applyFill="0" applyBorder="0" applyAlignment="0" applyProtection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0" fontId="10" fillId="0" borderId="0"/>
    <xf numFmtId="0" fontId="16" fillId="0" borderId="0"/>
    <xf numFmtId="0" fontId="1" fillId="0" borderId="0"/>
    <xf numFmtId="0" fontId="16" fillId="0" borderId="0"/>
    <xf numFmtId="176" fontId="8" fillId="0" borderId="1">
      <protection locked="0"/>
    </xf>
    <xf numFmtId="0" fontId="19" fillId="0" borderId="16" applyNumberFormat="0" applyFill="0" applyAlignment="0" applyProtection="0"/>
  </cellStyleXfs>
  <cellXfs count="125">
    <xf numFmtId="0" fontId="0" fillId="0" borderId="0" xfId="0"/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2" borderId="2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6" fontId="1" fillId="2" borderId="0" xfId="13" applyNumberFormat="1" applyFill="1" applyBorder="1" applyProtection="1">
      <protection hidden="1"/>
    </xf>
    <xf numFmtId="0" fontId="1" fillId="2" borderId="2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6" fontId="1" fillId="2" borderId="0" xfId="13" applyNumberFormat="1" applyFill="1" applyProtection="1"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4" xfId="13" applyFont="1" applyFill="1" applyBorder="1" applyProtection="1">
      <protection hidden="1"/>
    </xf>
    <xf numFmtId="0" fontId="1" fillId="2" borderId="5" xfId="13" applyFill="1" applyBorder="1" applyAlignment="1" applyProtection="1">
      <alignment horizontal="left"/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6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6" xfId="13" applyNumberFormat="1" applyFont="1" applyFill="1" applyBorder="1" applyProtection="1">
      <protection hidden="1"/>
    </xf>
    <xf numFmtId="168" fontId="5" fillId="2" borderId="7" xfId="13" applyNumberFormat="1" applyFont="1" applyFill="1" applyBorder="1" applyAlignment="1" applyProtection="1">
      <alignment horizontal="center"/>
      <protection hidden="1"/>
    </xf>
    <xf numFmtId="0" fontId="5" fillId="2" borderId="7" xfId="13" applyFont="1" applyFill="1" applyBorder="1" applyAlignment="1" applyProtection="1">
      <alignment horizontal="center"/>
      <protection hidden="1"/>
    </xf>
    <xf numFmtId="0" fontId="5" fillId="2" borderId="8" xfId="13" applyFont="1" applyFill="1" applyBorder="1" applyAlignment="1" applyProtection="1">
      <alignment horizontal="center"/>
      <protection hidden="1"/>
    </xf>
    <xf numFmtId="167" fontId="6" fillId="2" borderId="7" xfId="13" applyNumberFormat="1" applyFont="1" applyFill="1" applyBorder="1" applyProtection="1">
      <protection hidden="1"/>
    </xf>
    <xf numFmtId="168" fontId="6" fillId="2" borderId="7" xfId="13" applyNumberFormat="1" applyFont="1" applyFill="1" applyBorder="1" applyProtection="1">
      <protection hidden="1"/>
    </xf>
    <xf numFmtId="169" fontId="6" fillId="2" borderId="7" xfId="13" applyNumberFormat="1" applyFont="1" applyFill="1" applyBorder="1" applyProtection="1">
      <protection hidden="1"/>
    </xf>
    <xf numFmtId="169" fontId="6" fillId="2" borderId="8" xfId="13" applyNumberFormat="1" applyFont="1" applyFill="1" applyBorder="1" applyProtection="1">
      <protection hidden="1"/>
    </xf>
    <xf numFmtId="0" fontId="6" fillId="2" borderId="9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0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8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0" xfId="13" applyFont="1" applyFill="1" applyBorder="1" applyProtection="1">
      <protection hidden="1"/>
    </xf>
    <xf numFmtId="167" fontId="5" fillId="2" borderId="7" xfId="13" applyNumberFormat="1" applyFont="1" applyFill="1" applyBorder="1" applyProtection="1">
      <protection hidden="1"/>
    </xf>
    <xf numFmtId="0" fontId="13" fillId="3" borderId="11" xfId="13" applyFont="1" applyFill="1" applyBorder="1" applyAlignment="1" applyProtection="1">
      <alignment horizontal="left"/>
      <protection hidden="1"/>
    </xf>
    <xf numFmtId="0" fontId="14" fillId="3" borderId="11" xfId="13" applyFont="1" applyFill="1" applyBorder="1" applyAlignment="1" applyProtection="1">
      <alignment horizontal="left"/>
      <protection hidden="1"/>
    </xf>
    <xf numFmtId="0" fontId="1" fillId="4" borderId="0" xfId="13" applyFont="1" applyFill="1" applyBorder="1" applyAlignment="1" applyProtection="1">
      <alignment horizontal="center"/>
      <protection locked="0" hidden="1"/>
    </xf>
    <xf numFmtId="0" fontId="2" fillId="5" borderId="12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0" fontId="1" fillId="0" borderId="0" xfId="13" applyProtection="1">
      <protection hidden="1"/>
    </xf>
    <xf numFmtId="0" fontId="1" fillId="6" borderId="0" xfId="13" applyFill="1" applyProtection="1">
      <protection hidden="1"/>
    </xf>
    <xf numFmtId="166" fontId="1" fillId="0" borderId="0" xfId="13" applyNumberFormat="1" applyProtection="1">
      <protection hidden="1"/>
    </xf>
    <xf numFmtId="169" fontId="6" fillId="7" borderId="0" xfId="13" applyNumberFormat="1" applyFont="1" applyFill="1" applyBorder="1" applyProtection="1">
      <protection hidden="1"/>
    </xf>
    <xf numFmtId="178" fontId="6" fillId="7" borderId="0" xfId="13" applyNumberFormat="1" applyFont="1" applyFill="1" applyBorder="1" applyProtection="1">
      <protection hidden="1"/>
    </xf>
    <xf numFmtId="166" fontId="1" fillId="6" borderId="0" xfId="13" applyNumberFormat="1" applyFill="1" applyProtection="1">
      <protection hidden="1"/>
    </xf>
    <xf numFmtId="179" fontId="6" fillId="7" borderId="0" xfId="13" applyNumberFormat="1" applyFont="1" applyFill="1" applyBorder="1" applyProtection="1">
      <protection hidden="1"/>
    </xf>
    <xf numFmtId="0" fontId="1" fillId="6" borderId="0" xfId="13" applyFill="1" applyBorder="1" applyProtection="1">
      <protection hidden="1"/>
    </xf>
    <xf numFmtId="0" fontId="6" fillId="7" borderId="0" xfId="13" applyFont="1" applyFill="1" applyBorder="1" applyProtection="1">
      <protection hidden="1"/>
    </xf>
    <xf numFmtId="167" fontId="5" fillId="7" borderId="0" xfId="13" applyNumberFormat="1" applyFont="1" applyFill="1" applyBorder="1" applyProtection="1">
      <protection hidden="1"/>
    </xf>
    <xf numFmtId="0" fontId="1" fillId="3" borderId="11" xfId="13" applyNumberFormat="1" applyFill="1" applyBorder="1" applyAlignment="1" applyProtection="1">
      <protection hidden="1"/>
    </xf>
    <xf numFmtId="0" fontId="15" fillId="3" borderId="0" xfId="13" applyFont="1" applyFill="1" applyBorder="1" applyAlignment="1" applyProtection="1">
      <alignment horizontal="left" vertical="center"/>
      <protection hidden="1"/>
    </xf>
    <xf numFmtId="164" fontId="1" fillId="2" borderId="0" xfId="13" applyNumberFormat="1" applyFill="1" applyBorder="1" applyAlignment="1" applyProtection="1">
      <protection hidden="1"/>
    </xf>
    <xf numFmtId="164" fontId="1" fillId="2" borderId="0" xfId="13" applyNumberFormat="1" applyFill="1"/>
    <xf numFmtId="164" fontId="1" fillId="8" borderId="0" xfId="13" applyNumberFormat="1" applyFill="1" applyBorder="1" applyAlignment="1" applyProtection="1">
      <protection locked="0" hidden="1"/>
    </xf>
    <xf numFmtId="164" fontId="1" fillId="2" borderId="0" xfId="13" applyNumberFormat="1" applyFill="1" applyBorder="1" applyAlignment="1" applyProtection="1">
      <alignment horizontal="left"/>
      <protection hidden="1"/>
    </xf>
    <xf numFmtId="164" fontId="11" fillId="9" borderId="0" xfId="0" applyNumberFormat="1" applyFont="1" applyFill="1" applyBorder="1" applyAlignment="1" applyProtection="1">
      <alignment horizontal="left"/>
      <protection locked="0"/>
    </xf>
    <xf numFmtId="164" fontId="1" fillId="2" borderId="0" xfId="13" applyNumberFormat="1" applyFill="1" applyBorder="1" applyProtection="1">
      <protection hidden="1"/>
    </xf>
    <xf numFmtId="164" fontId="1" fillId="10" borderId="0" xfId="13" applyNumberFormat="1" applyFill="1" applyBorder="1" applyAlignment="1" applyProtection="1">
      <protection hidden="1"/>
    </xf>
    <xf numFmtId="164" fontId="1" fillId="10" borderId="0" xfId="13" applyNumberFormat="1" applyFill="1"/>
    <xf numFmtId="0" fontId="1" fillId="10" borderId="0" xfId="13" applyFill="1"/>
    <xf numFmtId="165" fontId="1" fillId="11" borderId="11" xfId="13" applyNumberFormat="1" applyFill="1" applyBorder="1" applyAlignment="1" applyProtection="1">
      <protection hidden="1"/>
    </xf>
    <xf numFmtId="0" fontId="17" fillId="11" borderId="0" xfId="13" applyFont="1" applyFill="1" applyBorder="1" applyAlignment="1" applyProtection="1">
      <alignment horizontal="left" vertical="center"/>
      <protection hidden="1"/>
    </xf>
    <xf numFmtId="0" fontId="18" fillId="10" borderId="0" xfId="13" applyFont="1" applyFill="1" applyBorder="1" applyAlignment="1" applyProtection="1">
      <alignment horizontal="left"/>
      <protection hidden="1"/>
    </xf>
    <xf numFmtId="180" fontId="1" fillId="2" borderId="0" xfId="13" applyNumberFormat="1" applyFont="1" applyFill="1"/>
    <xf numFmtId="3" fontId="1" fillId="12" borderId="0" xfId="13" applyNumberFormat="1" applyFont="1" applyFill="1"/>
    <xf numFmtId="0" fontId="1" fillId="10" borderId="0" xfId="0" applyFont="1" applyFill="1" applyBorder="1" applyAlignment="1" applyProtection="1">
      <alignment horizontal="left"/>
      <protection hidden="1"/>
    </xf>
    <xf numFmtId="164" fontId="1" fillId="13" borderId="0" xfId="13" applyNumberFormat="1" applyFont="1" applyFill="1" applyBorder="1" applyAlignment="1" applyProtection="1">
      <alignment horizontal="right"/>
      <protection locked="0" hidden="1"/>
    </xf>
    <xf numFmtId="164" fontId="1" fillId="14" borderId="0" xfId="13" applyNumberFormat="1" applyFont="1" applyFill="1" applyBorder="1" applyAlignment="1" applyProtection="1">
      <alignment horizontal="right"/>
      <protection locked="0" hidden="1"/>
    </xf>
    <xf numFmtId="164" fontId="1" fillId="15" borderId="0" xfId="13" applyNumberFormat="1" applyFill="1" applyBorder="1" applyAlignment="1" applyProtection="1">
      <protection locked="0" hidden="1"/>
    </xf>
    <xf numFmtId="164" fontId="1" fillId="13" borderId="0" xfId="13" applyNumberFormat="1" applyFill="1" applyBorder="1" applyAlignment="1" applyProtection="1">
      <protection locked="0" hidden="1"/>
    </xf>
    <xf numFmtId="164" fontId="1" fillId="16" borderId="0" xfId="13" applyNumberFormat="1" applyFont="1" applyFill="1" applyBorder="1" applyAlignment="1" applyProtection="1">
      <alignment horizontal="right"/>
      <protection hidden="1"/>
    </xf>
    <xf numFmtId="166" fontId="1" fillId="17" borderId="0" xfId="13" applyNumberFormat="1" applyFill="1" applyBorder="1" applyAlignment="1" applyProtection="1">
      <alignment horizontal="center"/>
      <protection locked="0" hidden="1"/>
    </xf>
    <xf numFmtId="164" fontId="1" fillId="15" borderId="0" xfId="13" applyNumberFormat="1" applyFont="1" applyFill="1" applyBorder="1" applyAlignment="1" applyProtection="1">
      <alignment horizontal="left"/>
      <protection locked="0" hidden="1"/>
    </xf>
    <xf numFmtId="0" fontId="1" fillId="17" borderId="0" xfId="13" applyFont="1" applyFill="1" applyBorder="1" applyAlignment="1" applyProtection="1">
      <alignment horizontal="center"/>
      <protection locked="0" hidden="1"/>
    </xf>
    <xf numFmtId="165" fontId="1" fillId="10" borderId="13" xfId="13" applyNumberFormat="1" applyFont="1" applyFill="1" applyBorder="1" applyAlignment="1" applyProtection="1">
      <alignment horizontal="left"/>
      <protection hidden="1"/>
    </xf>
    <xf numFmtId="0" fontId="2" fillId="10" borderId="0" xfId="13" applyFont="1" applyFill="1" applyBorder="1" applyAlignment="1" applyProtection="1">
      <alignment horizontal="left"/>
      <protection hidden="1"/>
    </xf>
    <xf numFmtId="164" fontId="1" fillId="10" borderId="13" xfId="13" applyNumberFormat="1" applyFill="1" applyBorder="1" applyProtection="1">
      <protection hidden="1"/>
    </xf>
    <xf numFmtId="0" fontId="1" fillId="10" borderId="13" xfId="13" applyFont="1" applyFill="1" applyBorder="1" applyAlignment="1" applyProtection="1">
      <alignment horizontal="left"/>
      <protection hidden="1"/>
    </xf>
    <xf numFmtId="0" fontId="1" fillId="10" borderId="0" xfId="13" applyFill="1" applyBorder="1" applyAlignment="1" applyProtection="1">
      <alignment horizontal="left"/>
      <protection hidden="1"/>
    </xf>
    <xf numFmtId="164" fontId="1" fillId="10" borderId="13" xfId="13" applyNumberFormat="1" applyFill="1" applyBorder="1" applyAlignment="1" applyProtection="1">
      <alignment horizontal="left"/>
      <protection hidden="1"/>
    </xf>
    <xf numFmtId="0" fontId="1" fillId="10" borderId="13" xfId="13" applyFont="1" applyFill="1" applyBorder="1" applyProtection="1">
      <protection hidden="1"/>
    </xf>
    <xf numFmtId="0" fontId="1" fillId="10" borderId="14" xfId="13" applyFont="1" applyFill="1" applyBorder="1" applyAlignment="1" applyProtection="1">
      <alignment horizontal="left"/>
      <protection hidden="1"/>
    </xf>
    <xf numFmtId="164" fontId="1" fillId="17" borderId="0" xfId="13" applyNumberFormat="1" applyFill="1" applyBorder="1" applyAlignment="1" applyProtection="1">
      <alignment horizontal="left"/>
      <protection locked="0" hidden="1"/>
    </xf>
    <xf numFmtId="0" fontId="1" fillId="17" borderId="0" xfId="13" applyFill="1" applyBorder="1" applyAlignment="1" applyProtection="1">
      <alignment horizontal="center"/>
      <protection locked="0" hidden="1"/>
    </xf>
    <xf numFmtId="164" fontId="1" fillId="17" borderId="0" xfId="13" applyNumberFormat="1" applyFill="1" applyBorder="1" applyAlignment="1" applyProtection="1">
      <alignment horizontal="left"/>
      <protection locked="0"/>
    </xf>
    <xf numFmtId="0" fontId="2" fillId="18" borderId="12" xfId="13" applyFont="1" applyFill="1" applyBorder="1" applyAlignment="1" applyProtection="1">
      <alignment horizontal="left"/>
      <protection hidden="1"/>
    </xf>
    <xf numFmtId="164" fontId="1" fillId="18" borderId="12" xfId="13" applyNumberFormat="1" applyFill="1" applyBorder="1" applyAlignment="1" applyProtection="1">
      <protection hidden="1"/>
    </xf>
    <xf numFmtId="164" fontId="1" fillId="17" borderId="0" xfId="13" applyNumberFormat="1" applyFill="1" applyBorder="1" applyAlignment="1" applyProtection="1">
      <alignment horizontal="left"/>
      <protection hidden="1"/>
    </xf>
    <xf numFmtId="165" fontId="1" fillId="10" borderId="0" xfId="13" applyNumberFormat="1" applyFill="1" applyBorder="1" applyAlignment="1" applyProtection="1">
      <protection hidden="1"/>
    </xf>
    <xf numFmtId="0" fontId="1" fillId="10" borderId="15" xfId="13" applyFill="1" applyBorder="1" applyAlignment="1" applyProtection="1">
      <alignment horizontal="left"/>
      <protection hidden="1"/>
    </xf>
    <xf numFmtId="164" fontId="1" fillId="10" borderId="13" xfId="13" applyNumberFormat="1" applyFill="1" applyBorder="1" applyAlignment="1" applyProtection="1">
      <protection hidden="1"/>
    </xf>
    <xf numFmtId="0" fontId="1" fillId="10" borderId="12" xfId="13" applyFont="1" applyFill="1" applyBorder="1" applyAlignment="1" applyProtection="1">
      <alignment horizontal="left"/>
      <protection hidden="1"/>
    </xf>
    <xf numFmtId="164" fontId="1" fillId="16" borderId="0" xfId="13" applyNumberFormat="1" applyFill="1" applyBorder="1" applyAlignment="1" applyProtection="1">
      <protection hidden="1"/>
    </xf>
    <xf numFmtId="164" fontId="1" fillId="19" borderId="12" xfId="13" applyNumberFormat="1" applyFill="1" applyBorder="1" applyProtection="1">
      <protection hidden="1"/>
    </xf>
    <xf numFmtId="164" fontId="1" fillId="19" borderId="12" xfId="13" applyNumberFormat="1" applyFill="1" applyBorder="1"/>
    <xf numFmtId="0" fontId="1" fillId="2" borderId="2" xfId="13" applyFill="1" applyBorder="1"/>
    <xf numFmtId="164" fontId="1" fillId="2" borderId="0" xfId="13" applyNumberFormat="1" applyFill="1" applyAlignment="1">
      <alignment horizontal="right"/>
    </xf>
    <xf numFmtId="0" fontId="1" fillId="2" borderId="0" xfId="13" applyFill="1" applyAlignment="1">
      <alignment horizontal="right"/>
    </xf>
    <xf numFmtId="164" fontId="1" fillId="10" borderId="0" xfId="13" applyNumberFormat="1" applyFill="1" applyAlignment="1">
      <alignment horizontal="right"/>
    </xf>
    <xf numFmtId="166" fontId="1" fillId="2" borderId="0" xfId="13" applyNumberFormat="1" applyFill="1" applyBorder="1" applyAlignment="1" applyProtection="1">
      <alignment horizontal="right"/>
      <protection hidden="1"/>
    </xf>
    <xf numFmtId="164" fontId="1" fillId="17" borderId="0" xfId="13" applyNumberFormat="1" applyFill="1" applyBorder="1" applyAlignment="1" applyProtection="1">
      <protection locked="0"/>
    </xf>
    <xf numFmtId="164" fontId="1" fillId="20" borderId="0" xfId="13" applyNumberFormat="1" applyFill="1" applyBorder="1" applyAlignment="1" applyProtection="1">
      <protection locked="0"/>
    </xf>
    <xf numFmtId="165" fontId="1" fillId="17" borderId="0" xfId="13" applyNumberFormat="1" applyFill="1" applyBorder="1" applyAlignment="1" applyProtection="1">
      <alignment horizontal="center"/>
      <protection locked="0"/>
    </xf>
    <xf numFmtId="0" fontId="0" fillId="9" borderId="0" xfId="0" applyFill="1" applyBorder="1" applyAlignment="1" applyProtection="1">
      <alignment horizontal="center"/>
      <protection locked="0"/>
    </xf>
    <xf numFmtId="164" fontId="1" fillId="17" borderId="0" xfId="13" applyNumberFormat="1" applyFill="1" applyProtection="1">
      <protection locked="0"/>
    </xf>
    <xf numFmtId="0" fontId="1" fillId="14" borderId="0" xfId="13" applyNumberFormat="1" applyFill="1" applyBorder="1" applyAlignment="1" applyProtection="1">
      <alignment horizontal="center"/>
      <protection locked="0"/>
    </xf>
    <xf numFmtId="0" fontId="2" fillId="17" borderId="0" xfId="13" applyNumberFormat="1" applyFont="1" applyFill="1" applyBorder="1" applyAlignment="1" applyProtection="1">
      <alignment horizontal="left"/>
      <protection locked="0"/>
    </xf>
    <xf numFmtId="0" fontId="1" fillId="14" borderId="0" xfId="13" applyFont="1" applyFill="1" applyBorder="1" applyAlignment="1" applyProtection="1">
      <alignment horizontal="left"/>
      <protection locked="0"/>
    </xf>
    <xf numFmtId="0" fontId="1" fillId="14" borderId="0" xfId="13" applyFill="1" applyBorder="1" applyAlignment="1" applyProtection="1">
      <alignment horizontal="left"/>
      <protection hidden="1"/>
    </xf>
    <xf numFmtId="178" fontId="1" fillId="8" borderId="0" xfId="13" applyNumberFormat="1" applyFont="1" applyFill="1" applyBorder="1" applyAlignment="1" applyProtection="1">
      <alignment horizontal="center"/>
      <protection locked="0"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BTWBREYNELENHVAK.xlsx" TargetMode="External"/><Relationship Id="rId2" Type="http://schemas.openxmlformats.org/officeDocument/2006/relationships/hyperlink" Target="VKVBTWBREYNELENHVAV.xlsx" TargetMode="External"/><Relationship Id="rId1" Type="http://schemas.openxmlformats.org/officeDocument/2006/relationships/hyperlink" Target="VKVBTWBREYNELENHV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LEN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7"/>
  <sheetViews>
    <sheetView tabSelected="1" zoomScaleNormal="100" workbookViewId="0">
      <selection activeCell="B3" sqref="B3"/>
    </sheetView>
  </sheetViews>
  <sheetFormatPr defaultRowHeight="12.75"/>
  <cols>
    <col min="1" max="1" width="39.5703125" style="1" customWidth="1"/>
    <col min="2" max="2" width="21.5703125" style="1" customWidth="1"/>
    <col min="3" max="3" width="18.28515625" style="1" customWidth="1"/>
    <col min="4" max="4" width="19.7109375" style="1" customWidth="1"/>
    <col min="5" max="5" width="16.7109375" style="1" customWidth="1"/>
    <col min="6" max="6" width="15.140625" style="1" customWidth="1"/>
    <col min="7" max="7" width="16.42578125" style="1" customWidth="1"/>
    <col min="8" max="8" width="15.5703125" style="1" customWidth="1"/>
    <col min="9" max="9" width="4.85546875" style="1" customWidth="1"/>
    <col min="10" max="10" width="9.140625" style="1"/>
    <col min="11" max="11" width="15" style="1" customWidth="1"/>
    <col min="12" max="16" width="9.140625" style="1"/>
    <col min="17" max="17" width="12.140625" style="1" bestFit="1" customWidth="1"/>
    <col min="18" max="16384" width="9.140625" style="1"/>
  </cols>
  <sheetData>
    <row r="1" spans="1:7" ht="27.75" customHeight="1" thickTop="1">
      <c r="A1" s="49" t="s">
        <v>86</v>
      </c>
      <c r="B1" s="50"/>
      <c r="C1" s="50"/>
      <c r="D1" s="50"/>
      <c r="E1" s="64"/>
      <c r="F1" s="75"/>
      <c r="G1" s="75"/>
    </row>
    <row r="2" spans="1:7">
      <c r="A2" s="2"/>
      <c r="B2" s="2"/>
      <c r="C2" s="2"/>
      <c r="D2" s="2"/>
      <c r="E2" s="3"/>
      <c r="F2" s="3"/>
      <c r="G2" s="3"/>
    </row>
    <row r="3" spans="1:7">
      <c r="A3" s="2" t="s">
        <v>0</v>
      </c>
      <c r="B3" s="121"/>
      <c r="C3" s="2"/>
      <c r="D3" s="2"/>
      <c r="E3" s="3"/>
      <c r="F3" s="3"/>
      <c r="G3" s="4"/>
    </row>
    <row r="4" spans="1:7">
      <c r="A4" s="2" t="s">
        <v>1</v>
      </c>
      <c r="B4" s="122"/>
      <c r="C4" s="123"/>
      <c r="E4" s="6"/>
      <c r="F4" s="3"/>
    </row>
    <row r="5" spans="1:7">
      <c r="A5" s="2" t="s">
        <v>39</v>
      </c>
      <c r="B5" s="82">
        <v>0</v>
      </c>
      <c r="C5" s="5"/>
      <c r="E5" s="6"/>
      <c r="F5" s="3"/>
    </row>
    <row r="6" spans="1:7">
      <c r="A6" s="2" t="s">
        <v>40</v>
      </c>
      <c r="B6" s="81">
        <v>0</v>
      </c>
      <c r="C6" s="5"/>
      <c r="E6" s="6"/>
      <c r="F6" s="3"/>
    </row>
    <row r="7" spans="1:7">
      <c r="A7" s="2" t="s">
        <v>41</v>
      </c>
      <c r="B7" s="51" t="s">
        <v>35</v>
      </c>
      <c r="C7" s="5"/>
      <c r="E7" s="6"/>
      <c r="F7" s="3"/>
    </row>
    <row r="8" spans="1:7">
      <c r="A8" s="3" t="s">
        <v>42</v>
      </c>
      <c r="B8" s="84">
        <v>0</v>
      </c>
      <c r="C8" s="5"/>
      <c r="D8" s="3"/>
      <c r="E8" s="7"/>
      <c r="F8" s="3"/>
    </row>
    <row r="9" spans="1:7">
      <c r="A9" s="3" t="s">
        <v>3</v>
      </c>
      <c r="B9" s="68">
        <v>0</v>
      </c>
      <c r="C9" s="5"/>
      <c r="D9" s="3"/>
      <c r="E9" s="7"/>
      <c r="F9" s="3"/>
    </row>
    <row r="10" spans="1:7">
      <c r="A10" s="9" t="s">
        <v>43</v>
      </c>
      <c r="B10" s="85">
        <f>IF(B8&lt;B6,B6/2+B5+B9,B6+B5+B9)</f>
        <v>0</v>
      </c>
      <c r="C10" s="8"/>
      <c r="D10" s="3"/>
      <c r="E10" s="7"/>
      <c r="F10" s="3"/>
    </row>
    <row r="11" spans="1:7">
      <c r="A11" s="8" t="s">
        <v>4</v>
      </c>
      <c r="B11" s="83">
        <v>0</v>
      </c>
      <c r="C11" s="5"/>
      <c r="D11" s="3"/>
      <c r="E11" s="7"/>
      <c r="F11" s="3"/>
    </row>
    <row r="12" spans="1:7">
      <c r="A12" s="8" t="s">
        <v>47</v>
      </c>
      <c r="B12" s="86" t="s">
        <v>36</v>
      </c>
      <c r="C12" s="5"/>
      <c r="D12" s="3"/>
      <c r="E12" s="7"/>
      <c r="F12" s="3"/>
    </row>
    <row r="13" spans="1:7">
      <c r="A13" s="8" t="s">
        <v>5</v>
      </c>
      <c r="B13" s="87">
        <v>0</v>
      </c>
      <c r="C13" s="5"/>
      <c r="E13" s="6"/>
      <c r="F13" s="3"/>
    </row>
    <row r="14" spans="1:7">
      <c r="A14" s="8" t="s">
        <v>37</v>
      </c>
      <c r="B14" s="88" t="s">
        <v>36</v>
      </c>
      <c r="C14" s="5"/>
      <c r="D14" s="5"/>
      <c r="E14" s="9"/>
      <c r="F14" s="3"/>
      <c r="G14" s="7"/>
    </row>
    <row r="15" spans="1:7">
      <c r="A15" s="8" t="s">
        <v>38</v>
      </c>
      <c r="B15" s="88" t="s">
        <v>36</v>
      </c>
      <c r="C15" s="8"/>
      <c r="E15" s="6"/>
      <c r="F15" s="3"/>
      <c r="G15" s="3"/>
    </row>
    <row r="16" spans="1:7">
      <c r="A16" s="8" t="s">
        <v>87</v>
      </c>
      <c r="B16" s="124" t="s">
        <v>36</v>
      </c>
      <c r="C16" s="8"/>
      <c r="E16" s="6"/>
      <c r="F16" s="3"/>
      <c r="G16" s="3"/>
    </row>
    <row r="17" spans="1:7" ht="13.5" thickBot="1">
      <c r="A17" s="10" t="s">
        <v>6</v>
      </c>
      <c r="B17" s="2"/>
      <c r="C17" s="2"/>
      <c r="D17" s="2"/>
      <c r="E17" s="3"/>
      <c r="F17" s="3"/>
      <c r="G17" s="3"/>
    </row>
    <row r="18" spans="1:7" ht="14.25" thickTop="1" thickBot="1">
      <c r="A18" s="52" t="s">
        <v>7</v>
      </c>
      <c r="B18" s="11"/>
      <c r="C18" s="2"/>
      <c r="D18" s="2"/>
      <c r="E18" s="3"/>
      <c r="F18" s="3"/>
      <c r="G18" s="3"/>
    </row>
    <row r="19" spans="1:7" ht="14.25" thickTop="1" thickBot="1">
      <c r="A19" s="2"/>
      <c r="B19" s="2"/>
      <c r="C19" s="2"/>
      <c r="D19" s="2"/>
      <c r="E19" s="3"/>
      <c r="F19" s="3"/>
      <c r="G19" s="3"/>
    </row>
    <row r="20" spans="1:7" ht="14.25" thickTop="1" thickBot="1">
      <c r="A20" s="89" t="s">
        <v>8</v>
      </c>
      <c r="B20" s="90"/>
      <c r="C20" s="90"/>
      <c r="D20" s="91">
        <f>IF(AND(B12="ja",B16="ja"),F231-250,F231)</f>
        <v>0</v>
      </c>
      <c r="F20" s="6"/>
    </row>
    <row r="21" spans="1:7" ht="13.5" thickTop="1">
      <c r="A21" s="8" t="s">
        <v>9</v>
      </c>
      <c r="B21" s="5"/>
      <c r="C21" s="5"/>
      <c r="D21" s="69">
        <f>IF(B7="ja",0,B5*10/100)</f>
        <v>0</v>
      </c>
      <c r="E21" s="66"/>
      <c r="F21" s="9"/>
      <c r="G21" s="7"/>
    </row>
    <row r="22" spans="1:7">
      <c r="A22" s="8"/>
      <c r="B22" s="5" t="s">
        <v>48</v>
      </c>
      <c r="C22" s="5"/>
      <c r="D22" s="69">
        <f>IF(AND(B7="neen",B12="ja"),-B5*5/100,0)</f>
        <v>0</v>
      </c>
      <c r="E22" s="66"/>
      <c r="F22" s="9"/>
      <c r="G22" s="7"/>
    </row>
    <row r="23" spans="1:7">
      <c r="A23" s="8"/>
      <c r="B23" s="8" t="s">
        <v>10</v>
      </c>
      <c r="C23" s="5"/>
      <c r="D23" s="69">
        <f>IF(B13&gt;(D21+D22),-(D21+D22),-B13)</f>
        <v>0</v>
      </c>
      <c r="E23" s="66"/>
      <c r="F23" s="9"/>
      <c r="G23" s="7"/>
    </row>
    <row r="24" spans="1:7">
      <c r="A24" s="8"/>
      <c r="B24" s="8" t="s">
        <v>11</v>
      </c>
      <c r="C24" s="5"/>
      <c r="D24" s="67">
        <f>E134</f>
        <v>0</v>
      </c>
      <c r="E24" s="66"/>
      <c r="F24" s="9"/>
      <c r="G24" s="7"/>
    </row>
    <row r="25" spans="1:7">
      <c r="A25" s="8"/>
      <c r="B25" s="8" t="s">
        <v>12</v>
      </c>
      <c r="C25" s="5"/>
      <c r="D25" s="69">
        <f>H133</f>
        <v>0</v>
      </c>
      <c r="E25" s="66"/>
      <c r="F25" s="9"/>
      <c r="G25" s="7"/>
    </row>
    <row r="26" spans="1:7">
      <c r="A26" s="8" t="s">
        <v>17</v>
      </c>
      <c r="B26" s="8"/>
      <c r="C26" s="5"/>
      <c r="D26" s="69">
        <f>IF(B7="ja",(B5+B8)*21%,B8*21%)</f>
        <v>0</v>
      </c>
      <c r="E26" s="66"/>
      <c r="F26" s="9"/>
      <c r="G26" s="7"/>
    </row>
    <row r="27" spans="1:7">
      <c r="A27" s="5" t="s">
        <v>13</v>
      </c>
      <c r="B27" s="5"/>
      <c r="C27" s="5"/>
      <c r="D27" s="97">
        <v>0</v>
      </c>
      <c r="E27" s="66"/>
      <c r="F27" s="3"/>
      <c r="G27" s="3"/>
    </row>
    <row r="28" spans="1:7">
      <c r="A28" s="8" t="s">
        <v>14</v>
      </c>
      <c r="B28" s="98">
        <v>0</v>
      </c>
      <c r="C28" s="5"/>
      <c r="D28" s="69">
        <f>B28*30</f>
        <v>0</v>
      </c>
      <c r="E28" s="66"/>
      <c r="F28" s="3"/>
      <c r="G28" s="3"/>
    </row>
    <row r="29" spans="1:7">
      <c r="A29" s="8" t="s">
        <v>15</v>
      </c>
      <c r="B29" s="5"/>
      <c r="C29" s="5"/>
      <c r="D29" s="99">
        <v>770</v>
      </c>
      <c r="E29" s="66"/>
      <c r="F29" s="3"/>
      <c r="G29" s="3"/>
    </row>
    <row r="30" spans="1:7" ht="15.75" thickBot="1">
      <c r="A30" s="13" t="s">
        <v>44</v>
      </c>
      <c r="B30" s="14"/>
      <c r="C30" s="14"/>
      <c r="D30" s="70">
        <v>0</v>
      </c>
      <c r="E30" s="66"/>
      <c r="F30" s="3"/>
      <c r="G30" s="3"/>
    </row>
    <row r="31" spans="1:7" ht="14.25" thickTop="1" thickBot="1">
      <c r="A31" s="92" t="s">
        <v>16</v>
      </c>
      <c r="B31" s="93"/>
      <c r="C31" s="74"/>
      <c r="D31" s="94">
        <f>SUM(D21:D30)</f>
        <v>770</v>
      </c>
      <c r="F31" s="3"/>
      <c r="G31" s="3"/>
    </row>
    <row r="32" spans="1:7" ht="14.25" thickTop="1" thickBot="1">
      <c r="A32" s="74"/>
      <c r="B32" s="93"/>
      <c r="C32" s="95" t="s">
        <v>17</v>
      </c>
      <c r="D32" s="91">
        <f>(D20+D29)*21%</f>
        <v>161.69999999999999</v>
      </c>
      <c r="F32" s="3"/>
      <c r="G32" s="3"/>
    </row>
    <row r="33" spans="1:7" ht="14.25" thickTop="1" thickBot="1">
      <c r="A33" s="15"/>
      <c r="B33" s="5"/>
      <c r="C33" s="16"/>
      <c r="D33" s="71"/>
      <c r="F33" s="3"/>
      <c r="G33" s="3"/>
    </row>
    <row r="34" spans="1:7" ht="14.25" thickTop="1" thickBot="1">
      <c r="A34" s="96" t="s">
        <v>18</v>
      </c>
      <c r="B34" s="18"/>
      <c r="C34" s="19"/>
      <c r="D34" s="108">
        <f>SUM(D20:D32)-D31</f>
        <v>931.7</v>
      </c>
      <c r="F34" s="3"/>
      <c r="G34" s="3"/>
    </row>
    <row r="35" spans="1:7" ht="14.25" thickTop="1" thickBot="1">
      <c r="A35" s="8"/>
      <c r="B35" s="5"/>
      <c r="C35" s="5"/>
      <c r="D35" s="19"/>
      <c r="E35" s="20"/>
      <c r="F35" s="3"/>
      <c r="G35" s="3"/>
    </row>
    <row r="36" spans="1:7" ht="14.25" thickTop="1" thickBot="1">
      <c r="A36" s="100" t="s">
        <v>19</v>
      </c>
      <c r="B36" s="18"/>
      <c r="C36" s="5"/>
      <c r="D36" s="12"/>
      <c r="E36" s="3"/>
      <c r="F36" s="3"/>
      <c r="G36" s="3"/>
    </row>
    <row r="37" spans="1:7" ht="13.5" thickTop="1">
      <c r="A37" s="8"/>
      <c r="B37" s="5"/>
      <c r="C37" s="5"/>
      <c r="D37" s="12"/>
      <c r="E37" s="3"/>
      <c r="F37" s="3"/>
      <c r="G37" s="3"/>
    </row>
    <row r="38" spans="1:7">
      <c r="A38" s="8" t="s">
        <v>20</v>
      </c>
      <c r="B38" s="5"/>
      <c r="C38" s="5"/>
      <c r="D38" s="97">
        <v>0</v>
      </c>
      <c r="E38" s="3"/>
      <c r="F38" s="3"/>
      <c r="G38" s="3"/>
    </row>
    <row r="39" spans="1:7">
      <c r="A39" s="8" t="s">
        <v>21</v>
      </c>
      <c r="B39" s="5"/>
      <c r="C39" s="5"/>
      <c r="D39" s="97">
        <v>0</v>
      </c>
      <c r="E39" s="3"/>
      <c r="F39" s="3"/>
      <c r="G39" s="3"/>
    </row>
    <row r="40" spans="1:7">
      <c r="A40" s="8" t="s">
        <v>22</v>
      </c>
      <c r="B40" s="5"/>
      <c r="C40" s="5"/>
      <c r="D40" s="97">
        <v>0</v>
      </c>
      <c r="E40" s="3"/>
      <c r="F40" s="3"/>
      <c r="G40" s="3"/>
    </row>
    <row r="41" spans="1:7">
      <c r="A41" s="8" t="s">
        <v>23</v>
      </c>
      <c r="B41" s="98">
        <v>0</v>
      </c>
      <c r="C41" s="5"/>
      <c r="D41" s="102">
        <f>B41*50</f>
        <v>0</v>
      </c>
      <c r="E41" s="3"/>
      <c r="F41" s="3"/>
      <c r="G41" s="3"/>
    </row>
    <row r="42" spans="1:7" ht="13.5" thickBot="1">
      <c r="A42" s="8" t="s">
        <v>45</v>
      </c>
      <c r="B42" s="5"/>
      <c r="C42" s="5"/>
      <c r="D42" s="97">
        <v>0</v>
      </c>
      <c r="E42" s="3"/>
      <c r="F42" s="3"/>
      <c r="G42" s="3"/>
    </row>
    <row r="43" spans="1:7" ht="14.25" thickTop="1" thickBot="1">
      <c r="A43" s="92" t="s">
        <v>24</v>
      </c>
      <c r="B43" s="93"/>
      <c r="C43" s="74"/>
      <c r="D43" s="94">
        <f>SUM(D38:D42)</f>
        <v>0</v>
      </c>
      <c r="F43" s="103"/>
      <c r="G43" s="7"/>
    </row>
    <row r="44" spans="1:7" ht="14.25" thickTop="1" thickBot="1">
      <c r="A44" s="104"/>
      <c r="B44" s="93"/>
      <c r="C44" s="95" t="s">
        <v>17</v>
      </c>
      <c r="D44" s="105">
        <f>(D38+D41+D42)*21%</f>
        <v>0</v>
      </c>
      <c r="F44" s="103"/>
      <c r="G44" s="7"/>
    </row>
    <row r="45" spans="1:7" ht="14.25" thickTop="1" thickBot="1">
      <c r="A45" s="21"/>
      <c r="B45" s="5"/>
      <c r="C45" s="22"/>
      <c r="D45" s="66"/>
      <c r="F45" s="3"/>
      <c r="G45" s="7"/>
    </row>
    <row r="46" spans="1:7" ht="14.25" thickTop="1" thickBot="1">
      <c r="A46" s="106" t="s">
        <v>25</v>
      </c>
      <c r="B46" s="18"/>
      <c r="C46" s="23"/>
      <c r="D46" s="101">
        <f>SUM(D43:D44)</f>
        <v>0</v>
      </c>
      <c r="E46" s="110"/>
      <c r="F46" s="3"/>
      <c r="G46" s="7"/>
    </row>
    <row r="47" spans="1:7" ht="13.5" thickTop="1">
      <c r="A47" s="8"/>
      <c r="B47" s="5"/>
      <c r="C47" s="5"/>
      <c r="D47" s="5"/>
      <c r="E47" s="7"/>
      <c r="F47" s="3"/>
      <c r="G47" s="7"/>
    </row>
    <row r="48" spans="1:7" ht="15" customHeight="1">
      <c r="A48" s="8"/>
      <c r="B48" s="5"/>
      <c r="C48" s="5"/>
      <c r="D48" s="5"/>
      <c r="E48" s="7"/>
      <c r="F48" s="3"/>
      <c r="G48" s="7"/>
    </row>
    <row r="49" spans="1:7" ht="28.5" customHeight="1">
      <c r="A49" s="65" t="s">
        <v>74</v>
      </c>
      <c r="B49" s="5"/>
      <c r="C49" s="5"/>
      <c r="D49" s="5"/>
      <c r="E49" s="7"/>
      <c r="F49" s="3"/>
      <c r="G49" s="7"/>
    </row>
    <row r="50" spans="1:7">
      <c r="A50" s="8"/>
      <c r="B50" s="5"/>
      <c r="C50" s="5"/>
      <c r="D50" s="5"/>
      <c r="E50" s="7"/>
      <c r="F50" s="3"/>
      <c r="G50" s="7"/>
    </row>
    <row r="51" spans="1:7">
      <c r="A51" s="8" t="s">
        <v>49</v>
      </c>
      <c r="B51" s="72" t="s">
        <v>50</v>
      </c>
      <c r="C51" s="115">
        <v>0</v>
      </c>
    </row>
    <row r="52" spans="1:7">
      <c r="A52" s="8"/>
      <c r="B52" s="72" t="s">
        <v>51</v>
      </c>
      <c r="C52" s="115">
        <v>0</v>
      </c>
    </row>
    <row r="53" spans="1:7">
      <c r="A53" s="8"/>
      <c r="B53" s="72" t="s">
        <v>52</v>
      </c>
      <c r="C53" s="107">
        <f>SUM(C51:C52)</f>
        <v>0</v>
      </c>
    </row>
    <row r="54" spans="1:7">
      <c r="A54" s="8"/>
      <c r="B54" s="66"/>
      <c r="C54" s="66"/>
    </row>
    <row r="55" spans="1:7">
      <c r="A55" s="8" t="s">
        <v>53</v>
      </c>
      <c r="B55" s="72"/>
      <c r="C55" s="116">
        <v>0</v>
      </c>
    </row>
    <row r="56" spans="1:7">
      <c r="A56" s="8"/>
      <c r="B56" s="3"/>
      <c r="C56" s="7"/>
    </row>
    <row r="57" spans="1:7">
      <c r="A57" s="8" t="s">
        <v>75</v>
      </c>
      <c r="B57" s="117" t="s">
        <v>36</v>
      </c>
      <c r="C57" s="7"/>
    </row>
    <row r="58" spans="1:7" ht="15">
      <c r="A58" s="80" t="s">
        <v>85</v>
      </c>
      <c r="B58" s="118">
        <v>1</v>
      </c>
    </row>
    <row r="59" spans="1:7">
      <c r="A59" s="8" t="s">
        <v>6</v>
      </c>
      <c r="B59" s="3"/>
      <c r="C59" s="7"/>
    </row>
    <row r="60" spans="1:7">
      <c r="A60" s="8"/>
      <c r="D60" s="111" t="s">
        <v>8</v>
      </c>
      <c r="E60" s="67">
        <f>IF(B57="ja",E194/2+4.239,E194)</f>
        <v>0</v>
      </c>
    </row>
    <row r="61" spans="1:7">
      <c r="A61" s="8" t="s">
        <v>54</v>
      </c>
      <c r="B61" s="67"/>
      <c r="C61" s="67">
        <f>C53/100</f>
        <v>0</v>
      </c>
      <c r="D61" s="112" t="s">
        <v>76</v>
      </c>
      <c r="E61" s="67">
        <f>E60*21/100</f>
        <v>0</v>
      </c>
    </row>
    <row r="62" spans="1:7">
      <c r="A62" s="8" t="s">
        <v>55</v>
      </c>
      <c r="B62" s="73"/>
      <c r="C62" s="119">
        <v>0</v>
      </c>
      <c r="D62" s="111"/>
      <c r="E62" s="67"/>
    </row>
    <row r="63" spans="1:7">
      <c r="A63" s="8"/>
      <c r="B63" s="67"/>
      <c r="C63" s="67"/>
      <c r="D63" s="111"/>
      <c r="E63" s="67"/>
    </row>
    <row r="64" spans="1:7">
      <c r="A64" s="8" t="s">
        <v>56</v>
      </c>
      <c r="B64" s="67">
        <f>C53*0.3%</f>
        <v>0</v>
      </c>
      <c r="C64" s="67"/>
      <c r="D64" s="111"/>
      <c r="E64" s="67"/>
    </row>
    <row r="65" spans="1:5">
      <c r="A65" s="8" t="s">
        <v>57</v>
      </c>
      <c r="B65" s="67">
        <f>A113*B58</f>
        <v>87.31</v>
      </c>
      <c r="C65" s="67"/>
      <c r="D65" s="111"/>
      <c r="E65" s="67"/>
    </row>
    <row r="66" spans="1:5">
      <c r="A66" s="8" t="s">
        <v>58</v>
      </c>
      <c r="B66" s="67"/>
      <c r="C66" s="67">
        <f>IF((D180-B64-B65)&lt;22,D180+50,D180)</f>
        <v>150</v>
      </c>
      <c r="D66" s="111"/>
      <c r="E66" s="67"/>
    </row>
    <row r="67" spans="1:5">
      <c r="A67" s="8"/>
      <c r="B67" s="67"/>
      <c r="C67" s="67"/>
      <c r="D67" s="111"/>
      <c r="E67" s="67"/>
    </row>
    <row r="68" spans="1:5">
      <c r="A68" s="8" t="s">
        <v>59</v>
      </c>
      <c r="B68" s="67"/>
      <c r="C68" s="67">
        <v>50</v>
      </c>
      <c r="D68" s="111"/>
      <c r="E68" s="67"/>
    </row>
    <row r="69" spans="1:5">
      <c r="A69" s="8"/>
      <c r="B69" s="67" t="s">
        <v>76</v>
      </c>
      <c r="C69" s="67">
        <f>C68*21%</f>
        <v>10.5</v>
      </c>
      <c r="D69" s="111"/>
      <c r="E69" s="67"/>
    </row>
    <row r="70" spans="1:5">
      <c r="A70" s="8"/>
      <c r="B70" s="73"/>
      <c r="C70" s="67"/>
      <c r="D70" s="111"/>
      <c r="E70" s="67"/>
    </row>
    <row r="71" spans="1:5">
      <c r="A71" s="8" t="s">
        <v>60</v>
      </c>
      <c r="B71" s="67"/>
      <c r="C71" s="119">
        <v>660</v>
      </c>
      <c r="D71" s="111"/>
      <c r="E71" s="67"/>
    </row>
    <row r="72" spans="1:5">
      <c r="A72" s="8"/>
      <c r="B72" s="73" t="s">
        <v>76</v>
      </c>
      <c r="C72" s="67">
        <f>C71*21%</f>
        <v>138.6</v>
      </c>
      <c r="D72" s="111"/>
      <c r="E72" s="67"/>
    </row>
    <row r="73" spans="1:5">
      <c r="A73" s="8"/>
      <c r="B73" s="67"/>
      <c r="C73" s="67"/>
      <c r="D73" s="111"/>
      <c r="E73" s="67"/>
    </row>
    <row r="74" spans="1:5">
      <c r="A74" s="8" t="s">
        <v>61</v>
      </c>
      <c r="B74" s="73"/>
      <c r="C74" s="119">
        <v>0</v>
      </c>
      <c r="D74" s="113"/>
      <c r="E74" s="67"/>
    </row>
    <row r="75" spans="1:5">
      <c r="A75" s="8"/>
      <c r="B75" s="1" t="s">
        <v>76</v>
      </c>
      <c r="C75" s="67">
        <f>C74*21%</f>
        <v>0</v>
      </c>
      <c r="D75" s="113"/>
      <c r="E75" s="67"/>
    </row>
    <row r="76" spans="1:5">
      <c r="A76" s="8"/>
      <c r="C76" s="67"/>
      <c r="D76" s="113"/>
      <c r="E76" s="67"/>
    </row>
    <row r="77" spans="1:5">
      <c r="A77" s="8"/>
      <c r="B77" s="1" t="s">
        <v>62</v>
      </c>
      <c r="C77" s="67">
        <f>A151</f>
        <v>860</v>
      </c>
      <c r="D77" s="113" t="s">
        <v>63</v>
      </c>
      <c r="E77" s="67">
        <f>E60</f>
        <v>0</v>
      </c>
    </row>
    <row r="78" spans="1:5">
      <c r="A78" s="8"/>
      <c r="D78" s="113" t="s">
        <v>64</v>
      </c>
      <c r="E78" s="67">
        <f>C77</f>
        <v>860</v>
      </c>
    </row>
    <row r="79" spans="1:5">
      <c r="A79" s="8"/>
      <c r="D79" s="113" t="s">
        <v>65</v>
      </c>
      <c r="E79" s="67">
        <f>SUM(E77+C77)</f>
        <v>860</v>
      </c>
    </row>
    <row r="80" spans="1:5">
      <c r="A80" s="8"/>
      <c r="D80" s="113"/>
      <c r="E80" s="67"/>
    </row>
    <row r="81" spans="1:6">
      <c r="A81" s="8"/>
      <c r="B81" s="5"/>
      <c r="C81" s="7"/>
      <c r="D81" s="114" t="s">
        <v>17</v>
      </c>
      <c r="E81" s="67">
        <f>SUM(C69,C72,C75,E61)</f>
        <v>149.1</v>
      </c>
    </row>
    <row r="82" spans="1:6" ht="13.5" thickBot="1">
      <c r="A82" s="8"/>
      <c r="B82" s="5"/>
      <c r="C82" s="7"/>
      <c r="D82" s="114"/>
      <c r="E82" s="67"/>
    </row>
    <row r="83" spans="1:6" ht="14.25" thickTop="1" thickBot="1">
      <c r="A83" s="8"/>
      <c r="B83" s="5"/>
      <c r="C83" s="7"/>
      <c r="D83" s="114" t="s">
        <v>66</v>
      </c>
      <c r="E83" s="109">
        <f>SUM(E79:E81)</f>
        <v>1009.1</v>
      </c>
    </row>
    <row r="84" spans="1:6" ht="13.5" thickTop="1">
      <c r="A84" s="8"/>
      <c r="B84" s="5"/>
      <c r="C84" s="7"/>
      <c r="D84" s="3"/>
      <c r="E84" s="7"/>
      <c r="F84" s="67"/>
    </row>
    <row r="85" spans="1:6" ht="21.75" customHeight="1">
      <c r="A85" s="76" t="s">
        <v>84</v>
      </c>
      <c r="B85" s="77"/>
      <c r="C85" s="7"/>
      <c r="D85" s="3"/>
      <c r="E85" s="7"/>
      <c r="F85" s="67"/>
    </row>
    <row r="86" spans="1:6">
      <c r="A86" s="8" t="s">
        <v>50</v>
      </c>
      <c r="B86" s="115">
        <v>0</v>
      </c>
      <c r="C86" s="3"/>
      <c r="D86" s="7"/>
      <c r="E86" s="67"/>
    </row>
    <row r="87" spans="1:6">
      <c r="A87" s="8" t="s">
        <v>51</v>
      </c>
      <c r="B87" s="115">
        <v>0</v>
      </c>
      <c r="C87" s="3"/>
      <c r="D87" s="7"/>
      <c r="E87" s="67"/>
    </row>
    <row r="88" spans="1:6">
      <c r="A88" s="8" t="s">
        <v>52</v>
      </c>
      <c r="B88" s="107">
        <f>SUM(B86:B87)</f>
        <v>0</v>
      </c>
      <c r="C88" s="3"/>
      <c r="D88" s="7"/>
      <c r="E88" s="67"/>
    </row>
    <row r="89" spans="1:6">
      <c r="A89" s="8"/>
      <c r="B89" s="7"/>
      <c r="C89" s="3"/>
      <c r="D89" s="7"/>
      <c r="E89" s="67"/>
    </row>
    <row r="90" spans="1:6">
      <c r="A90" s="8" t="s">
        <v>81</v>
      </c>
      <c r="B90" s="120">
        <v>1</v>
      </c>
      <c r="C90" s="3"/>
      <c r="D90" s="7"/>
      <c r="E90" s="67"/>
    </row>
    <row r="91" spans="1:6">
      <c r="A91" s="8" t="s">
        <v>6</v>
      </c>
      <c r="B91" s="7"/>
      <c r="C91" s="3"/>
      <c r="D91" s="7"/>
      <c r="E91" s="67"/>
    </row>
    <row r="92" spans="1:6">
      <c r="A92" s="8" t="s">
        <v>59</v>
      </c>
      <c r="B92" s="7"/>
      <c r="C92" s="66">
        <v>50</v>
      </c>
      <c r="D92" s="111" t="s">
        <v>8</v>
      </c>
      <c r="E92" s="67">
        <f>E130</f>
        <v>0</v>
      </c>
    </row>
    <row r="93" spans="1:6">
      <c r="A93" s="8" t="s">
        <v>82</v>
      </c>
      <c r="B93" s="7"/>
      <c r="C93" s="66">
        <v>50</v>
      </c>
      <c r="D93" s="111"/>
      <c r="E93" s="67"/>
    </row>
    <row r="94" spans="1:6">
      <c r="A94" s="8" t="s">
        <v>83</v>
      </c>
      <c r="B94" s="7"/>
      <c r="C94" s="115">
        <v>0</v>
      </c>
      <c r="D94" s="111"/>
      <c r="E94" s="67"/>
    </row>
    <row r="95" spans="1:6">
      <c r="A95" s="8" t="s">
        <v>73</v>
      </c>
      <c r="B95" s="7"/>
      <c r="C95" s="115">
        <f>C115</f>
        <v>185</v>
      </c>
      <c r="D95" s="111"/>
      <c r="E95" s="67"/>
    </row>
    <row r="96" spans="1:6">
      <c r="A96" s="8"/>
      <c r="B96" s="7"/>
      <c r="C96" s="66"/>
      <c r="D96" s="111"/>
      <c r="E96" s="67"/>
    </row>
    <row r="97" spans="1:23">
      <c r="A97" s="8"/>
      <c r="B97" s="7" t="s">
        <v>62</v>
      </c>
      <c r="C97" s="66">
        <f>SUM(C92:C96)</f>
        <v>285</v>
      </c>
      <c r="D97" s="111" t="s">
        <v>63</v>
      </c>
      <c r="E97" s="67">
        <f>E92</f>
        <v>0</v>
      </c>
    </row>
    <row r="98" spans="1:23">
      <c r="A98" s="8"/>
      <c r="B98" s="7"/>
      <c r="C98" s="3"/>
      <c r="D98" s="111" t="s">
        <v>64</v>
      </c>
      <c r="E98" s="67">
        <f>SUM(C92:C96)</f>
        <v>285</v>
      </c>
    </row>
    <row r="99" spans="1:23">
      <c r="A99" s="8"/>
      <c r="B99" s="7"/>
      <c r="C99" s="3"/>
      <c r="D99" s="111" t="s">
        <v>65</v>
      </c>
      <c r="E99" s="67">
        <f>SUM(E97:E98)</f>
        <v>285</v>
      </c>
    </row>
    <row r="100" spans="1:23">
      <c r="A100" s="8"/>
      <c r="B100" s="7"/>
      <c r="C100" s="3"/>
      <c r="D100" s="111"/>
      <c r="E100" s="67"/>
    </row>
    <row r="101" spans="1:23">
      <c r="A101" s="8"/>
      <c r="B101" s="7"/>
      <c r="C101" s="3"/>
      <c r="D101" s="111" t="s">
        <v>17</v>
      </c>
      <c r="E101" s="67">
        <f>(C92+C95+E92)*21%</f>
        <v>49.35</v>
      </c>
    </row>
    <row r="102" spans="1:23" ht="13.5" thickBot="1">
      <c r="A102" s="8"/>
      <c r="B102" s="7"/>
      <c r="C102" s="3"/>
      <c r="D102" s="111"/>
      <c r="E102" s="67"/>
    </row>
    <row r="103" spans="1:23" ht="14.25" thickTop="1" thickBot="1">
      <c r="A103" s="8"/>
      <c r="B103" s="7"/>
      <c r="C103" s="3"/>
      <c r="D103" s="111" t="s">
        <v>66</v>
      </c>
      <c r="E103" s="109">
        <f>SUM(E99:E101)</f>
        <v>334.35</v>
      </c>
    </row>
    <row r="104" spans="1:23" ht="13.5" thickTop="1">
      <c r="A104" s="8"/>
      <c r="B104" s="5"/>
      <c r="C104" s="7"/>
      <c r="D104" s="3"/>
      <c r="E104" s="7"/>
      <c r="F104" s="67"/>
    </row>
    <row r="105" spans="1:23">
      <c r="A105" s="6"/>
      <c r="B105" s="6"/>
      <c r="C105" s="6"/>
      <c r="D105" s="6"/>
      <c r="E105" s="6"/>
      <c r="F105" s="6"/>
      <c r="G105" s="6"/>
    </row>
    <row r="106" spans="1:23">
      <c r="A106" s="6"/>
      <c r="B106" s="24" t="s">
        <v>26</v>
      </c>
      <c r="C106" s="24" t="s">
        <v>27</v>
      </c>
      <c r="E106" s="6"/>
    </row>
    <row r="107" spans="1:23">
      <c r="A107" s="6"/>
      <c r="B107" s="6"/>
      <c r="C107" s="19"/>
      <c r="E107" s="6"/>
      <c r="F107" s="20"/>
      <c r="G107" s="6"/>
    </row>
    <row r="108" spans="1:23">
      <c r="A108" s="6"/>
      <c r="B108" s="25" t="s">
        <v>28</v>
      </c>
      <c r="C108" s="53" t="s">
        <v>29</v>
      </c>
      <c r="E108" s="6"/>
      <c r="F108" s="19"/>
      <c r="G108" s="17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6"/>
      <c r="U108" s="26"/>
      <c r="V108" s="26"/>
      <c r="W108" s="26"/>
    </row>
    <row r="109" spans="1:23">
      <c r="A109" s="6"/>
      <c r="B109" s="27"/>
      <c r="C109" s="27"/>
      <c r="E109" s="6"/>
      <c r="F109" s="28"/>
      <c r="G109" s="27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</row>
    <row r="110" spans="1:23" ht="14.25">
      <c r="B110" s="24" t="s">
        <v>46</v>
      </c>
      <c r="C110" s="29"/>
      <c r="F110" s="26"/>
      <c r="G110" s="26"/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</row>
    <row r="111" spans="1:23" ht="14.25">
      <c r="B111" s="26"/>
      <c r="C111" s="29"/>
      <c r="D111" s="29"/>
      <c r="E111" s="24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</row>
    <row r="112" spans="1:23" ht="14.25">
      <c r="B112" s="26"/>
      <c r="D112" s="29"/>
      <c r="E112" s="24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</row>
    <row r="113" spans="1:23" ht="14.25" hidden="1">
      <c r="A113" s="1">
        <f>(A141+ROUNDDOWN((C51+C52-1)/C142,0)*A142)+20</f>
        <v>87.31</v>
      </c>
      <c r="B113" s="26"/>
      <c r="C113" s="29">
        <f>IF(B90=1,185,0)</f>
        <v>185</v>
      </c>
      <c r="D113" s="29">
        <f>IF(B90=2,335,0)</f>
        <v>0</v>
      </c>
      <c r="E113" s="29">
        <f>IF(B90&gt;2,(335+(B90-2)*200),0)</f>
        <v>0</v>
      </c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</row>
    <row r="114" spans="1:23" ht="14.25" hidden="1">
      <c r="B114" s="26"/>
      <c r="D114" s="29"/>
      <c r="E114" s="29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</row>
    <row r="115" spans="1:23" hidden="1">
      <c r="B115" s="26"/>
      <c r="C115" s="26">
        <f>SUM(C113:E113)</f>
        <v>185</v>
      </c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</row>
    <row r="116" spans="1:23" hidden="1"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</row>
    <row r="117" spans="1:23" hidden="1"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</row>
    <row r="118" spans="1:23" hidden="1"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</row>
    <row r="119" spans="1:23" hidden="1">
      <c r="A119" s="1" t="s">
        <v>52</v>
      </c>
      <c r="B119" s="26"/>
      <c r="C119" s="26">
        <f>B88</f>
        <v>0</v>
      </c>
      <c r="D119" s="26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</row>
    <row r="120" spans="1:23" hidden="1">
      <c r="A120" s="1" t="s">
        <v>32</v>
      </c>
      <c r="B120" s="26"/>
      <c r="C120" s="26" t="s">
        <v>32</v>
      </c>
      <c r="D120" s="26" t="s">
        <v>77</v>
      </c>
      <c r="E120" s="26" t="s">
        <v>78</v>
      </c>
      <c r="F120" s="26"/>
      <c r="G120" s="26"/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</row>
    <row r="121" spans="1:23" hidden="1">
      <c r="A121" s="1">
        <v>0</v>
      </c>
      <c r="B121" s="26"/>
      <c r="C121" s="26">
        <v>7500</v>
      </c>
      <c r="D121" s="78">
        <v>1.4250000000000001E-2</v>
      </c>
      <c r="E121" s="26">
        <f>IF(B88&lt;C121,B88*D121,C121*D121)</f>
        <v>0</v>
      </c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</row>
    <row r="122" spans="1:23" hidden="1">
      <c r="A122" s="1">
        <v>7500</v>
      </c>
      <c r="B122" s="26"/>
      <c r="C122" s="26">
        <v>17500</v>
      </c>
      <c r="D122" s="78">
        <v>1.14E-2</v>
      </c>
      <c r="E122" s="26" t="str">
        <f>IF(B88&lt;=A122," ",IF(B88&lt;C122,(B88-C121)*D122,(C122-A122)*D122))</f>
        <v xml:space="preserve"> </v>
      </c>
      <c r="F122" s="26"/>
      <c r="G122" s="26"/>
      <c r="H122" s="26"/>
      <c r="I122" s="26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</row>
    <row r="123" spans="1:23" hidden="1">
      <c r="A123" s="1">
        <v>17500</v>
      </c>
      <c r="B123" s="26"/>
      <c r="C123" s="26">
        <v>30000</v>
      </c>
      <c r="D123" s="78">
        <v>6.8399999999999997E-3</v>
      </c>
      <c r="E123" s="26" t="str">
        <f>IF(B88&lt;=A123," ",IF(B88&lt;C123,(B88-C122)*D123,(C123-A123)*D123))</f>
        <v xml:space="preserve"> </v>
      </c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</row>
    <row r="124" spans="1:23" hidden="1">
      <c r="A124" s="1">
        <v>30000</v>
      </c>
      <c r="B124" s="26"/>
      <c r="C124" s="26">
        <v>45495</v>
      </c>
      <c r="D124" s="78">
        <v>5.7000000000000002E-3</v>
      </c>
      <c r="E124" s="26" t="str">
        <f>IF(B88&lt;=A124," ",IF(B88&lt;C124,(B88-C123)*D124,(C124-A124)*D124))</f>
        <v xml:space="preserve"> </v>
      </c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</row>
    <row r="125" spans="1:23" hidden="1">
      <c r="A125" s="1">
        <v>45495</v>
      </c>
      <c r="B125" s="26"/>
      <c r="C125" s="26">
        <v>64095</v>
      </c>
      <c r="D125" s="78">
        <v>4.5599999999999998E-3</v>
      </c>
      <c r="E125" s="26" t="str">
        <f>IF(B88&lt;=A125," ",IF(B88&lt;C125,(B88-C124)*D125,(C125-A125)*D125))</f>
        <v xml:space="preserve"> </v>
      </c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</row>
    <row r="126" spans="1:23" hidden="1">
      <c r="A126" s="1">
        <v>64095</v>
      </c>
      <c r="B126" s="26"/>
      <c r="C126" s="26">
        <v>250095</v>
      </c>
      <c r="D126" s="78">
        <v>2.2799999999999999E-3</v>
      </c>
      <c r="E126" s="26" t="str">
        <f>IF(B88&lt;=A126," ",IF(B88&lt;C126,(B88-C125)*D126,(C126-A126)*D126))</f>
        <v xml:space="preserve"> </v>
      </c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</row>
    <row r="127" spans="1:23" hidden="1">
      <c r="A127" s="1">
        <v>250095</v>
      </c>
      <c r="B127" s="26"/>
      <c r="C127" s="26">
        <f>B88</f>
        <v>0</v>
      </c>
      <c r="D127" s="78">
        <v>4.5600000000000003E-4</v>
      </c>
      <c r="E127" s="26" t="str">
        <f>IF(B88&lt;=A127,"E90",IF(B88&lt;C127,(B88-C126)*D127,(C127-A127)*D127))</f>
        <v>E90</v>
      </c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</row>
    <row r="128" spans="1:23" hidden="1"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</row>
    <row r="129" spans="1:23" hidden="1">
      <c r="A129" s="1" t="s">
        <v>34</v>
      </c>
      <c r="B129" s="26"/>
      <c r="C129" s="26"/>
      <c r="D129" s="26" t="s">
        <v>79</v>
      </c>
      <c r="E129" s="26">
        <f>SUM(E121:E128)</f>
        <v>0</v>
      </c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</row>
    <row r="130" spans="1:23" hidden="1">
      <c r="B130" s="26"/>
      <c r="C130" s="26"/>
      <c r="D130" s="26" t="s">
        <v>80</v>
      </c>
      <c r="E130" s="26">
        <f>E129/4</f>
        <v>0</v>
      </c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</row>
    <row r="131" spans="1:23" hidden="1"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</row>
    <row r="132" spans="1:23" hidden="1">
      <c r="B132" s="79">
        <f>IF(B14="ja",-1500,0)</f>
        <v>0</v>
      </c>
      <c r="C132" s="79">
        <f>IF(AND(B12="ja",B14="ja"),-750,0)</f>
        <v>0</v>
      </c>
      <c r="D132" s="79"/>
      <c r="E132" s="79"/>
      <c r="F132" s="79">
        <f>IF(AND(B14="ja",B15="ja"),-1000,0)</f>
        <v>0</v>
      </c>
      <c r="G132" s="79"/>
      <c r="H132" s="79"/>
      <c r="I132" s="26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</row>
    <row r="133" spans="1:23" hidden="1">
      <c r="B133" s="79">
        <f>IF(B14="ja",-750,0)</f>
        <v>0</v>
      </c>
      <c r="C133" s="79">
        <f>IF(AND(B12="neen",B14="ja"),-1500,0)</f>
        <v>0</v>
      </c>
      <c r="D133" s="79"/>
      <c r="E133" s="79"/>
      <c r="F133" s="79">
        <f>-F132</f>
        <v>0</v>
      </c>
      <c r="G133" s="79">
        <f>IF(F133&gt;(D21+D22+D24-50),-(D21+D22+D24-50),F132)</f>
        <v>50</v>
      </c>
      <c r="H133" s="79">
        <f>IF(G133=50,0,G133)</f>
        <v>0</v>
      </c>
      <c r="I133" s="26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</row>
    <row r="134" spans="1:23" hidden="1">
      <c r="B134" s="79"/>
      <c r="C134" s="79">
        <f>SUM(C132:C133)</f>
        <v>0</v>
      </c>
      <c r="D134" s="79">
        <f>IF(C136&gt;(D21+D22-50),-(D21+D22-50),C134)</f>
        <v>50</v>
      </c>
      <c r="E134" s="79">
        <f>IF(D134=50,0,D134)</f>
        <v>0</v>
      </c>
      <c r="F134" s="79"/>
      <c r="G134" s="79"/>
      <c r="H134" s="79"/>
      <c r="I134" s="26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</row>
    <row r="135" spans="1:23" hidden="1">
      <c r="B135" s="79"/>
      <c r="C135" s="79"/>
      <c r="D135" s="79"/>
      <c r="E135" s="79"/>
      <c r="F135" s="79"/>
      <c r="G135" s="79"/>
      <c r="H135" s="79"/>
      <c r="I135" s="26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</row>
    <row r="136" spans="1:23" hidden="1">
      <c r="B136" s="79"/>
      <c r="C136" s="79">
        <f>-C134</f>
        <v>0</v>
      </c>
      <c r="D136" s="79"/>
      <c r="E136" s="79"/>
      <c r="F136" s="79"/>
      <c r="G136" s="79"/>
      <c r="H136" s="79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</row>
    <row r="137" spans="1:23" hidden="1"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U137" s="26"/>
      <c r="V137" s="26"/>
      <c r="W137" s="26"/>
    </row>
    <row r="138" spans="1:23" hidden="1"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</row>
    <row r="139" spans="1:23" hidden="1"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</row>
    <row r="140" spans="1:23" hidden="1">
      <c r="A140" s="1" t="s">
        <v>67</v>
      </c>
      <c r="B140" s="26"/>
      <c r="C140" s="26"/>
      <c r="D140" s="26"/>
      <c r="E140" s="26"/>
      <c r="F140" s="26" t="s">
        <v>68</v>
      </c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</row>
    <row r="141" spans="1:23" hidden="1">
      <c r="A141" s="1">
        <v>67.31</v>
      </c>
      <c r="B141" s="26" t="s">
        <v>69</v>
      </c>
      <c r="C141" s="26">
        <v>25000</v>
      </c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</row>
    <row r="142" spans="1:23" hidden="1">
      <c r="A142" s="1">
        <v>23.56</v>
      </c>
      <c r="B142" s="26" t="s">
        <v>70</v>
      </c>
      <c r="C142" s="26">
        <v>25000</v>
      </c>
      <c r="D142" s="26" t="s">
        <v>71</v>
      </c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</row>
    <row r="143" spans="1:23" hidden="1"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</row>
    <row r="144" spans="1:23" hidden="1"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6"/>
      <c r="V144" s="26"/>
      <c r="W144" s="26"/>
    </row>
    <row r="145" spans="1:23" hidden="1">
      <c r="B145" s="26"/>
      <c r="C145" s="26"/>
      <c r="D145" s="26"/>
      <c r="E145" s="26"/>
      <c r="F145" s="26"/>
      <c r="G145" s="26">
        <f>SUM(C71,C74)</f>
        <v>660</v>
      </c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6"/>
      <c r="V145" s="26"/>
      <c r="W145" s="26"/>
    </row>
    <row r="146" spans="1:23" hidden="1">
      <c r="A146" s="1" t="s">
        <v>72</v>
      </c>
      <c r="B146" s="26"/>
      <c r="C146" s="26" t="s">
        <v>32</v>
      </c>
      <c r="D146" s="26" t="s">
        <v>73</v>
      </c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6"/>
      <c r="V146" s="26"/>
      <c r="W146" s="26"/>
    </row>
    <row r="147" spans="1:23" hidden="1">
      <c r="B147" s="26"/>
      <c r="C147" s="26">
        <f>C62</f>
        <v>0</v>
      </c>
      <c r="D147" s="26">
        <f>IF(C62=0,575,550)</f>
        <v>575</v>
      </c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</row>
    <row r="148" spans="1:23" hidden="1"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</row>
    <row r="149" spans="1:23" hidden="1"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</row>
    <row r="150" spans="1:23" hidden="1"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</row>
    <row r="151" spans="1:23" hidden="1">
      <c r="A151" s="1">
        <f>C61+C62+C66+C68+C71+C74</f>
        <v>860</v>
      </c>
      <c r="B151" s="26"/>
      <c r="C151" s="26"/>
      <c r="D151" s="26"/>
      <c r="E151" s="26" t="s">
        <v>35</v>
      </c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6"/>
      <c r="V151" s="26"/>
      <c r="W151" s="26"/>
    </row>
    <row r="152" spans="1:23" hidden="1">
      <c r="B152" s="26"/>
      <c r="C152" s="26"/>
      <c r="D152" s="26"/>
      <c r="E152" s="26" t="s">
        <v>36</v>
      </c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6"/>
      <c r="V152" s="26"/>
      <c r="W152" s="26"/>
    </row>
    <row r="153" spans="1:23" hidden="1"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</row>
    <row r="154" spans="1:23" hidden="1"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</row>
    <row r="155" spans="1:23" hidden="1"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</row>
    <row r="156" spans="1:23" hidden="1"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</row>
    <row r="157" spans="1:23" hidden="1"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6"/>
      <c r="V157" s="26"/>
      <c r="W157" s="26"/>
    </row>
    <row r="158" spans="1:23" hidden="1"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</row>
    <row r="159" spans="1:23" hidden="1"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</row>
    <row r="160" spans="1:23" hidden="1"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</row>
    <row r="161" spans="2:23" hidden="1"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</row>
    <row r="162" spans="2:23" hidden="1"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</row>
    <row r="163" spans="2:23" hidden="1"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</row>
    <row r="164" spans="2:23" hidden="1"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</row>
    <row r="165" spans="2:23" hidden="1"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6"/>
      <c r="V165" s="26"/>
      <c r="W165" s="26"/>
    </row>
    <row r="166" spans="2:23" hidden="1"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6"/>
      <c r="V166" s="26"/>
      <c r="W166" s="26"/>
    </row>
    <row r="167" spans="2:23" hidden="1"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</row>
    <row r="168" spans="2:23" hidden="1"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</row>
    <row r="169" spans="2:23" hidden="1"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</row>
    <row r="170" spans="2:23" hidden="1"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</row>
    <row r="171" spans="2:23" hidden="1"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</row>
    <row r="172" spans="2:23" hidden="1"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</row>
    <row r="173" spans="2:23" hidden="1"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</row>
    <row r="174" spans="2:23" hidden="1"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</row>
    <row r="175" spans="2:23" hidden="1"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</row>
    <row r="176" spans="2:23" hidden="1"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</row>
    <row r="177" spans="1:23" hidden="1"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</row>
    <row r="178" spans="1:23" hidden="1"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</row>
    <row r="179" spans="1:23" hidden="1"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</row>
    <row r="180" spans="1:23" hidden="1">
      <c r="B180" s="26"/>
      <c r="C180" s="26"/>
      <c r="D180" s="26">
        <f>ROUNDUP(B64+B65,-2)</f>
        <v>100</v>
      </c>
      <c r="E180" s="26"/>
      <c r="F180" s="26"/>
      <c r="G180" s="26"/>
      <c r="H180" s="26"/>
      <c r="I180" s="26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</row>
    <row r="181" spans="1:23" hidden="1"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</row>
    <row r="182" spans="1:23" hidden="1"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</row>
    <row r="183" spans="1:23" hidden="1"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</row>
    <row r="184" spans="1:23" hidden="1">
      <c r="A184" s="1" t="s">
        <v>52</v>
      </c>
      <c r="B184" s="26"/>
      <c r="C184" s="26">
        <f>C55</f>
        <v>0</v>
      </c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</row>
    <row r="185" spans="1:23" hidden="1">
      <c r="A185" s="1">
        <v>0</v>
      </c>
      <c r="B185" s="26"/>
      <c r="C185" s="26">
        <v>7500</v>
      </c>
      <c r="D185" s="26">
        <v>1.4250000000000001E-2</v>
      </c>
      <c r="E185" s="26"/>
      <c r="F185" s="26">
        <f>IF(C55&lt;C185,C55*D185,C185*D185)</f>
        <v>0</v>
      </c>
      <c r="G185" s="26"/>
      <c r="H185" s="26"/>
      <c r="I185" s="26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</row>
    <row r="186" spans="1:23" hidden="1">
      <c r="A186" s="1">
        <v>7500</v>
      </c>
      <c r="B186" s="26"/>
      <c r="C186" s="26">
        <v>17500</v>
      </c>
      <c r="D186" s="26">
        <v>1.14E-2</v>
      </c>
      <c r="E186" s="26"/>
      <c r="F186" s="26" t="str">
        <f>IF(C55&lt;=A186," ",IF(C55&lt;C186,(C55-C185)*D186,(C186-A186)*D186))</f>
        <v xml:space="preserve"> </v>
      </c>
      <c r="G186" s="26"/>
      <c r="H186" s="26"/>
      <c r="I186" s="26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</row>
    <row r="187" spans="1:23" hidden="1">
      <c r="A187" s="1">
        <v>17500</v>
      </c>
      <c r="B187" s="26"/>
      <c r="C187" s="26">
        <v>30000</v>
      </c>
      <c r="D187" s="26">
        <v>6.8399999999999997E-3</v>
      </c>
      <c r="E187" s="26"/>
      <c r="F187" s="26" t="str">
        <f>IF(C55&lt;=A187," ",IF(C55&lt;C187,(C55-C186)*D187,(C187-A187)*D187))</f>
        <v xml:space="preserve"> </v>
      </c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</row>
    <row r="188" spans="1:23" hidden="1">
      <c r="A188" s="1">
        <v>30000</v>
      </c>
      <c r="B188" s="26"/>
      <c r="C188" s="26">
        <v>45495</v>
      </c>
      <c r="D188" s="26">
        <v>5.7000000000000002E-3</v>
      </c>
      <c r="E188" s="26"/>
      <c r="F188" s="26" t="str">
        <f>IF(C55&lt;=A188," ",IF(C55&lt;C188,(C55-C187)*D188,(C188-A188)*D188))</f>
        <v xml:space="preserve"> </v>
      </c>
      <c r="G188" s="26"/>
      <c r="H188" s="26"/>
      <c r="I188" s="26"/>
      <c r="J188" s="26"/>
      <c r="K188" s="26"/>
      <c r="L188" s="26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</row>
    <row r="189" spans="1:23" hidden="1">
      <c r="A189" s="1">
        <v>45495</v>
      </c>
      <c r="B189" s="26"/>
      <c r="C189" s="26">
        <v>64095</v>
      </c>
      <c r="D189" s="26">
        <v>4.5599999999999998E-3</v>
      </c>
      <c r="E189" s="26"/>
      <c r="F189" s="26" t="str">
        <f>IF(C55&lt;=A189," ",IF(C55&lt;C189,(C55-C188)*D189,(C189-A189)*D189))</f>
        <v xml:space="preserve"> </v>
      </c>
      <c r="G189" s="26"/>
      <c r="H189" s="26"/>
      <c r="I189" s="26"/>
      <c r="J189" s="26"/>
      <c r="K189" s="26"/>
      <c r="L189" s="26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</row>
    <row r="190" spans="1:23" hidden="1">
      <c r="A190" s="1">
        <v>64095</v>
      </c>
      <c r="B190" s="26"/>
      <c r="C190" s="26">
        <v>250095</v>
      </c>
      <c r="D190" s="26">
        <v>2.2799999999999999E-3</v>
      </c>
      <c r="E190" s="26"/>
      <c r="F190" s="26" t="str">
        <f>IF(C55&lt;=A190," ",IF(C55&lt;C190,(C55-C189)*D190,(C190-A190)*D190))</f>
        <v xml:space="preserve"> </v>
      </c>
      <c r="G190" s="26"/>
      <c r="H190" s="26"/>
      <c r="I190" s="26"/>
      <c r="J190" s="26"/>
      <c r="K190" s="26"/>
      <c r="L190" s="26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</row>
    <row r="191" spans="1:23" hidden="1">
      <c r="A191" s="1">
        <v>250095</v>
      </c>
      <c r="B191" s="26"/>
      <c r="C191" s="26">
        <v>999999999</v>
      </c>
      <c r="D191" s="26">
        <v>4.5600000000000003E-4</v>
      </c>
      <c r="E191" s="26"/>
      <c r="F191" s="26" t="str">
        <f>IF(C55&lt;=A191," ",IF(C55&lt;C191,(C55-C190)*D191,(C191-A191)*D191))</f>
        <v xml:space="preserve"> </v>
      </c>
      <c r="G191" s="26"/>
      <c r="H191" s="26"/>
      <c r="I191" s="26"/>
      <c r="J191" s="26"/>
      <c r="K191" s="26"/>
      <c r="L191" s="26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</row>
    <row r="192" spans="1:23" hidden="1">
      <c r="A192" s="1">
        <v>10075000</v>
      </c>
      <c r="B192" s="26"/>
      <c r="C192" s="26">
        <f>$C$105</f>
        <v>0</v>
      </c>
      <c r="D192" s="26">
        <v>4.5600000000000003E-4</v>
      </c>
      <c r="E192" s="26" t="str">
        <f>IF(C55&lt;=A192,"E90",IF(C55&lt;C192,(C55-C191)*D192,(C192-A192)*D192))</f>
        <v>E90</v>
      </c>
      <c r="F192" s="26"/>
      <c r="G192" s="26"/>
      <c r="H192" s="26"/>
      <c r="I192" s="26"/>
      <c r="J192" s="26"/>
      <c r="K192" s="26"/>
      <c r="L192" s="26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</row>
    <row r="193" spans="1:23" hidden="1"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</row>
    <row r="194" spans="1:23" hidden="1">
      <c r="A194" s="1" t="s">
        <v>34</v>
      </c>
      <c r="B194" s="26"/>
      <c r="C194" s="26"/>
      <c r="D194" s="26"/>
      <c r="E194" s="26">
        <f>SUM(F185:F192)</f>
        <v>0</v>
      </c>
      <c r="F194" s="26"/>
      <c r="G194" s="26"/>
      <c r="H194" s="26"/>
      <c r="I194" s="26"/>
      <c r="J194" s="26"/>
      <c r="K194" s="26"/>
      <c r="L194" s="26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</row>
    <row r="195" spans="1:23" hidden="1"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</row>
    <row r="196" spans="1:23" hidden="1"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</row>
    <row r="197" spans="1:23" hidden="1"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</row>
    <row r="198" spans="1:23" hidden="1"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</row>
    <row r="199" spans="1:23" hidden="1"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</row>
    <row r="200" spans="1:23" hidden="1"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</row>
    <row r="201" spans="1:23" hidden="1"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</row>
    <row r="202" spans="1:23" hidden="1"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</row>
    <row r="203" spans="1:23" hidden="1">
      <c r="A203" s="30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</row>
    <row r="204" spans="1:23" hidden="1">
      <c r="B204" s="26"/>
      <c r="C204" s="26"/>
      <c r="D204" s="26"/>
      <c r="E204" s="26"/>
      <c r="F204" s="26"/>
      <c r="G204" s="26"/>
      <c r="H204" s="31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31"/>
      <c r="U204" s="26"/>
      <c r="V204" s="26"/>
      <c r="W204" s="26"/>
    </row>
    <row r="205" spans="1:23" hidden="1">
      <c r="A205" s="32"/>
      <c r="B205" s="31"/>
      <c r="C205" s="31"/>
      <c r="D205" s="31"/>
      <c r="E205" s="31"/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31"/>
      <c r="U205" s="26"/>
      <c r="V205" s="26"/>
      <c r="W205" s="26"/>
    </row>
    <row r="206" spans="1:23" hidden="1">
      <c r="A206" s="32"/>
      <c r="B206" s="12">
        <f>IF(B14="ja",-1500,0)</f>
        <v>0</v>
      </c>
      <c r="C206" s="31">
        <f>IF(AND(B12="ja",B14="ja"),-750,0)</f>
        <v>0</v>
      </c>
      <c r="D206" s="31"/>
      <c r="E206" s="31"/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31"/>
      <c r="U206" s="26"/>
      <c r="V206" s="26"/>
      <c r="W206" s="26"/>
    </row>
    <row r="207" spans="1:23" hidden="1">
      <c r="A207" s="32"/>
      <c r="B207" s="12">
        <f>IF(B14="ja",-750,0)</f>
        <v>0</v>
      </c>
      <c r="C207" s="31">
        <f>IF(AND(B12="neen",B14="ja"),-1500,0)</f>
        <v>0</v>
      </c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26"/>
      <c r="V207" s="26"/>
      <c r="W207" s="26"/>
    </row>
    <row r="208" spans="1:23" hidden="1">
      <c r="A208" s="32"/>
      <c r="B208" s="31"/>
      <c r="C208" s="31"/>
      <c r="D208" s="31"/>
      <c r="E208" s="31"/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26"/>
      <c r="V208" s="26"/>
      <c r="W208" s="26"/>
    </row>
    <row r="209" spans="1:23" hidden="1">
      <c r="A209" s="32"/>
      <c r="B209" s="31"/>
      <c r="C209" s="31"/>
      <c r="D209" s="31"/>
      <c r="E209" s="31"/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26"/>
      <c r="V209" s="26"/>
      <c r="W209" s="26"/>
    </row>
    <row r="210" spans="1:23" ht="13.5" hidden="1" thickBot="1">
      <c r="A210" s="32"/>
      <c r="B210" s="31"/>
      <c r="C210" s="31"/>
      <c r="D210" s="31"/>
      <c r="E210" s="31"/>
      <c r="F210" s="31"/>
      <c r="G210" s="31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</row>
    <row r="211" spans="1:23" ht="13.5" hidden="1" thickBot="1">
      <c r="A211" s="6"/>
      <c r="B211" s="33"/>
      <c r="C211" s="27"/>
      <c r="D211" s="27"/>
      <c r="E211" s="27"/>
      <c r="F211" s="27"/>
      <c r="G211" s="27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  <c r="W211" s="34"/>
    </row>
    <row r="212" spans="1:23" ht="13.5" hidden="1" thickBot="1">
      <c r="A212" s="6"/>
      <c r="B212" s="6"/>
      <c r="C212" s="6"/>
      <c r="D212" s="6"/>
      <c r="E212" s="34"/>
      <c r="F212" s="34"/>
      <c r="G212" s="34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</row>
    <row r="213" spans="1:23" hidden="1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</row>
    <row r="214" spans="1:23" hidden="1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</row>
    <row r="215" spans="1:23" hidden="1">
      <c r="A215" s="6" t="s">
        <v>2</v>
      </c>
      <c r="B215" s="6"/>
      <c r="C215" s="6" t="s">
        <v>30</v>
      </c>
      <c r="D215" s="6" t="s">
        <v>31</v>
      </c>
      <c r="E215" s="6"/>
      <c r="F215" s="19" t="s">
        <v>35</v>
      </c>
      <c r="G215" s="19" t="s">
        <v>35</v>
      </c>
      <c r="H215" s="19" t="s">
        <v>35</v>
      </c>
      <c r="I215" s="19" t="s">
        <v>35</v>
      </c>
      <c r="J215" s="6" t="s">
        <v>35</v>
      </c>
      <c r="K215" s="6" t="s">
        <v>35</v>
      </c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</row>
    <row r="216" spans="1:23" hidden="1">
      <c r="A216" s="6"/>
      <c r="B216" s="6"/>
      <c r="C216" s="6"/>
      <c r="D216" s="6">
        <v>525</v>
      </c>
      <c r="E216" s="6"/>
      <c r="F216" s="19" t="s">
        <v>36</v>
      </c>
      <c r="G216" s="19" t="s">
        <v>36</v>
      </c>
      <c r="H216" s="19" t="s">
        <v>36</v>
      </c>
      <c r="I216" s="19" t="s">
        <v>36</v>
      </c>
      <c r="J216" s="6" t="s">
        <v>36</v>
      </c>
      <c r="K216" s="6" t="s">
        <v>36</v>
      </c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</row>
    <row r="217" spans="1:23" hidden="1">
      <c r="A217" s="6"/>
      <c r="B217" s="6"/>
      <c r="C217" s="6"/>
      <c r="D217" s="6">
        <v>100</v>
      </c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</row>
    <row r="218" spans="1:23" hidden="1">
      <c r="A218" s="6"/>
      <c r="B218" s="6"/>
      <c r="C218" s="6"/>
      <c r="D218" s="6">
        <v>675</v>
      </c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</row>
    <row r="219" spans="1:23" hidden="1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</row>
    <row r="220" spans="1:23" hidden="1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</row>
    <row r="221" spans="1:23" hidden="1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</row>
    <row r="222" spans="1:23" ht="14.25" hidden="1">
      <c r="A222" s="35" t="s">
        <v>32</v>
      </c>
      <c r="B222" s="35"/>
      <c r="C222" s="35" t="s">
        <v>32</v>
      </c>
      <c r="D222" s="36" t="s">
        <v>33</v>
      </c>
      <c r="E222" s="37"/>
      <c r="F222" s="35" t="s">
        <v>8</v>
      </c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</row>
    <row r="223" spans="1:23" ht="15" hidden="1">
      <c r="A223" s="38">
        <v>0</v>
      </c>
      <c r="B223" s="39"/>
      <c r="C223" s="38">
        <v>7500</v>
      </c>
      <c r="D223" s="40">
        <v>4.5600000000000002E-2</v>
      </c>
      <c r="E223" s="41"/>
      <c r="F223" s="38">
        <f>IF($B$10&lt;C223,$B$10*D223,C223*D223)</f>
        <v>0</v>
      </c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</row>
    <row r="224" spans="1:23" ht="15" hidden="1">
      <c r="A224" s="38">
        <v>7500</v>
      </c>
      <c r="B224" s="39"/>
      <c r="C224" s="38">
        <v>17500</v>
      </c>
      <c r="D224" s="40">
        <v>2.8500000000000001E-2</v>
      </c>
      <c r="E224" s="41"/>
      <c r="F224" s="39" t="str">
        <f t="shared" ref="F224:F229" si="0">IF($B$10&lt;=A224," ",IF($B$10&lt;C224,($B$10-C223)*D224,(C224-A224)*D224))</f>
        <v xml:space="preserve"> </v>
      </c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</row>
    <row r="225" spans="1:23" ht="15" hidden="1">
      <c r="A225" s="38">
        <v>17500</v>
      </c>
      <c r="B225" s="39"/>
      <c r="C225" s="38">
        <v>30000</v>
      </c>
      <c r="D225" s="40">
        <v>2.2800000000000001E-2</v>
      </c>
      <c r="E225" s="41"/>
      <c r="F225" s="39" t="str">
        <f t="shared" si="0"/>
        <v xml:space="preserve"> </v>
      </c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</row>
    <row r="226" spans="1:23" ht="15" hidden="1">
      <c r="A226" s="38">
        <v>30000</v>
      </c>
      <c r="B226" s="39"/>
      <c r="C226" s="38">
        <v>45495</v>
      </c>
      <c r="D226" s="40">
        <v>1.7100000000000001E-2</v>
      </c>
      <c r="E226" s="41"/>
      <c r="F226" s="39" t="str">
        <f t="shared" si="0"/>
        <v xml:space="preserve"> </v>
      </c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</row>
    <row r="227" spans="1:23" ht="15" hidden="1">
      <c r="A227" s="38">
        <v>45495</v>
      </c>
      <c r="B227" s="39"/>
      <c r="C227" s="38">
        <v>64095</v>
      </c>
      <c r="D227" s="40">
        <v>1.14E-2</v>
      </c>
      <c r="E227" s="41"/>
      <c r="F227" s="39" t="str">
        <f t="shared" si="0"/>
        <v xml:space="preserve"> </v>
      </c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</row>
    <row r="228" spans="1:23" ht="15" hidden="1">
      <c r="A228" s="38">
        <v>64095</v>
      </c>
      <c r="B228" s="39"/>
      <c r="C228" s="38">
        <v>250095</v>
      </c>
      <c r="D228" s="40">
        <v>5.7000000000000002E-3</v>
      </c>
      <c r="E228" s="41"/>
      <c r="F228" s="39" t="str">
        <f t="shared" si="0"/>
        <v xml:space="preserve"> </v>
      </c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</row>
    <row r="229" spans="1:23" ht="15" hidden="1">
      <c r="A229" s="38">
        <v>250095</v>
      </c>
      <c r="B229" s="39"/>
      <c r="C229" s="38">
        <f>$B$10</f>
        <v>0</v>
      </c>
      <c r="D229" s="40">
        <v>5.6999999999999998E-4</v>
      </c>
      <c r="E229" s="41"/>
      <c r="F229" s="39" t="str">
        <f t="shared" si="0"/>
        <v xml:space="preserve"> </v>
      </c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</row>
    <row r="230" spans="1:23" ht="15" hidden="1">
      <c r="A230" s="42"/>
      <c r="B230" s="43"/>
      <c r="C230" s="43"/>
      <c r="D230" s="44"/>
      <c r="E230" s="45"/>
      <c r="F230" s="45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</row>
    <row r="231" spans="1:23" ht="15" hidden="1">
      <c r="A231" s="35" t="s">
        <v>34</v>
      </c>
      <c r="B231" s="46"/>
      <c r="C231" s="43"/>
      <c r="D231" s="47"/>
      <c r="E231" s="45"/>
      <c r="F231" s="48">
        <f>SUM(F223:F230)</f>
        <v>0</v>
      </c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</row>
    <row r="232" spans="1:23" hidden="1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</row>
    <row r="233" spans="1:23" hidden="1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</row>
    <row r="234" spans="1:23" hidden="1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</row>
    <row r="235" spans="1:23" hidden="1">
      <c r="A235" s="6" t="s">
        <v>67</v>
      </c>
      <c r="B235" s="6"/>
      <c r="C235" s="6"/>
      <c r="D235" s="6"/>
      <c r="E235" s="6"/>
      <c r="F235" s="6"/>
      <c r="G235" s="6"/>
      <c r="H235" s="6"/>
      <c r="I235" s="6"/>
      <c r="J235" s="6" t="s">
        <v>68</v>
      </c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</row>
    <row r="236" spans="1:23" hidden="1">
      <c r="A236" s="6">
        <v>67.31</v>
      </c>
      <c r="B236" s="6"/>
      <c r="C236" s="6" t="s">
        <v>69</v>
      </c>
      <c r="D236" s="6"/>
      <c r="E236" s="6"/>
      <c r="F236" s="6">
        <v>25000</v>
      </c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</row>
    <row r="237" spans="1:23" hidden="1">
      <c r="A237" s="6">
        <v>23.56</v>
      </c>
      <c r="B237" s="6"/>
      <c r="C237" s="6" t="s">
        <v>70</v>
      </c>
      <c r="D237" s="6"/>
      <c r="E237" s="6"/>
      <c r="F237" s="6">
        <v>25000</v>
      </c>
      <c r="G237" s="6"/>
      <c r="H237" s="6" t="s">
        <v>71</v>
      </c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</row>
    <row r="238" spans="1:23" hidden="1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</row>
    <row r="239" spans="1:23" hidden="1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</row>
    <row r="240" spans="1:23" hidden="1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>
        <v>720</v>
      </c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</row>
    <row r="241" spans="1:23" hidden="1">
      <c r="A241" s="6" t="s">
        <v>72</v>
      </c>
      <c r="B241" s="6"/>
      <c r="C241" s="6"/>
      <c r="D241" s="6"/>
      <c r="E241" s="6"/>
      <c r="F241" s="6" t="s">
        <v>32</v>
      </c>
      <c r="G241" s="6"/>
      <c r="H241" s="6" t="s">
        <v>73</v>
      </c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</row>
    <row r="242" spans="1:23" hidden="1">
      <c r="A242" s="6"/>
      <c r="B242" s="6"/>
      <c r="C242" s="6"/>
      <c r="D242" s="6"/>
      <c r="E242" s="6"/>
      <c r="F242" s="6">
        <v>0</v>
      </c>
      <c r="G242" s="6"/>
      <c r="H242" s="6">
        <v>575</v>
      </c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</row>
    <row r="243" spans="1:23" hidden="1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</row>
    <row r="244" spans="1:23" hidden="1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</row>
    <row r="245" spans="1:23" hidden="1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</row>
    <row r="246" spans="1:23" hidden="1">
      <c r="A246" s="6">
        <v>920</v>
      </c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</row>
    <row r="247" spans="1:23" hidden="1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</row>
    <row r="248" spans="1:23" hidden="1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</row>
    <row r="249" spans="1:23" hidden="1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</row>
    <row r="250" spans="1:23" hidden="1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</row>
    <row r="251" spans="1:23" hidden="1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</row>
    <row r="252" spans="1:23" hidden="1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</row>
    <row r="253" spans="1:23" hidden="1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</row>
    <row r="254" spans="1:23" hidden="1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</row>
    <row r="255" spans="1:23" hidden="1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</row>
    <row r="256" spans="1:23" hidden="1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</row>
    <row r="257" spans="1:23" hidden="1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</row>
    <row r="258" spans="1:23" hidden="1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</row>
    <row r="259" spans="1:23" hidden="1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</row>
    <row r="260" spans="1:23" hidden="1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</row>
    <row r="261" spans="1:23" hidden="1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</row>
    <row r="262" spans="1:23" hidden="1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</row>
    <row r="263" spans="1:23" hidden="1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</row>
    <row r="264" spans="1:23" hidden="1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</row>
    <row r="265" spans="1:23" hidden="1">
      <c r="A265" s="6"/>
      <c r="B265" s="6"/>
      <c r="C265" s="6"/>
      <c r="D265" s="67" t="e">
        <f>D60*21/100</f>
        <v>#VALUE!</v>
      </c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</row>
    <row r="266" spans="1:23" hidden="1">
      <c r="A266" s="6"/>
      <c r="B266" s="6"/>
      <c r="C266" s="6"/>
      <c r="D266" s="67">
        <f>B68*21%</f>
        <v>0</v>
      </c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</row>
    <row r="267" spans="1:23" hidden="1">
      <c r="A267" s="6"/>
      <c r="B267" s="6"/>
      <c r="C267" s="6"/>
      <c r="D267" s="67">
        <f>B70*21%</f>
        <v>0</v>
      </c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</row>
    <row r="268" spans="1:23" hidden="1">
      <c r="A268" s="6"/>
      <c r="B268" s="6"/>
      <c r="C268" s="6"/>
      <c r="D268" s="67" t="e">
        <f>B72*21%</f>
        <v>#VALUE!</v>
      </c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</row>
    <row r="269" spans="1:23" hidden="1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</row>
    <row r="270" spans="1:23" hidden="1">
      <c r="A270" s="6"/>
      <c r="B270" s="6" t="s">
        <v>35</v>
      </c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</row>
    <row r="271" spans="1:23" hidden="1">
      <c r="A271" s="6"/>
      <c r="B271" s="6" t="s">
        <v>36</v>
      </c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</row>
    <row r="272" spans="1:23" hidden="1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</row>
    <row r="273" spans="1:23" hidden="1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</row>
    <row r="274" spans="1:23" hidden="1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</row>
    <row r="275" spans="1:23" hidden="1">
      <c r="A275" s="54"/>
      <c r="B275" s="55"/>
      <c r="C275" s="54"/>
      <c r="D275" s="55"/>
      <c r="E275" s="54"/>
      <c r="F275" s="54"/>
      <c r="G275" s="55"/>
      <c r="H275" s="56" t="e">
        <f>ROUNDUP(#REF!+#REF!,-2)</f>
        <v>#REF!</v>
      </c>
      <c r="I275" s="54"/>
      <c r="J275" s="54"/>
      <c r="K275" s="54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</row>
    <row r="276" spans="1:23" hidden="1">
      <c r="A276" s="54"/>
      <c r="B276" s="55"/>
      <c r="C276" s="54"/>
      <c r="D276" s="55"/>
      <c r="E276" s="54"/>
      <c r="F276" s="54"/>
      <c r="G276" s="55"/>
      <c r="H276" s="54"/>
      <c r="I276" s="54"/>
      <c r="J276" s="54"/>
      <c r="K276" s="54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</row>
    <row r="277" spans="1:23" hidden="1">
      <c r="A277" s="54"/>
      <c r="B277" s="55"/>
      <c r="C277" s="54"/>
      <c r="D277" s="55"/>
      <c r="E277" s="54"/>
      <c r="F277" s="54"/>
      <c r="G277" s="55"/>
      <c r="H277" s="54"/>
      <c r="I277" s="54"/>
      <c r="J277" s="54"/>
      <c r="K277" s="54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</row>
    <row r="278" spans="1:23" hidden="1">
      <c r="A278" s="54"/>
      <c r="B278" s="55"/>
      <c r="C278" s="54"/>
      <c r="D278" s="55"/>
      <c r="E278" s="54"/>
      <c r="F278" s="54"/>
      <c r="G278" s="55"/>
      <c r="H278" s="54"/>
      <c r="I278" s="54"/>
      <c r="J278" s="54"/>
      <c r="K278" s="54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</row>
    <row r="279" spans="1:23" hidden="1">
      <c r="A279" s="54" t="s">
        <v>52</v>
      </c>
      <c r="B279" s="55"/>
      <c r="C279" s="54"/>
      <c r="D279" s="55"/>
      <c r="E279" s="54"/>
      <c r="F279" s="54">
        <v>0</v>
      </c>
      <c r="G279" s="55"/>
      <c r="H279" s="54"/>
      <c r="I279" s="54"/>
      <c r="J279" s="54"/>
      <c r="K279" s="54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</row>
    <row r="280" spans="1:23" ht="15" hidden="1">
      <c r="A280" s="54">
        <v>0</v>
      </c>
      <c r="B280" s="55"/>
      <c r="C280" s="54"/>
      <c r="D280" s="55"/>
      <c r="E280" s="54"/>
      <c r="F280" s="54">
        <v>7500</v>
      </c>
      <c r="G280" s="55"/>
      <c r="H280" s="54">
        <v>1.7100000000000001E-2</v>
      </c>
      <c r="I280" s="57"/>
      <c r="J280" s="58">
        <f>IF(B55&lt;F280,B55*H280,F280*H280)</f>
        <v>0</v>
      </c>
      <c r="K280" s="54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</row>
    <row r="281" spans="1:23" ht="15" hidden="1">
      <c r="A281" s="54">
        <v>7500</v>
      </c>
      <c r="B281" s="55"/>
      <c r="C281" s="54"/>
      <c r="D281" s="55"/>
      <c r="E281" s="54"/>
      <c r="F281" s="54">
        <v>17500</v>
      </c>
      <c r="G281" s="55"/>
      <c r="H281" s="54">
        <v>1.3679999999999999E-2</v>
      </c>
      <c r="I281" s="57"/>
      <c r="J281" s="58" t="str">
        <f>IF(B55&lt;=A281," ",IF(B55&lt;F281,(B55-F280)*H281,(F281-A281)*H281))</f>
        <v xml:space="preserve"> </v>
      </c>
      <c r="K281" s="54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</row>
    <row r="282" spans="1:23" ht="15" hidden="1">
      <c r="A282" s="54">
        <v>17500</v>
      </c>
      <c r="B282" s="55"/>
      <c r="C282" s="54"/>
      <c r="D282" s="55"/>
      <c r="E282" s="54"/>
      <c r="F282" s="54">
        <v>30000</v>
      </c>
      <c r="G282" s="55"/>
      <c r="H282" s="54">
        <v>9.1199999999999996E-3</v>
      </c>
      <c r="I282" s="57"/>
      <c r="J282" s="58" t="str">
        <f>IF(B55&lt;=A282," ",IF(B55&lt;F282,(B55-F281)*H282,(F282-A282)*H282))</f>
        <v xml:space="preserve"> </v>
      </c>
      <c r="K282" s="54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</row>
    <row r="283" spans="1:23" ht="15" hidden="1">
      <c r="A283" s="54">
        <v>30000</v>
      </c>
      <c r="B283" s="55"/>
      <c r="C283" s="54"/>
      <c r="D283" s="55"/>
      <c r="E283" s="54"/>
      <c r="F283" s="54">
        <v>45495</v>
      </c>
      <c r="G283" s="55"/>
      <c r="H283" s="54">
        <v>6.8399999999999997E-3</v>
      </c>
      <c r="I283" s="57"/>
      <c r="J283" s="58" t="str">
        <f>IF(B55&lt;=A283," ",IF(B55&lt;F283,(B55-F282)*H283,(F283-A283)*H283))</f>
        <v xml:space="preserve"> </v>
      </c>
      <c r="K283" s="54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</row>
    <row r="284" spans="1:23" ht="15" hidden="1">
      <c r="A284" s="54">
        <v>45495</v>
      </c>
      <c r="B284" s="55"/>
      <c r="C284" s="54"/>
      <c r="D284" s="55"/>
      <c r="E284" s="54"/>
      <c r="F284" s="54">
        <v>64095</v>
      </c>
      <c r="G284" s="55"/>
      <c r="H284" s="54">
        <v>4.5599999999999998E-3</v>
      </c>
      <c r="I284" s="57"/>
      <c r="J284" s="58" t="str">
        <f>IF(B55&lt;=A284," ",IF(B55&lt;F284,(B55-F283)*H284,(F284-A284)*H284))</f>
        <v xml:space="preserve"> </v>
      </c>
      <c r="K284" s="54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</row>
    <row r="285" spans="1:23" ht="15" hidden="1">
      <c r="A285" s="54">
        <v>64095</v>
      </c>
      <c r="B285" s="55"/>
      <c r="C285" s="54"/>
      <c r="D285" s="55"/>
      <c r="E285" s="54"/>
      <c r="F285" s="54">
        <v>250095</v>
      </c>
      <c r="G285" s="55"/>
      <c r="H285" s="54">
        <v>2.2799999999999999E-3</v>
      </c>
      <c r="I285" s="57"/>
      <c r="J285" s="58" t="str">
        <f>IF(B55&lt;=A285," ",IF(B55&lt;F285,(B55-F284)*H285,(F285-A285)*H285))</f>
        <v xml:space="preserve"> </v>
      </c>
      <c r="K285" s="54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</row>
    <row r="286" spans="1:23" ht="15" hidden="1">
      <c r="A286" s="54">
        <v>250095</v>
      </c>
      <c r="B286" s="55"/>
      <c r="C286" s="54"/>
      <c r="D286" s="55"/>
      <c r="E286" s="54"/>
      <c r="F286" s="56">
        <f>B55</f>
        <v>0</v>
      </c>
      <c r="G286" s="59"/>
      <c r="H286" s="54">
        <v>4.5600000000000003E-4</v>
      </c>
      <c r="I286" s="57"/>
      <c r="J286" s="58" t="str">
        <f>IF(B55&lt;=A286," ",IF(B55&lt;F286,(B55-F285)*H286,(F286-A286)*H286))</f>
        <v xml:space="preserve"> </v>
      </c>
      <c r="K286" s="54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</row>
    <row r="287" spans="1:23" ht="15" hidden="1">
      <c r="A287" s="54">
        <v>10075000</v>
      </c>
      <c r="B287" s="55"/>
      <c r="C287" s="54"/>
      <c r="D287" s="55"/>
      <c r="E287" s="54"/>
      <c r="F287" s="54">
        <v>0</v>
      </c>
      <c r="G287" s="55"/>
      <c r="H287" s="54">
        <v>4.5600000000000003E-4</v>
      </c>
      <c r="I287" s="60" t="str">
        <f>IF($F$120&lt;=A287," E90",IF($F$120&lt;F287,($F$120-F286)*H287,(F287-A287)*H287))</f>
        <v xml:space="preserve"> E90</v>
      </c>
      <c r="J287" s="61"/>
      <c r="K287" s="54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</row>
    <row r="288" spans="1:23" ht="15" hidden="1">
      <c r="A288" s="54"/>
      <c r="B288" s="55"/>
      <c r="C288" s="54"/>
      <c r="D288" s="55"/>
      <c r="E288" s="54"/>
      <c r="F288" s="54"/>
      <c r="G288" s="55"/>
      <c r="H288" s="54"/>
      <c r="I288" s="62"/>
      <c r="J288" s="61"/>
      <c r="K288" s="54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</row>
    <row r="289" spans="1:23" ht="14.25" hidden="1">
      <c r="A289" s="54" t="s">
        <v>34</v>
      </c>
      <c r="B289" s="55"/>
      <c r="C289" s="54"/>
      <c r="D289" s="55"/>
      <c r="E289" s="54"/>
      <c r="F289" s="54"/>
      <c r="G289" s="55"/>
      <c r="H289" s="54"/>
      <c r="I289" s="63">
        <f>SUM(J280:J287)</f>
        <v>0</v>
      </c>
      <c r="J289" s="61"/>
      <c r="K289" s="54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</row>
    <row r="290" spans="1:23" hidden="1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</row>
    <row r="291" spans="1:23" hidden="1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</row>
    <row r="292" spans="1:23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</row>
    <row r="293" spans="1:23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</row>
    <row r="294" spans="1:23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</row>
    <row r="295" spans="1:23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</row>
    <row r="296" spans="1:23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</row>
    <row r="297" spans="1:23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</row>
    <row r="298" spans="1:23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</row>
    <row r="299" spans="1:23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</row>
    <row r="300" spans="1:23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</row>
    <row r="301" spans="1:23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</row>
    <row r="302" spans="1:23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</row>
    <row r="303" spans="1:23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</row>
    <row r="304" spans="1:23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</row>
    <row r="305" spans="1:23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</row>
    <row r="306" spans="1:23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</row>
    <row r="307" spans="1:23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</row>
    <row r="308" spans="1:23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</row>
    <row r="309" spans="1:23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</row>
    <row r="310" spans="1:23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</row>
    <row r="311" spans="1:23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</row>
    <row r="312" spans="1:23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</row>
    <row r="313" spans="1:23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</row>
    <row r="314" spans="1:23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</row>
    <row r="315" spans="1:23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</row>
    <row r="316" spans="1:23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</row>
    <row r="317" spans="1:23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</row>
    <row r="318" spans="1:23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</row>
    <row r="319" spans="1:23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</row>
    <row r="320" spans="1:23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</row>
    <row r="321" spans="1:23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</row>
    <row r="322" spans="1:23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</row>
    <row r="323" spans="1:23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</row>
    <row r="324" spans="1:23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</row>
    <row r="325" spans="1:23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</row>
    <row r="326" spans="1:23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</row>
    <row r="327" spans="1:23">
      <c r="A327" s="6"/>
      <c r="B327" s="6"/>
      <c r="C327" s="6"/>
      <c r="D327" s="6"/>
      <c r="E327" s="6"/>
      <c r="F327" s="6"/>
      <c r="G327" s="6"/>
    </row>
  </sheetData>
  <sheetProtection algorithmName="SHA-512" hashValue="/6TMg38v0mpWr13vkMlMFWLxs2sBIQ7o4cE2rROq2rzJ6KJhrFMm0afgKLf0HipRsFVNluNSsWK6FPPPKTqx3A==" saltValue="DkdewouNhvLg9Rs622rIvA==" spinCount="100000" sheet="1" objects="1" scenarios="1"/>
  <phoneticPr fontId="0" type="noConversion"/>
  <dataValidations count="6">
    <dataValidation type="list" allowBlank="1" showInputMessage="1" showErrorMessage="1" sqref="B14">
      <formula1>$G$215:$G$216</formula1>
    </dataValidation>
    <dataValidation type="list" allowBlank="1" showInputMessage="1" showErrorMessage="1" sqref="B15">
      <formula1>$H$215:$H$216</formula1>
    </dataValidation>
    <dataValidation type="list" allowBlank="1" showInputMessage="1" showErrorMessage="1" sqref="B7">
      <formula1>$K$215:$K$216</formula1>
    </dataValidation>
    <dataValidation type="list" allowBlank="1" showInputMessage="1" showErrorMessage="1" sqref="B12">
      <formula1>$F$215:$F$216</formula1>
    </dataValidation>
    <dataValidation type="list" allowBlank="1" showInputMessage="1" showErrorMessage="1" sqref="B57">
      <formula1>$B$270:$B$271</formula1>
    </dataValidation>
    <dataValidation type="list" allowBlank="1" showInputMessage="1" showErrorMessage="1" sqref="B16">
      <formula1>$E$151:$E$152</formula1>
    </dataValidation>
  </dataValidations>
  <hyperlinks>
    <hyperlink ref="C108" r:id="rId1"/>
    <hyperlink ref="C106" r:id="rId2"/>
    <hyperlink ref="B106" r:id="rId3"/>
    <hyperlink ref="B110" r:id="rId4"/>
    <hyperlink ref="B108" r:id="rId5"/>
  </hyperlinks>
  <pageMargins left="0.75" right="0.75" top="1" bottom="1" header="0.5" footer="0.5"/>
  <pageSetup paperSize="9" scale="93" orientation="landscape" horizontalDpi="300" verticalDpi="3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VKVBTWBREYNELENHV</vt:lpstr>
      <vt:lpstr>VKVBTWBREYNELENHV!_1._Zegels_Minuut_Brevet</vt:lpstr>
      <vt:lpstr>VKVBTWBREYNELENHV!_2._Registratie_Minuut_Brevet</vt:lpstr>
      <vt:lpstr>VKVBTWBREYNELENHV!_3._Registratie_aanhangsel</vt:lpstr>
      <vt:lpstr>VKVBTWBREYNELENHV!Aard</vt:lpstr>
      <vt:lpstr>VKVBTWBREYNELENHV!Afdrukbereik</vt:lpstr>
      <vt:lpstr>VKVBTWBREYNELENHV!Datum</vt:lpstr>
      <vt:lpstr>VKVBTWBREYNELENHV!KOSTENFICHE</vt:lpstr>
      <vt:lpstr>VKVBTWBREYNELENHV!Rep.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2014-11-15T16:37:25Z</dcterms:modified>
</cp:coreProperties>
</file>