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PW" sheetId="1" r:id="rId1"/>
  </sheets>
  <definedNames>
    <definedName name="_1._Zegels_Minuut_Brevet" localSheetId="0">VKVBTWBREYNEPW!$A$20:$F$20</definedName>
    <definedName name="_1._Zegels_Minuut_Brevet">#REF!</definedName>
    <definedName name="_10._Tweede_getuigschrift" localSheetId="0">VKVBTWBREYNEPW!#REF!</definedName>
    <definedName name="_10._Tweede_getuigschrift">#REF!</definedName>
    <definedName name="_11._Kadaster_uittreksel" localSheetId="0">VKVBTWBREYNEPW!#REF!</definedName>
    <definedName name="_11._Kadaster_uittreksel">#REF!</definedName>
    <definedName name="_12._Getuigen" localSheetId="0">VKVBTWBREYNEPW!#REF!</definedName>
    <definedName name="_12._Getuigen">#REF!</definedName>
    <definedName name="_13._Allerlei_uitgaven" localSheetId="0">VKVBTWBREYNEPW!#REF!</definedName>
    <definedName name="_13._Allerlei_uitgaven">#REF!</definedName>
    <definedName name="_14." localSheetId="0">VKVBTWBREYNEPW!#REF!</definedName>
    <definedName name="_14.">#REF!</definedName>
    <definedName name="_15." localSheetId="0">VKVBTWBREYNEPW!#REF!</definedName>
    <definedName name="_15.">#REF!</definedName>
    <definedName name="_2._Registratie_Minuut_Brevet" localSheetId="0">VKVBTWBREYNEPW!$B$27:$G$27</definedName>
    <definedName name="_2._Registratie_Minuut_Brevet">#REF!</definedName>
    <definedName name="_3._Registratie_aanhangsel" localSheetId="0">VKVBTWBREYNEPW!$E$28:$G$28</definedName>
    <definedName name="_3._Registratie_aanhangsel">#REF!</definedName>
    <definedName name="_4.Zegels_afschrift_grosse" localSheetId="0">VKVBTWBREYNEPW!#REF!</definedName>
    <definedName name="_4.Zegels_afschrift_grosse">#REF!</definedName>
    <definedName name="_5._Hypotheek__inschr._overschr._doorh." localSheetId="0">VKVBTWBREYNEPW!#REF!</definedName>
    <definedName name="_5._Hypotheek__inschr._overschr._doorh.">#REF!</definedName>
    <definedName name="_6._Loon_pandbewaarder" localSheetId="0">VKVBTWBREYNEPW!#REF!</definedName>
    <definedName name="_6._Loon_pandbewaarder">#REF!</definedName>
    <definedName name="_7._Zegels__bord._aanh." localSheetId="0">VKVBTWBREYNEPW!#REF!</definedName>
    <definedName name="_7._Zegels__bord._aanh.">#REF!</definedName>
    <definedName name="_8._Opzoekingen" localSheetId="0">VKVBTWBREYNEPW!#REF!</definedName>
    <definedName name="_8._Opzoekingen">#REF!</definedName>
    <definedName name="_9._Hypothecair_getuigschrift" localSheetId="0">VKVBTWBREYNEPW!#REF!</definedName>
    <definedName name="_9._Hypothecair_getuigschrift">#REF!</definedName>
    <definedName name="Aard" localSheetId="0">VKVBTWBREYNEPW!$B$4:$F$4</definedName>
    <definedName name="Aard">#REF!</definedName>
    <definedName name="_xlnm.Print_Area" localSheetId="0">VKVBTWBREYNEPW!$A$1:$E$47</definedName>
    <definedName name="Datum" localSheetId="0">VKVBTWBREYNEPW!$B$4:$G$44</definedName>
    <definedName name="Datum">#REF!</definedName>
    <definedName name="gemeentelijke_info">#REF!</definedName>
    <definedName name="Kantoor_van_Notaris_J._SIMONART_te_Leuven" localSheetId="0">VKVBTWBREYNEPW!#REF!</definedName>
    <definedName name="Kantoor_van_Notaris_J._SIMONART_te_Leuven">#REF!</definedName>
    <definedName name="KOSTENFICHE" localSheetId="0">VKVBTWBREYNEPW!$A$1:$G$44</definedName>
    <definedName name="KOSTENFICHE">#REF!</definedName>
    <definedName name="Last_Row">IF(Values_Entered,Header_Row+Number_of_Payments,Header_Row)</definedName>
    <definedName name="Naam" localSheetId="0">VKVBTWBREYNEPW!#REF!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VKVBTWBREYNEPW!$F$4:$F$46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VKVBTWBREYNEPW!#REF!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VKVBTWBREYNEPW!$A$3:$G$44</definedName>
  </definedNames>
  <calcPr calcId="152511"/>
</workbook>
</file>

<file path=xl/calcChain.xml><?xml version="1.0" encoding="utf-8"?>
<calcChain xmlns="http://schemas.openxmlformats.org/spreadsheetml/2006/main">
  <c r="D41" i="1" l="1"/>
  <c r="C132" i="1" l="1"/>
  <c r="B132" i="1"/>
  <c r="F131" i="1"/>
  <c r="F132" i="1" s="1"/>
  <c r="C131" i="1"/>
  <c r="C133" i="1" s="1"/>
  <c r="C135" i="1" s="1"/>
  <c r="B131" i="1"/>
  <c r="B10" i="1"/>
  <c r="F104" i="1"/>
  <c r="D21" i="1"/>
  <c r="D22" i="1"/>
  <c r="D26" i="1"/>
  <c r="D28" i="1"/>
  <c r="D43" i="1"/>
  <c r="D44" i="1"/>
  <c r="C52" i="1"/>
  <c r="J183" i="1" s="1"/>
  <c r="C56" i="1"/>
  <c r="J190" i="1" s="1"/>
  <c r="B61" i="1"/>
  <c r="B62" i="1"/>
  <c r="C66" i="1"/>
  <c r="C68" i="1"/>
  <c r="C70" i="1"/>
  <c r="B86" i="1"/>
  <c r="C86" i="1"/>
  <c r="B87" i="1"/>
  <c r="C87" i="1"/>
  <c r="F103" i="1"/>
  <c r="F111" i="1" s="1"/>
  <c r="D20" i="1" s="1"/>
  <c r="D32" i="1" s="1"/>
  <c r="F105" i="1"/>
  <c r="F106" i="1"/>
  <c r="F107" i="1"/>
  <c r="F109" i="1"/>
  <c r="G121" i="1"/>
  <c r="H121" i="1"/>
  <c r="G171" i="1"/>
  <c r="G183" i="1"/>
  <c r="G196" i="1"/>
  <c r="G209" i="1"/>
  <c r="F108" i="1"/>
  <c r="D133" i="1" l="1"/>
  <c r="E133" i="1" s="1"/>
  <c r="D24" i="1" s="1"/>
  <c r="J170" i="1"/>
  <c r="H139" i="1"/>
  <c r="H140" i="1" s="1"/>
  <c r="H141" i="1" s="1"/>
  <c r="H142" i="1" s="1"/>
  <c r="B63" i="1"/>
  <c r="J203" i="1"/>
  <c r="J181" i="1"/>
  <c r="J179" i="1"/>
  <c r="J182" i="1"/>
  <c r="J178" i="1"/>
  <c r="J205" i="1"/>
  <c r="G202" i="1"/>
  <c r="G210" i="1" s="1"/>
  <c r="J180" i="1"/>
  <c r="J209" i="1"/>
  <c r="J177" i="1"/>
  <c r="J206" i="1"/>
  <c r="J204" i="1"/>
  <c r="J208" i="1"/>
  <c r="G176" i="1"/>
  <c r="J207" i="1"/>
  <c r="G132" i="1"/>
  <c r="H132" i="1" s="1"/>
  <c r="D25" i="1" s="1"/>
  <c r="J196" i="1"/>
  <c r="G189" i="1"/>
  <c r="J169" i="1"/>
  <c r="J192" i="1"/>
  <c r="J168" i="1"/>
  <c r="J167" i="1"/>
  <c r="J195" i="1"/>
  <c r="J166" i="1"/>
  <c r="K117" i="1"/>
  <c r="K119" i="1" s="1"/>
  <c r="K121" i="1" s="1"/>
  <c r="C59" i="1" s="1"/>
  <c r="D46" i="1"/>
  <c r="J194" i="1"/>
  <c r="J165" i="1"/>
  <c r="J193" i="1"/>
  <c r="G164" i="1"/>
  <c r="J191" i="1"/>
  <c r="I199" i="1" s="1"/>
  <c r="J171" i="1"/>
  <c r="D23" i="1"/>
  <c r="C64" i="1" l="1"/>
  <c r="A125" i="1" s="1"/>
  <c r="C72" i="1" s="1"/>
  <c r="E73" i="1" s="1"/>
  <c r="I184" i="1"/>
  <c r="G184" i="1"/>
  <c r="I212" i="1"/>
  <c r="I210" i="1"/>
  <c r="I186" i="1"/>
  <c r="D31" i="1"/>
  <c r="D34" i="1" s="1"/>
  <c r="I197" i="1"/>
  <c r="G197" i="1"/>
  <c r="G172" i="1"/>
  <c r="I172" i="1"/>
  <c r="I174" i="1"/>
  <c r="E58" i="1" l="1"/>
  <c r="E72" i="1" s="1"/>
  <c r="E74" i="1" s="1"/>
  <c r="E59" i="1" l="1"/>
  <c r="E76" i="1" s="1"/>
  <c r="E78" i="1" s="1"/>
</calcChain>
</file>

<file path=xl/sharedStrings.xml><?xml version="1.0" encoding="utf-8"?>
<sst xmlns="http://schemas.openxmlformats.org/spreadsheetml/2006/main" count="120" uniqueCount="81">
  <si>
    <t>Dossier</t>
  </si>
  <si>
    <t>Cliënt</t>
  </si>
  <si>
    <t>Prijs</t>
  </si>
  <si>
    <t>Lasten: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</si>
  <si>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</si>
  <si>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</si>
  <si>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</si>
  <si>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</si>
  <si>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</si>
  <si>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</si>
  <si>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</si>
  <si>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</si>
  <si>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</si>
  <si>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</si>
  <si>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</si>
  <si>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</si>
  <si>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</si>
  <si>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</si>
  <si>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</si>
  <si>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</si>
  <si>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</si>
  <si>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</si>
  <si>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</si>
  <si>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</si>
  <si>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</si>
  <si>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</si>
  <si>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</si>
  <si>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</si>
  <si>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</si>
  <si>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</si>
  <si>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</si>
  <si>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</si>
  <si>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</si>
  <si>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</si>
  <si>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</si>
  <si>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</si>
  <si>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</si>
  <si>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Abattement?</t>
  </si>
  <si>
    <t>Verhoogd abattement?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</si>
  <si>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</si>
  <si>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</si>
  <si>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</si>
  <si>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</si>
  <si>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</si>
  <si>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</si>
  <si>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Andere (vacaties …)</t>
  </si>
  <si>
    <t>Boekje</t>
  </si>
  <si>
    <t>Klein beschrijf?</t>
  </si>
  <si>
    <t>Klein beschrijf</t>
  </si>
  <si>
    <t>PANDWISSEL BIJ AANKOOP</t>
  </si>
  <si>
    <t>Oude inschrijving</t>
  </si>
  <si>
    <t>Hoofdsom</t>
  </si>
  <si>
    <t>Aanhor.</t>
  </si>
  <si>
    <t>Basis</t>
  </si>
  <si>
    <t>Nieuwe inschrijving</t>
  </si>
  <si>
    <t>1. Registratie Minuut-Brevet</t>
  </si>
  <si>
    <t>(BTW)</t>
  </si>
  <si>
    <t>2. Registratie bijlagen</t>
  </si>
  <si>
    <t xml:space="preserve">           Hypotheekloon inschrijving</t>
  </si>
  <si>
    <t xml:space="preserve">           Hypotheekloon doorhaling</t>
  </si>
  <si>
    <t xml:space="preserve">           Inschrijvingsrecht</t>
  </si>
  <si>
    <t>3. Provisie hypotheekkosten</t>
  </si>
  <si>
    <t>4. Recht op geschriften</t>
  </si>
  <si>
    <t>5. Allerlei uitgaven</t>
  </si>
  <si>
    <t>6. Stedenbouwkundige info of uittreksel</t>
  </si>
  <si>
    <t>Totaal uitgaven</t>
  </si>
  <si>
    <t>Totaal</t>
  </si>
  <si>
    <t>Tot. Uitg.</t>
  </si>
  <si>
    <t>Samen</t>
  </si>
  <si>
    <t>plus BTW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</si>
  <si>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</si>
  <si>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</si>
  <si>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</si>
  <si>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</si>
  <si>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</si>
  <si>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</si>
  <si>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</si>
  <si>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</si>
  <si>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Loon hypotheekbewaarder doorhaling</t>
  </si>
  <si>
    <t>VERKOOP ONROEREND GOED WET BREYNE - VLAANDEREN + PANDWISSEL</t>
  </si>
  <si>
    <t>Sociaal krediet voor minstens 50%?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</si>
</sst>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  <numFmt numFmtId="180" formatCode="0.0000%"/>
  </numFmts>
  <fonts count="18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sz val="9"/>
      <color indexed="9"/>
      <name val="Arial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4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7" fillId="0" borderId="0">
      <protection locked="0"/>
    </xf>
    <xf numFmtId="171" fontId="1" fillId="0" borderId="0" applyFont="0" applyFill="0" applyBorder="0" applyAlignment="0" applyProtection="0"/>
    <xf numFmtId="172" fontId="7" fillId="0" borderId="0">
      <protection locked="0"/>
    </xf>
    <xf numFmtId="173" fontId="1" fillId="0" borderId="0" applyFont="0" applyFill="0" applyBorder="0" applyAlignment="0" applyProtection="0"/>
    <xf numFmtId="174" fontId="7" fillId="0" borderId="0">
      <protection locked="0"/>
    </xf>
    <xf numFmtId="175" fontId="7" fillId="0" borderId="0">
      <protection locked="0"/>
    </xf>
    <xf numFmtId="176" fontId="8" fillId="0" borderId="0">
      <protection locked="0"/>
    </xf>
    <xf numFmtId="176" fontId="8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7" fillId="0" borderId="0">
      <protection locked="0"/>
    </xf>
    <xf numFmtId="0" fontId="9" fillId="0" borderId="0"/>
    <xf numFmtId="0" fontId="16" fillId="0" borderId="0"/>
    <xf numFmtId="0" fontId="1" fillId="0" borderId="0"/>
    <xf numFmtId="0" fontId="16" fillId="0" borderId="0"/>
    <xf numFmtId="176" fontId="7" fillId="0" borderId="1">
      <protection locked="0"/>
    </xf>
    <xf numFmtId="0" fontId="17" fillId="0" borderId="16" applyNumberFormat="0" applyFill="0" applyAlignment="0" applyProtection="0"/>
  </cellStyleXfs>
  <cellXfs count="116">
    <xf numFmtId="0" fontId="0" fillId="0" borderId="0" xfId="0"/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1" fillId="2" borderId="0" xfId="12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5" xfId="13" applyNumberFormat="1" applyFont="1" applyFill="1" applyBorder="1" applyProtection="1">
      <protection hidden="1"/>
    </xf>
    <xf numFmtId="168" fontId="4" fillId="2" borderId="6" xfId="13" applyNumberFormat="1" applyFont="1" applyFill="1" applyBorder="1" applyAlignment="1" applyProtection="1">
      <alignment horizontal="center"/>
      <protection hidden="1"/>
    </xf>
    <xf numFmtId="0" fontId="4" fillId="2" borderId="6" xfId="13" applyFont="1" applyFill="1" applyBorder="1" applyAlignment="1" applyProtection="1">
      <alignment horizontal="center"/>
      <protection hidden="1"/>
    </xf>
    <xf numFmtId="0" fontId="4" fillId="2" borderId="7" xfId="13" applyFont="1" applyFill="1" applyBorder="1" applyAlignment="1" applyProtection="1">
      <alignment horizontal="center"/>
      <protection hidden="1"/>
    </xf>
    <xf numFmtId="167" fontId="5" fillId="2" borderId="6" xfId="13" applyNumberFormat="1" applyFont="1" applyFill="1" applyBorder="1" applyProtection="1">
      <protection hidden="1"/>
    </xf>
    <xf numFmtId="168" fontId="5" fillId="2" borderId="6" xfId="13" applyNumberFormat="1" applyFont="1" applyFill="1" applyBorder="1" applyProtection="1">
      <protection hidden="1"/>
    </xf>
    <xf numFmtId="169" fontId="5" fillId="2" borderId="6" xfId="13" applyNumberFormat="1" applyFont="1" applyFill="1" applyBorder="1" applyProtection="1">
      <protection hidden="1"/>
    </xf>
    <xf numFmtId="169" fontId="5" fillId="2" borderId="7" xfId="13" applyNumberFormat="1" applyFont="1" applyFill="1" applyBorder="1" applyProtection="1">
      <protection hidden="1"/>
    </xf>
    <xf numFmtId="0" fontId="5" fillId="2" borderId="8" xfId="13" applyFont="1" applyFill="1" applyBorder="1" applyProtection="1">
      <protection hidden="1"/>
    </xf>
    <xf numFmtId="0" fontId="5" fillId="2" borderId="0" xfId="13" applyFont="1" applyFill="1" applyBorder="1" applyProtection="1">
      <protection hidden="1"/>
    </xf>
    <xf numFmtId="0" fontId="6" fillId="2" borderId="9" xfId="13" applyFont="1" applyFill="1" applyBorder="1" applyProtection="1">
      <protection hidden="1"/>
    </xf>
    <xf numFmtId="0" fontId="5" fillId="2" borderId="0" xfId="13" applyFont="1" applyFill="1" applyProtection="1">
      <protection hidden="1"/>
    </xf>
    <xf numFmtId="168" fontId="4" fillId="2" borderId="0" xfId="13" applyNumberFormat="1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Protection="1">
      <protection hidden="1"/>
    </xf>
    <xf numFmtId="167" fontId="4" fillId="2" borderId="6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center"/>
      <protection locked="0" hidden="1"/>
    </xf>
    <xf numFmtId="0" fontId="2" fillId="5" borderId="10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15" fillId="3" borderId="0" xfId="13" applyFont="1" applyFill="1" applyAlignment="1" applyProtection="1">
      <alignment horizontal="left" vertical="center"/>
      <protection hidden="1"/>
    </xf>
    <xf numFmtId="0" fontId="12" fillId="6" borderId="0" xfId="13" applyFont="1" applyFill="1" applyBorder="1" applyAlignment="1" applyProtection="1">
      <alignment horizontal="left"/>
      <protection hidden="1"/>
    </xf>
    <xf numFmtId="0" fontId="12" fillId="6" borderId="0" xfId="13" applyFont="1" applyFill="1" applyBorder="1" applyAlignment="1" applyProtection="1">
      <alignment horizontal="right"/>
      <protection hidden="1"/>
    </xf>
    <xf numFmtId="0" fontId="1" fillId="2" borderId="0" xfId="13" applyFill="1" applyBorder="1" applyProtection="1">
      <protection hidden="1"/>
    </xf>
    <xf numFmtId="0" fontId="1" fillId="2" borderId="0" xfId="13" applyFill="1" applyBorder="1" applyAlignment="1" applyProtection="1">
      <protection hidden="1"/>
    </xf>
    <xf numFmtId="165" fontId="1" fillId="2" borderId="0" xfId="13" applyNumberFormat="1" applyFill="1" applyBorder="1" applyProtection="1">
      <protection hidden="1"/>
    </xf>
    <xf numFmtId="0" fontId="4" fillId="2" borderId="0" xfId="13" applyFont="1" applyFill="1" applyBorder="1" applyAlignment="1" applyProtection="1">
      <alignment horizontal="left"/>
      <protection hidden="1"/>
    </xf>
    <xf numFmtId="179" fontId="5" fillId="2" borderId="0" xfId="13" applyNumberFormat="1" applyFont="1" applyFill="1" applyBorder="1" applyProtection="1">
      <protection hidden="1"/>
    </xf>
    <xf numFmtId="168" fontId="5" fillId="2" borderId="0" xfId="13" applyNumberFormat="1" applyFont="1" applyFill="1" applyBorder="1" applyProtection="1">
      <protection hidden="1"/>
    </xf>
    <xf numFmtId="167" fontId="5" fillId="2" borderId="0" xfId="13" applyNumberFormat="1" applyFont="1" applyFill="1" applyBorder="1" applyProtection="1">
      <protection hidden="1"/>
    </xf>
    <xf numFmtId="169" fontId="5" fillId="2" borderId="0" xfId="13" applyNumberFormat="1" applyFont="1" applyFill="1" applyBorder="1" applyProtection="1">
      <protection hidden="1"/>
    </xf>
    <xf numFmtId="180" fontId="5" fillId="2" borderId="0" xfId="13" applyNumberFormat="1" applyFont="1" applyFill="1" applyBorder="1" applyProtection="1">
      <protection hidden="1"/>
    </xf>
    <xf numFmtId="167" fontId="4" fillId="2" borderId="0" xfId="13" applyNumberFormat="1" applyFont="1" applyFill="1" applyBorder="1" applyProtection="1">
      <protection hidden="1"/>
    </xf>
    <xf numFmtId="164" fontId="1" fillId="2" borderId="0" xfId="13" applyNumberFormat="1" applyFill="1"/>
    <xf numFmtId="164" fontId="1" fillId="2" borderId="0" xfId="13" applyNumberFormat="1" applyFill="1" applyProtection="1">
      <protection hidden="1"/>
    </xf>
    <xf numFmtId="0" fontId="1" fillId="9" borderId="2" xfId="13" applyNumberFormat="1" applyFill="1" applyBorder="1" applyAlignment="1" applyProtection="1">
      <protection hidden="1"/>
    </xf>
    <xf numFmtId="3" fontId="1" fillId="10" borderId="0" xfId="13" applyNumberFormat="1" applyFont="1" applyFill="1"/>
    <xf numFmtId="164" fontId="1" fillId="2" borderId="0" xfId="13" applyNumberFormat="1" applyFill="1" applyBorder="1" applyAlignment="1" applyProtection="1">
      <alignment horizontal="left"/>
      <protection hidden="1"/>
    </xf>
    <xf numFmtId="0" fontId="1" fillId="11" borderId="0" xfId="13" applyFill="1" applyBorder="1" applyAlignment="1" applyProtection="1">
      <alignment horizontal="left"/>
      <protection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165" fontId="1" fillId="13" borderId="11" xfId="13" applyNumberFormat="1" applyFont="1" applyFill="1" applyBorder="1" applyAlignment="1" applyProtection="1">
      <alignment horizontal="left"/>
      <protection hidden="1"/>
    </xf>
    <xf numFmtId="0" fontId="2" fillId="13" borderId="0" xfId="13" applyFont="1" applyFill="1" applyBorder="1" applyAlignment="1" applyProtection="1">
      <alignment horizontal="left"/>
      <protection hidden="1"/>
    </xf>
    <xf numFmtId="0" fontId="1" fillId="13" borderId="0" xfId="13" applyFill="1"/>
    <xf numFmtId="0" fontId="1" fillId="13" borderId="0" xfId="13" applyFont="1" applyFill="1" applyBorder="1" applyAlignment="1" applyProtection="1">
      <alignment horizontal="left"/>
      <protection hidden="1"/>
    </xf>
    <xf numFmtId="0" fontId="1" fillId="13" borderId="0" xfId="13" applyFill="1" applyBorder="1" applyAlignment="1" applyProtection="1">
      <alignment horizontal="left"/>
      <protection hidden="1"/>
    </xf>
    <xf numFmtId="0" fontId="1" fillId="12" borderId="0" xfId="13" applyFill="1" applyBorder="1" applyAlignment="1" applyProtection="1">
      <alignment horizontal="center"/>
      <protection locked="0" hidden="1"/>
    </xf>
    <xf numFmtId="0" fontId="1" fillId="13" borderId="11" xfId="13" applyFont="1" applyFill="1" applyBorder="1" applyAlignment="1" applyProtection="1">
      <alignment horizontal="left"/>
      <protection hidden="1"/>
    </xf>
    <xf numFmtId="0" fontId="1" fillId="13" borderId="11" xfId="13" applyFont="1" applyFill="1" applyBorder="1" applyProtection="1">
      <protection hidden="1"/>
    </xf>
    <xf numFmtId="0" fontId="1" fillId="13" borderId="12" xfId="13" applyFont="1" applyFill="1" applyBorder="1" applyAlignment="1" applyProtection="1">
      <alignment horizontal="left"/>
      <protection hidden="1"/>
    </xf>
    <xf numFmtId="0" fontId="2" fillId="14" borderId="10" xfId="13" applyFont="1" applyFill="1" applyBorder="1" applyAlignment="1" applyProtection="1">
      <alignment horizontal="left"/>
      <protection hidden="1"/>
    </xf>
    <xf numFmtId="0" fontId="1" fillId="13" borderId="13" xfId="13" applyFill="1" applyBorder="1" applyAlignment="1" applyProtection="1">
      <alignment horizontal="left"/>
      <protection hidden="1"/>
    </xf>
    <xf numFmtId="0" fontId="1" fillId="13" borderId="14" xfId="13" applyFill="1" applyBorder="1" applyAlignment="1" applyProtection="1">
      <alignment horizontal="left"/>
      <protection hidden="1"/>
    </xf>
    <xf numFmtId="0" fontId="1" fillId="13" borderId="15" xfId="13" applyFont="1" applyFill="1" applyBorder="1" applyProtection="1">
      <protection hidden="1"/>
    </xf>
    <xf numFmtId="0" fontId="1" fillId="13" borderId="10" xfId="13" applyFont="1" applyFill="1" applyBorder="1" applyAlignment="1" applyProtection="1">
      <alignment horizontal="left"/>
      <protection hidden="1"/>
    </xf>
    <xf numFmtId="0" fontId="1" fillId="13" borderId="0" xfId="13" applyFill="1" applyProtection="1">
      <protection hidden="1"/>
    </xf>
    <xf numFmtId="164" fontId="1" fillId="15" borderId="0" xfId="13" applyNumberFormat="1" applyFill="1"/>
    <xf numFmtId="164" fontId="1" fillId="16" borderId="0" xfId="13" applyNumberFormat="1" applyFill="1"/>
    <xf numFmtId="164" fontId="1" fillId="17" borderId="10" xfId="13" applyNumberFormat="1" applyFill="1" applyBorder="1"/>
    <xf numFmtId="164" fontId="1" fillId="11" borderId="0" xfId="13" applyNumberFormat="1" applyFont="1" applyFill="1" applyBorder="1" applyAlignment="1" applyProtection="1">
      <alignment horizontal="right"/>
      <protection locked="0" hidden="1"/>
    </xf>
    <xf numFmtId="164" fontId="1" fillId="18" borderId="0" xfId="13" applyNumberFormat="1" applyFont="1" applyFill="1" applyBorder="1" applyAlignment="1" applyProtection="1">
      <alignment horizontal="right"/>
      <protection locked="0" hidden="1"/>
    </xf>
    <xf numFmtId="164" fontId="1" fillId="19" borderId="0" xfId="13" applyNumberFormat="1" applyFill="1" applyBorder="1" applyAlignment="1" applyProtection="1">
      <protection locked="0" hidden="1"/>
    </xf>
    <xf numFmtId="164" fontId="1" fillId="7" borderId="0" xfId="13" applyNumberFormat="1" applyFill="1" applyBorder="1" applyAlignment="1" applyProtection="1">
      <protection locked="0" hidden="1"/>
    </xf>
    <xf numFmtId="164" fontId="1" fillId="16" borderId="0" xfId="13" applyNumberFormat="1" applyFont="1" applyFill="1" applyBorder="1" applyAlignment="1" applyProtection="1">
      <alignment horizontal="right"/>
      <protection hidden="1"/>
    </xf>
    <xf numFmtId="164" fontId="1" fillId="18" borderId="0" xfId="13" applyNumberFormat="1" applyFont="1" applyFill="1" applyBorder="1" applyAlignment="1" applyProtection="1">
      <alignment horizontal="left"/>
      <protection locked="0" hidden="1"/>
    </xf>
    <xf numFmtId="164" fontId="1" fillId="13" borderId="0" xfId="13" applyNumberFormat="1" applyFill="1" applyBorder="1" applyAlignment="1" applyProtection="1">
      <alignment horizontal="left"/>
      <protection hidden="1"/>
    </xf>
    <xf numFmtId="164" fontId="1" fillId="12" borderId="0" xfId="13" applyNumberFormat="1" applyFill="1" applyBorder="1" applyAlignment="1" applyProtection="1">
      <alignment horizontal="left"/>
      <protection locked="0" hidden="1"/>
    </xf>
    <xf numFmtId="164" fontId="1" fillId="12" borderId="0" xfId="13" applyNumberFormat="1" applyFill="1" applyBorder="1" applyAlignment="1" applyProtection="1">
      <alignment horizontal="left"/>
      <protection locked="0"/>
    </xf>
    <xf numFmtId="164" fontId="10" fillId="8" borderId="0" xfId="0" applyNumberFormat="1" applyFont="1" applyFill="1" applyBorder="1" applyAlignment="1" applyProtection="1">
      <alignment horizontal="left"/>
      <protection locked="0"/>
    </xf>
    <xf numFmtId="164" fontId="1" fillId="13" borderId="11" xfId="13" applyNumberFormat="1" applyFill="1" applyBorder="1" applyProtection="1">
      <protection hidden="1"/>
    </xf>
    <xf numFmtId="164" fontId="1" fillId="13" borderId="0" xfId="13" applyNumberFormat="1" applyFill="1" applyBorder="1" applyAlignment="1" applyProtection="1">
      <protection hidden="1"/>
    </xf>
    <xf numFmtId="164" fontId="1" fillId="13" borderId="11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 applyBorder="1" applyProtection="1">
      <protection hidden="1"/>
    </xf>
    <xf numFmtId="164" fontId="1" fillId="17" borderId="10" xfId="13" applyNumberFormat="1" applyFill="1" applyBorder="1" applyProtection="1">
      <protection hidden="1"/>
    </xf>
    <xf numFmtId="164" fontId="1" fillId="12" borderId="0" xfId="13" applyNumberFormat="1" applyFill="1" applyBorder="1" applyAlignment="1" applyProtection="1">
      <alignment horizontal="left"/>
      <protection hidden="1"/>
    </xf>
    <xf numFmtId="164" fontId="1" fillId="13" borderId="11" xfId="13" applyNumberFormat="1" applyFill="1" applyBorder="1" applyAlignment="1" applyProtection="1">
      <protection hidden="1"/>
    </xf>
    <xf numFmtId="164" fontId="1" fillId="14" borderId="10" xfId="13" applyNumberFormat="1" applyFill="1" applyBorder="1" applyAlignment="1" applyProtection="1">
      <protection hidden="1"/>
    </xf>
    <xf numFmtId="0" fontId="1" fillId="2" borderId="3" xfId="13" applyFill="1" applyBorder="1"/>
    <xf numFmtId="0" fontId="1" fillId="2" borderId="0" xfId="13" applyFill="1" applyAlignment="1">
      <alignment horizontal="right"/>
    </xf>
    <xf numFmtId="164" fontId="1" fillId="12" borderId="0" xfId="13" applyNumberFormat="1" applyFill="1" applyProtection="1">
      <protection locked="0"/>
    </xf>
    <xf numFmtId="164" fontId="1" fillId="11" borderId="0" xfId="13" applyNumberFormat="1" applyFill="1" applyProtection="1">
      <protection locked="0"/>
    </xf>
    <xf numFmtId="0" fontId="2" fillId="12" borderId="0" xfId="13" applyNumberFormat="1" applyFont="1" applyFill="1" applyBorder="1" applyAlignment="1" applyProtection="1">
      <alignment horizontal="left"/>
      <protection locked="0"/>
    </xf>
    <xf numFmtId="0" fontId="1" fillId="11" borderId="0" xfId="13" applyFont="1" applyFill="1" applyBorder="1" applyAlignment="1" applyProtection="1">
      <alignment horizontal="left"/>
      <protection locked="0"/>
    </xf>
    <xf numFmtId="178" fontId="1" fillId="7" borderId="0" xfId="13" applyNumberFormat="1" applyFont="1" applyFill="1" applyBorder="1" applyAlignment="1" applyProtection="1">
      <alignment horizontal="center"/>
      <protection locked="0" hidden="1"/>
    </xf>
    <xf numFmtId="166" fontId="1" fillId="12" borderId="0" xfId="13" applyNumberFormat="1" applyFill="1" applyBorder="1" applyAlignment="1" applyProtection="1">
      <alignment horizontal="center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PWAK.xlsx" TargetMode="External"/><Relationship Id="rId2" Type="http://schemas.openxmlformats.org/officeDocument/2006/relationships/hyperlink" Target="VKVBTWBREYNEPWAV.xlsx" TargetMode="External"/><Relationship Id="rId1" Type="http://schemas.openxmlformats.org/officeDocument/2006/relationships/hyperlink" Target="VKVBTWBREYNEPW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PW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4"/>
  <sheetViews>
    <sheetView tabSelected="1" zoomScaleNormal="100" workbookViewId="0">
      <selection activeCell="B3" sqref="B3"/>
    </sheetView>
  </sheetViews>
  <sheetFormatPr defaultRowHeight="12.75"/>
  <cols>
    <col min="1" max="1" width="43.7109375" style="2" customWidth="1"/>
    <col min="2" max="2" width="19.5703125" style="2" customWidth="1"/>
    <col min="3" max="3" width="18.28515625" style="2" customWidth="1"/>
    <col min="4" max="4" width="18" style="2" customWidth="1"/>
    <col min="5" max="5" width="17.7109375" style="2" customWidth="1"/>
    <col min="6" max="6" width="15" style="2" customWidth="1"/>
    <col min="7" max="7" width="15.85546875" style="2" bestFit="1" customWidth="1"/>
    <col min="8" max="8" width="12.140625" style="2" bestFit="1" customWidth="1"/>
    <col min="9" max="9" width="13.5703125" style="2" customWidth="1"/>
    <col min="10" max="10" width="11.28515625" style="2" bestFit="1" customWidth="1"/>
    <col min="11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47" t="s">
        <v>79</v>
      </c>
      <c r="B1" s="48"/>
      <c r="C1" s="48"/>
      <c r="D1" s="48"/>
      <c r="E1" s="67"/>
      <c r="F1" s="1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112"/>
      <c r="C3" s="3"/>
      <c r="D3" s="3"/>
      <c r="E3" s="4"/>
      <c r="F3" s="4"/>
      <c r="G3" s="5"/>
    </row>
    <row r="4" spans="1:7">
      <c r="A4" s="3" t="s">
        <v>1</v>
      </c>
      <c r="B4" s="113"/>
      <c r="C4" s="70"/>
      <c r="E4" s="7"/>
      <c r="F4" s="4"/>
    </row>
    <row r="5" spans="1:7">
      <c r="A5" s="3" t="s">
        <v>39</v>
      </c>
      <c r="B5" s="90">
        <v>0</v>
      </c>
      <c r="C5" s="6"/>
      <c r="E5" s="7"/>
      <c r="F5" s="4"/>
    </row>
    <row r="6" spans="1:7">
      <c r="A6" s="3" t="s">
        <v>40</v>
      </c>
      <c r="B6" s="91">
        <v>0</v>
      </c>
      <c r="C6" s="6"/>
      <c r="E6" s="7"/>
      <c r="F6" s="4"/>
    </row>
    <row r="7" spans="1:7">
      <c r="A7" s="3" t="s">
        <v>41</v>
      </c>
      <c r="B7" s="49" t="s">
        <v>35</v>
      </c>
      <c r="C7" s="6"/>
      <c r="E7" s="7"/>
      <c r="F7" s="4"/>
    </row>
    <row r="8" spans="1:7">
      <c r="A8" s="4" t="s">
        <v>42</v>
      </c>
      <c r="B8" s="92">
        <v>0</v>
      </c>
      <c r="C8" s="6"/>
      <c r="D8" s="4"/>
      <c r="E8" s="8"/>
      <c r="F8" s="4"/>
    </row>
    <row r="9" spans="1:7">
      <c r="A9" s="4" t="s">
        <v>3</v>
      </c>
      <c r="B9" s="93">
        <v>0</v>
      </c>
      <c r="C9" s="6"/>
      <c r="D9" s="4"/>
      <c r="E9" s="8"/>
      <c r="F9" s="4"/>
    </row>
    <row r="10" spans="1:7">
      <c r="A10" s="10" t="s">
        <v>43</v>
      </c>
      <c r="B10" s="94">
        <f>IF(B8&lt;B6,B6/2+B5+B9,B6+B5+B9)</f>
        <v>0</v>
      </c>
      <c r="C10" s="9"/>
      <c r="D10" s="4"/>
      <c r="E10" s="8"/>
      <c r="F10" s="4"/>
    </row>
    <row r="11" spans="1:7">
      <c r="A11" s="9" t="s">
        <v>4</v>
      </c>
      <c r="B11" s="92">
        <v>0</v>
      </c>
      <c r="C11" s="6"/>
      <c r="D11" s="4"/>
      <c r="E11" s="8"/>
      <c r="F11" s="4"/>
    </row>
    <row r="12" spans="1:7">
      <c r="A12" s="9" t="s">
        <v>47</v>
      </c>
      <c r="B12" s="115" t="s">
        <v>36</v>
      </c>
      <c r="C12" s="6"/>
      <c r="D12" s="4"/>
      <c r="E12" s="8"/>
      <c r="F12" s="4"/>
    </row>
    <row r="13" spans="1:7">
      <c r="A13" s="9" t="s">
        <v>5</v>
      </c>
      <c r="B13" s="95">
        <v>0</v>
      </c>
      <c r="C13" s="6"/>
      <c r="E13" s="7"/>
      <c r="F13" s="4"/>
    </row>
    <row r="14" spans="1:7">
      <c r="A14" s="9" t="s">
        <v>37</v>
      </c>
      <c r="B14" s="71" t="s">
        <v>36</v>
      </c>
      <c r="C14" s="6"/>
      <c r="D14" s="6"/>
      <c r="E14" s="10"/>
      <c r="F14" s="4"/>
      <c r="G14" s="8"/>
    </row>
    <row r="15" spans="1:7">
      <c r="A15" s="9" t="s">
        <v>38</v>
      </c>
      <c r="B15" s="71" t="s">
        <v>36</v>
      </c>
      <c r="C15" s="9"/>
      <c r="E15" s="7"/>
      <c r="F15" s="4"/>
      <c r="G15" s="4"/>
    </row>
    <row r="16" spans="1:7">
      <c r="A16" s="9" t="s">
        <v>80</v>
      </c>
      <c r="B16" s="114" t="s">
        <v>36</v>
      </c>
      <c r="C16" s="9"/>
      <c r="E16" s="7"/>
      <c r="F16" s="4"/>
      <c r="G16" s="4"/>
    </row>
    <row r="17" spans="1:7" ht="13.5" thickBot="1">
      <c r="A17" s="11" t="s">
        <v>6</v>
      </c>
      <c r="B17" s="3"/>
      <c r="C17" s="3"/>
      <c r="D17" s="3"/>
      <c r="E17" s="4"/>
      <c r="F17" s="4"/>
      <c r="G17" s="4"/>
    </row>
    <row r="18" spans="1:7" ht="14.25" thickTop="1" thickBot="1">
      <c r="A18" s="50" t="s">
        <v>7</v>
      </c>
      <c r="B18" s="12"/>
      <c r="C18" s="3"/>
      <c r="D18" s="3"/>
      <c r="E18" s="4"/>
      <c r="F18" s="4"/>
      <c r="G18" s="4"/>
    </row>
    <row r="19" spans="1:7" ht="14.25" thickTop="1" thickBot="1">
      <c r="A19" s="3"/>
      <c r="B19" s="3"/>
      <c r="C19" s="3"/>
      <c r="D19" s="3"/>
      <c r="E19" s="4"/>
      <c r="F19" s="4"/>
      <c r="G19" s="4"/>
    </row>
    <row r="20" spans="1:7" ht="14.25" thickTop="1" thickBot="1">
      <c r="A20" s="72" t="s">
        <v>8</v>
      </c>
      <c r="B20" s="73"/>
      <c r="C20" s="73"/>
      <c r="D20" s="100">
        <f>IF(AND(B12="ja",B16="ja"),F111-250,F111)</f>
        <v>0</v>
      </c>
      <c r="F20" s="7"/>
    </row>
    <row r="21" spans="1:7" ht="13.5" thickTop="1">
      <c r="A21" s="75" t="s">
        <v>9</v>
      </c>
      <c r="B21" s="76"/>
      <c r="C21" s="76"/>
      <c r="D21" s="96">
        <f>IF(B7="ja",0,B5*10/100)</f>
        <v>0</v>
      </c>
      <c r="E21" s="101"/>
      <c r="F21" s="10"/>
      <c r="G21" s="8"/>
    </row>
    <row r="22" spans="1:7">
      <c r="A22" s="75"/>
      <c r="B22" s="76" t="s">
        <v>48</v>
      </c>
      <c r="C22" s="76"/>
      <c r="D22" s="96">
        <f>IF(AND(B7="neen",B12="ja"),-B5*5/100,0)</f>
        <v>0</v>
      </c>
      <c r="E22" s="101"/>
      <c r="F22" s="10"/>
      <c r="G22" s="8"/>
    </row>
    <row r="23" spans="1:7">
      <c r="A23" s="9"/>
      <c r="B23" s="9" t="s">
        <v>10</v>
      </c>
      <c r="C23" s="6"/>
      <c r="D23" s="69">
        <f>IF(B13&gt;(D21+D22),-(D21+D22),-B13)</f>
        <v>0</v>
      </c>
      <c r="E23" s="101"/>
      <c r="F23" s="10"/>
      <c r="G23" s="8"/>
    </row>
    <row r="24" spans="1:7">
      <c r="A24" s="9"/>
      <c r="B24" s="9" t="s">
        <v>11</v>
      </c>
      <c r="C24" s="6"/>
      <c r="D24" s="65">
        <f>E133</f>
        <v>0</v>
      </c>
      <c r="E24" s="101"/>
      <c r="F24" s="10"/>
      <c r="G24" s="8"/>
    </row>
    <row r="25" spans="1:7">
      <c r="A25" s="9"/>
      <c r="B25" s="9" t="s">
        <v>12</v>
      </c>
      <c r="C25" s="6"/>
      <c r="D25" s="69">
        <f>H132</f>
        <v>0</v>
      </c>
      <c r="E25" s="101"/>
      <c r="F25" s="10"/>
      <c r="G25" s="8"/>
    </row>
    <row r="26" spans="1:7">
      <c r="A26" s="9" t="s">
        <v>17</v>
      </c>
      <c r="B26" s="9"/>
      <c r="C26" s="6"/>
      <c r="D26" s="69">
        <f>IF(B7="ja",(B5+B8)*21%,B8*21%)</f>
        <v>0</v>
      </c>
      <c r="E26" s="101"/>
      <c r="F26" s="10"/>
      <c r="G26" s="8"/>
    </row>
    <row r="27" spans="1:7">
      <c r="A27" s="6" t="s">
        <v>13</v>
      </c>
      <c r="B27" s="6"/>
      <c r="C27" s="6"/>
      <c r="D27" s="97">
        <v>0</v>
      </c>
      <c r="E27" s="101"/>
      <c r="F27" s="4"/>
      <c r="G27" s="4"/>
    </row>
    <row r="28" spans="1:7">
      <c r="A28" s="9" t="s">
        <v>14</v>
      </c>
      <c r="B28" s="77">
        <v>0</v>
      </c>
      <c r="C28" s="6"/>
      <c r="D28" s="69">
        <f>B28*30</f>
        <v>0</v>
      </c>
      <c r="E28" s="101"/>
      <c r="F28" s="4"/>
      <c r="G28" s="4"/>
    </row>
    <row r="29" spans="1:7">
      <c r="A29" s="9" t="s">
        <v>15</v>
      </c>
      <c r="B29" s="6"/>
      <c r="C29" s="6"/>
      <c r="D29" s="98">
        <v>770</v>
      </c>
      <c r="E29" s="101"/>
      <c r="F29" s="4"/>
      <c r="G29" s="4"/>
    </row>
    <row r="30" spans="1:7" ht="15.75" thickBot="1">
      <c r="A30" s="14" t="s">
        <v>44</v>
      </c>
      <c r="B30" s="15"/>
      <c r="C30" s="15"/>
      <c r="D30" s="99">
        <v>0</v>
      </c>
      <c r="E30" s="101"/>
      <c r="F30" s="4"/>
      <c r="G30" s="4"/>
    </row>
    <row r="31" spans="1:7" ht="14.25" thickTop="1" thickBot="1">
      <c r="A31" s="78" t="s">
        <v>16</v>
      </c>
      <c r="B31" s="76"/>
      <c r="C31" s="74"/>
      <c r="D31" s="102">
        <f>SUM(D21:D30)</f>
        <v>770</v>
      </c>
      <c r="F31" s="4"/>
      <c r="G31" s="4"/>
    </row>
    <row r="32" spans="1:7" ht="14.25" thickTop="1" thickBot="1">
      <c r="A32" s="74"/>
      <c r="B32" s="76"/>
      <c r="C32" s="79" t="s">
        <v>17</v>
      </c>
      <c r="D32" s="100">
        <f>(D20+D29)*21%</f>
        <v>161.69999999999999</v>
      </c>
      <c r="F32" s="4"/>
      <c r="G32" s="4"/>
    </row>
    <row r="33" spans="1:7" ht="14.25" thickTop="1" thickBot="1">
      <c r="A33" s="16"/>
      <c r="B33" s="6"/>
      <c r="C33" s="17"/>
      <c r="D33" s="103"/>
      <c r="F33" s="4"/>
      <c r="G33" s="4"/>
    </row>
    <row r="34" spans="1:7" ht="14.25" thickTop="1" thickBot="1">
      <c r="A34" s="80" t="s">
        <v>18</v>
      </c>
      <c r="B34" s="19"/>
      <c r="C34" s="20"/>
      <c r="D34" s="104">
        <f>SUM(D20:D32)-D31</f>
        <v>931.7</v>
      </c>
      <c r="F34" s="4"/>
      <c r="G34" s="4"/>
    </row>
    <row r="35" spans="1:7" ht="14.25" thickTop="1" thickBot="1">
      <c r="A35" s="9"/>
      <c r="B35" s="6"/>
      <c r="C35" s="6"/>
      <c r="D35" s="20"/>
      <c r="E35" s="21"/>
      <c r="F35" s="4"/>
      <c r="G35" s="4"/>
    </row>
    <row r="36" spans="1:7" ht="14.25" thickTop="1" thickBot="1">
      <c r="A36" s="81" t="s">
        <v>19</v>
      </c>
      <c r="B36" s="19"/>
      <c r="C36" s="6"/>
      <c r="D36" s="13"/>
      <c r="E36" s="4"/>
      <c r="F36" s="4"/>
      <c r="G36" s="4"/>
    </row>
    <row r="37" spans="1:7" ht="13.5" thickTop="1">
      <c r="A37" s="9"/>
      <c r="B37" s="6"/>
      <c r="C37" s="6"/>
      <c r="D37" s="13"/>
      <c r="E37" s="4"/>
      <c r="F37" s="4"/>
      <c r="G37" s="4"/>
    </row>
    <row r="38" spans="1:7">
      <c r="A38" s="9" t="s">
        <v>20</v>
      </c>
      <c r="B38" s="6"/>
      <c r="C38" s="6"/>
      <c r="D38" s="97">
        <v>0</v>
      </c>
      <c r="E38" s="4"/>
      <c r="F38" s="4"/>
      <c r="G38" s="4"/>
    </row>
    <row r="39" spans="1:7">
      <c r="A39" s="9" t="s">
        <v>21</v>
      </c>
      <c r="B39" s="6"/>
      <c r="C39" s="6"/>
      <c r="D39" s="97">
        <v>0</v>
      </c>
      <c r="E39" s="4"/>
      <c r="F39" s="4"/>
      <c r="G39" s="4"/>
    </row>
    <row r="40" spans="1:7">
      <c r="A40" s="9" t="s">
        <v>22</v>
      </c>
      <c r="B40" s="6"/>
      <c r="C40" s="6"/>
      <c r="D40" s="97">
        <v>0</v>
      </c>
      <c r="E40" s="4"/>
      <c r="F40" s="4"/>
      <c r="G40" s="4"/>
    </row>
    <row r="41" spans="1:7">
      <c r="A41" s="9" t="s">
        <v>23</v>
      </c>
      <c r="B41" s="77">
        <v>0</v>
      </c>
      <c r="C41" s="6"/>
      <c r="D41" s="105">
        <f>B41*50</f>
        <v>0</v>
      </c>
      <c r="E41" s="4"/>
      <c r="F41" s="4"/>
      <c r="G41" s="4"/>
    </row>
    <row r="42" spans="1:7" ht="13.5" thickBot="1">
      <c r="A42" s="9" t="s">
        <v>45</v>
      </c>
      <c r="B42" s="6"/>
      <c r="C42" s="6"/>
      <c r="D42" s="97">
        <v>0</v>
      </c>
      <c r="E42" s="4"/>
      <c r="F42" s="4"/>
      <c r="G42" s="4"/>
    </row>
    <row r="43" spans="1:7" ht="14.25" thickTop="1" thickBot="1">
      <c r="A43" s="78" t="s">
        <v>24</v>
      </c>
      <c r="B43" s="76"/>
      <c r="C43" s="74"/>
      <c r="D43" s="102">
        <f>SUM(D38:D42)</f>
        <v>0</v>
      </c>
      <c r="F43" s="4"/>
      <c r="G43" s="8"/>
    </row>
    <row r="44" spans="1:7" ht="14.25" thickTop="1" thickBot="1">
      <c r="A44" s="82"/>
      <c r="B44" s="76"/>
      <c r="C44" s="79" t="s">
        <v>17</v>
      </c>
      <c r="D44" s="106">
        <f>(D38+D41+D42)*21%</f>
        <v>0</v>
      </c>
      <c r="F44" s="4"/>
      <c r="G44" s="8"/>
    </row>
    <row r="45" spans="1:7" ht="14.25" thickTop="1" thickBot="1">
      <c r="A45" s="83"/>
      <c r="B45" s="76"/>
      <c r="C45" s="84"/>
      <c r="D45" s="101"/>
      <c r="F45" s="4"/>
      <c r="G45" s="8"/>
    </row>
    <row r="46" spans="1:7" ht="14.25" thickTop="1" thickBot="1">
      <c r="A46" s="85" t="s">
        <v>25</v>
      </c>
      <c r="B46" s="19"/>
      <c r="C46" s="22"/>
      <c r="D46" s="107">
        <f>SUM(D43:D44)</f>
        <v>0</v>
      </c>
      <c r="E46" s="108"/>
      <c r="F46" s="4"/>
      <c r="G46" s="8"/>
    </row>
    <row r="47" spans="1:7" ht="13.5" thickTop="1">
      <c r="A47" s="7"/>
      <c r="B47" s="7"/>
      <c r="C47" s="7"/>
      <c r="D47" s="7"/>
      <c r="E47" s="7"/>
      <c r="F47" s="7"/>
      <c r="G47" s="7"/>
    </row>
    <row r="48" spans="1:7" ht="26.25" customHeight="1">
      <c r="A48" s="52" t="s">
        <v>49</v>
      </c>
      <c r="B48" s="7"/>
      <c r="C48" s="7"/>
      <c r="D48" s="7"/>
      <c r="E48" s="7"/>
      <c r="F48" s="7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86" t="s">
        <v>50</v>
      </c>
      <c r="B50" s="7" t="s">
        <v>51</v>
      </c>
      <c r="C50" s="110">
        <v>0</v>
      </c>
      <c r="D50" s="7"/>
      <c r="E50" s="7"/>
      <c r="F50" s="7"/>
      <c r="G50" s="7"/>
    </row>
    <row r="51" spans="1:7">
      <c r="A51" s="7"/>
      <c r="B51" s="7" t="s">
        <v>52</v>
      </c>
      <c r="C51" s="110">
        <v>0</v>
      </c>
      <c r="D51" s="7"/>
      <c r="E51" s="7"/>
      <c r="F51" s="7"/>
      <c r="G51" s="7"/>
    </row>
    <row r="52" spans="1:7">
      <c r="A52" s="7"/>
      <c r="B52" s="7" t="s">
        <v>53</v>
      </c>
      <c r="C52" s="88">
        <f>SUM(C50:C51)</f>
        <v>0</v>
      </c>
      <c r="D52" s="7"/>
      <c r="E52" s="7"/>
      <c r="F52" s="7"/>
      <c r="G52" s="7"/>
    </row>
    <row r="53" spans="1:7">
      <c r="A53" s="7"/>
      <c r="B53" s="7"/>
      <c r="C53" s="65"/>
      <c r="D53" s="7"/>
      <c r="E53" s="7"/>
      <c r="F53" s="7"/>
      <c r="G53" s="7"/>
    </row>
    <row r="54" spans="1:7">
      <c r="A54" s="86" t="s">
        <v>54</v>
      </c>
      <c r="B54" s="7" t="s">
        <v>51</v>
      </c>
      <c r="C54" s="111">
        <v>0</v>
      </c>
      <c r="D54" s="7"/>
      <c r="E54" s="7"/>
      <c r="F54" s="7"/>
      <c r="G54" s="7"/>
    </row>
    <row r="55" spans="1:7">
      <c r="A55" s="7"/>
      <c r="B55" s="7" t="s">
        <v>52</v>
      </c>
      <c r="C55" s="111">
        <v>0</v>
      </c>
      <c r="D55" s="7"/>
      <c r="E55" s="7"/>
      <c r="F55" s="7"/>
      <c r="G55" s="7"/>
    </row>
    <row r="56" spans="1:7">
      <c r="A56" s="7"/>
      <c r="B56" s="7" t="s">
        <v>53</v>
      </c>
      <c r="C56" s="87">
        <f>SUM(C54:C55)</f>
        <v>0</v>
      </c>
      <c r="D56" s="7"/>
      <c r="E56" s="7"/>
      <c r="F56" s="7"/>
      <c r="G56" s="7"/>
    </row>
    <row r="57" spans="1:7">
      <c r="A57" s="7" t="s">
        <v>6</v>
      </c>
      <c r="B57" s="7"/>
      <c r="C57" s="66"/>
      <c r="D57" s="7"/>
      <c r="E57" s="7"/>
      <c r="F57" s="7"/>
      <c r="G57" s="7"/>
    </row>
    <row r="58" spans="1:7">
      <c r="A58" s="7"/>
      <c r="B58" s="7"/>
      <c r="C58" s="65"/>
      <c r="D58" s="109" t="s">
        <v>8</v>
      </c>
      <c r="E58" s="65">
        <f>IF(C56&gt;C52,I186+(I199-I212),I174)</f>
        <v>0</v>
      </c>
    </row>
    <row r="59" spans="1:7">
      <c r="A59" s="7" t="s">
        <v>55</v>
      </c>
      <c r="B59" s="7"/>
      <c r="C59" s="65">
        <f>K121</f>
        <v>75</v>
      </c>
      <c r="D59" s="109" t="s">
        <v>56</v>
      </c>
      <c r="E59" s="65">
        <f>E58*21/100</f>
        <v>0</v>
      </c>
    </row>
    <row r="60" spans="1:7">
      <c r="A60" s="7" t="s">
        <v>57</v>
      </c>
      <c r="B60" s="7"/>
      <c r="C60" s="110">
        <v>0</v>
      </c>
      <c r="D60" s="109"/>
    </row>
    <row r="61" spans="1:7">
      <c r="A61" s="7" t="s">
        <v>58</v>
      </c>
      <c r="B61" s="66">
        <f>(A115+ROUNDDOWN((C50+C51-1)/G116,0)*A116)</f>
        <v>67.31</v>
      </c>
      <c r="C61" s="65"/>
      <c r="D61" s="109"/>
    </row>
    <row r="62" spans="1:7">
      <c r="A62" s="7" t="s">
        <v>59</v>
      </c>
      <c r="B62" s="66">
        <f>(A128+ROUNDDOWN((C54+C55-1)/G129,0)*A129)</f>
        <v>117.11</v>
      </c>
      <c r="C62" s="65"/>
      <c r="D62" s="109"/>
    </row>
    <row r="63" spans="1:7">
      <c r="A63" s="7" t="s">
        <v>60</v>
      </c>
      <c r="B63" s="66">
        <f>IF(C56&gt;C52,(C56-C52)*0.3%,0)</f>
        <v>0</v>
      </c>
      <c r="C63" s="65"/>
      <c r="D63" s="109"/>
    </row>
    <row r="64" spans="1:7">
      <c r="A64" s="7" t="s">
        <v>61</v>
      </c>
      <c r="B64" s="7"/>
      <c r="C64" s="65">
        <f>H142+B63</f>
        <v>220</v>
      </c>
      <c r="D64" s="109"/>
    </row>
    <row r="65" spans="1:7">
      <c r="A65" s="7" t="s">
        <v>62</v>
      </c>
      <c r="B65" s="7"/>
      <c r="C65" s="65">
        <v>0</v>
      </c>
      <c r="D65" s="109"/>
    </row>
    <row r="66" spans="1:7">
      <c r="A66" s="7"/>
      <c r="B66" s="7" t="s">
        <v>56</v>
      </c>
      <c r="C66" s="65">
        <f>C65*21/100</f>
        <v>0</v>
      </c>
      <c r="D66" s="109"/>
    </row>
    <row r="67" spans="1:7">
      <c r="A67" s="7" t="s">
        <v>63</v>
      </c>
      <c r="B67" s="7"/>
      <c r="C67" s="110">
        <v>710</v>
      </c>
      <c r="D67" s="109"/>
    </row>
    <row r="68" spans="1:7">
      <c r="A68" s="7"/>
      <c r="B68" s="7" t="s">
        <v>56</v>
      </c>
      <c r="C68" s="65">
        <f>C67*21/100</f>
        <v>149.1</v>
      </c>
      <c r="D68" s="109"/>
    </row>
    <row r="69" spans="1:7">
      <c r="A69" s="7" t="s">
        <v>64</v>
      </c>
      <c r="B69" s="7"/>
      <c r="C69" s="110">
        <v>0</v>
      </c>
      <c r="D69" s="109"/>
    </row>
    <row r="70" spans="1:7">
      <c r="A70" s="7"/>
      <c r="B70" s="7" t="s">
        <v>56</v>
      </c>
      <c r="C70" s="65">
        <f>C69*21/100</f>
        <v>0</v>
      </c>
      <c r="D70" s="109"/>
    </row>
    <row r="71" spans="1:7">
      <c r="A71" s="7"/>
      <c r="B71" s="7"/>
      <c r="C71" s="65"/>
      <c r="D71" s="109"/>
    </row>
    <row r="72" spans="1:7">
      <c r="A72" s="7"/>
      <c r="B72" s="7" t="s">
        <v>65</v>
      </c>
      <c r="C72" s="65">
        <f>A125</f>
        <v>1004.9999999999999</v>
      </c>
      <c r="D72" s="109" t="s">
        <v>66</v>
      </c>
      <c r="E72" s="65">
        <f>E58</f>
        <v>0</v>
      </c>
    </row>
    <row r="73" spans="1:7">
      <c r="A73" s="7"/>
      <c r="B73" s="7"/>
      <c r="D73" s="109" t="s">
        <v>67</v>
      </c>
      <c r="E73" s="65">
        <f>C72</f>
        <v>1004.9999999999999</v>
      </c>
    </row>
    <row r="74" spans="1:7">
      <c r="A74" s="7"/>
      <c r="B74" s="7"/>
      <c r="D74" s="109" t="s">
        <v>68</v>
      </c>
      <c r="E74" s="65">
        <f>SUM(E72+C72)</f>
        <v>1004.9999999999999</v>
      </c>
    </row>
    <row r="75" spans="1:7">
      <c r="A75" s="7"/>
      <c r="B75" s="7"/>
      <c r="D75" s="109"/>
      <c r="E75" s="65"/>
    </row>
    <row r="76" spans="1:7">
      <c r="A76" s="7"/>
      <c r="B76" s="7"/>
      <c r="D76" s="109" t="s">
        <v>69</v>
      </c>
      <c r="E76" s="65">
        <f>C66+C68+C70+E59</f>
        <v>149.1</v>
      </c>
    </row>
    <row r="77" spans="1:7" ht="13.5" thickBot="1">
      <c r="A77" s="7"/>
      <c r="B77" s="7"/>
      <c r="D77" s="109"/>
      <c r="E77" s="65"/>
    </row>
    <row r="78" spans="1:7" ht="14.25" thickTop="1" thickBot="1">
      <c r="A78" s="7"/>
      <c r="B78" s="7"/>
      <c r="D78" s="109" t="s">
        <v>70</v>
      </c>
      <c r="E78" s="89">
        <f>SUM(E74:E76)</f>
        <v>1154.0999999999999</v>
      </c>
    </row>
    <row r="79" spans="1:7" ht="13.5" thickTop="1">
      <c r="A79" s="7"/>
      <c r="B79" s="7"/>
      <c r="C79" s="7"/>
      <c r="D79" s="7"/>
      <c r="E79" s="7"/>
      <c r="F79" s="7"/>
      <c r="G79" s="7"/>
    </row>
    <row r="80" spans="1:7">
      <c r="A80" s="7"/>
      <c r="B80" s="7"/>
      <c r="C80" s="23" t="s">
        <v>26</v>
      </c>
      <c r="D80" s="23" t="s">
        <v>27</v>
      </c>
      <c r="E80" s="7"/>
    </row>
    <row r="81" spans="1:23">
      <c r="A81" s="7"/>
      <c r="B81" s="7"/>
      <c r="C81" s="7"/>
      <c r="D81" s="20"/>
      <c r="E81" s="7"/>
      <c r="F81" s="21"/>
      <c r="G81" s="7"/>
    </row>
    <row r="82" spans="1:23">
      <c r="A82" s="7"/>
      <c r="B82" s="7"/>
      <c r="C82" s="24" t="s">
        <v>28</v>
      </c>
      <c r="D82" s="51" t="s">
        <v>29</v>
      </c>
      <c r="E82" s="7"/>
      <c r="F82" s="20"/>
      <c r="G82" s="18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</row>
    <row r="83" spans="1:23">
      <c r="A83" s="7"/>
      <c r="B83" s="26"/>
      <c r="C83" s="26"/>
      <c r="D83" s="26"/>
      <c r="E83" s="7"/>
      <c r="F83" s="27"/>
      <c r="G83" s="26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</row>
    <row r="84" spans="1:23" ht="14.25">
      <c r="B84" s="25"/>
      <c r="C84" s="23" t="s">
        <v>46</v>
      </c>
      <c r="D84" s="28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</row>
    <row r="85" spans="1:23" ht="13.5" customHeight="1">
      <c r="B85" s="25"/>
      <c r="C85" s="28"/>
      <c r="D85" s="28"/>
      <c r="E85" s="23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</row>
    <row r="86" spans="1:23" hidden="1">
      <c r="A86" s="30"/>
      <c r="B86" s="13">
        <f>IF(B14="ja",-1500,0)</f>
        <v>0</v>
      </c>
      <c r="C86" s="29">
        <f>IF(AND(B12="ja",B14="ja"),-750,0)</f>
        <v>0</v>
      </c>
      <c r="D86" s="29"/>
      <c r="E86" s="29"/>
      <c r="F86" s="29"/>
      <c r="G86" s="29"/>
      <c r="H86" s="29"/>
      <c r="I86" s="29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</row>
    <row r="87" spans="1:23" hidden="1">
      <c r="A87" s="30"/>
      <c r="B87" s="13">
        <f>IF(B14="ja",-750,0)</f>
        <v>0</v>
      </c>
      <c r="C87" s="29">
        <f>IF(AND(B12="neen",B14="ja"),-1500,0)</f>
        <v>0</v>
      </c>
      <c r="D87" s="29"/>
      <c r="E87" s="29"/>
      <c r="F87" s="29"/>
      <c r="G87" s="29"/>
      <c r="H87" s="29"/>
      <c r="I87" s="29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</row>
    <row r="88" spans="1:23" hidden="1">
      <c r="A88" s="30"/>
      <c r="B88" s="29"/>
      <c r="C88" s="29"/>
      <c r="D88" s="29"/>
      <c r="E88" s="29"/>
      <c r="F88" s="29"/>
      <c r="G88" s="29"/>
      <c r="H88" s="29"/>
      <c r="I88" s="29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</row>
    <row r="89" spans="1:23" hidden="1">
      <c r="A89" s="30"/>
      <c r="B89" s="29"/>
      <c r="C89" s="29"/>
      <c r="D89" s="29"/>
      <c r="E89" s="29"/>
      <c r="F89" s="29"/>
      <c r="G89" s="29"/>
      <c r="H89" s="29"/>
      <c r="I89" s="29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</row>
    <row r="90" spans="1:23" ht="13.5" hidden="1" thickBot="1">
      <c r="A90" s="30"/>
      <c r="B90" s="29"/>
      <c r="C90" s="29"/>
      <c r="D90" s="29"/>
      <c r="E90" s="29"/>
      <c r="F90" s="29"/>
      <c r="G90" s="29"/>
      <c r="H90" s="26"/>
      <c r="I90" s="26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</row>
    <row r="91" spans="1:23" ht="13.5" hidden="1" thickBot="1">
      <c r="A91" s="7"/>
      <c r="B91" s="31"/>
      <c r="C91" s="26"/>
      <c r="D91" s="26"/>
      <c r="E91" s="26"/>
      <c r="F91" s="26"/>
      <c r="G91" s="26"/>
      <c r="H91" s="32"/>
      <c r="I91" s="32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</row>
    <row r="92" spans="1:23" ht="13.5" hidden="1" thickBot="1">
      <c r="A92" s="7"/>
      <c r="B92" s="7"/>
      <c r="C92" s="7"/>
      <c r="D92" s="7"/>
      <c r="E92" s="32"/>
      <c r="F92" s="32"/>
      <c r="G92" s="32"/>
      <c r="H92" s="7"/>
      <c r="I92" s="7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</row>
    <row r="93" spans="1:23" hidden="1">
      <c r="A93" s="7"/>
      <c r="B93" s="7"/>
      <c r="C93" s="7"/>
      <c r="D93" s="7"/>
      <c r="E93" s="7"/>
      <c r="F93" s="7"/>
      <c r="G93" s="7"/>
      <c r="H93" s="7"/>
      <c r="I93" s="7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</row>
    <row r="94" spans="1:23" hidden="1">
      <c r="A94" s="7"/>
      <c r="B94" s="7"/>
      <c r="C94" s="7"/>
      <c r="D94" s="7"/>
      <c r="E94" s="7"/>
      <c r="F94" s="7"/>
      <c r="G94" s="7"/>
      <c r="H94" s="7"/>
      <c r="I94" s="7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</row>
    <row r="95" spans="1:23" hidden="1">
      <c r="A95" s="7" t="s">
        <v>2</v>
      </c>
      <c r="B95" s="7"/>
      <c r="C95" s="7" t="s">
        <v>30</v>
      </c>
      <c r="D95" s="7" t="s">
        <v>31</v>
      </c>
      <c r="E95" s="7"/>
      <c r="F95" s="20" t="s">
        <v>35</v>
      </c>
      <c r="G95" s="20" t="s">
        <v>35</v>
      </c>
      <c r="H95" s="20" t="s">
        <v>35</v>
      </c>
      <c r="I95" s="20" t="s">
        <v>35</v>
      </c>
      <c r="J95" s="7" t="s">
        <v>35</v>
      </c>
      <c r="K95" s="7" t="s">
        <v>35</v>
      </c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</row>
    <row r="96" spans="1:23" hidden="1">
      <c r="A96" s="7"/>
      <c r="B96" s="7"/>
      <c r="C96" s="7"/>
      <c r="D96" s="7">
        <v>525</v>
      </c>
      <c r="E96" s="7"/>
      <c r="F96" s="20" t="s">
        <v>36</v>
      </c>
      <c r="G96" s="20" t="s">
        <v>36</v>
      </c>
      <c r="H96" s="20" t="s">
        <v>36</v>
      </c>
      <c r="I96" s="20" t="s">
        <v>36</v>
      </c>
      <c r="J96" s="7" t="s">
        <v>36</v>
      </c>
      <c r="K96" s="7" t="s">
        <v>36</v>
      </c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</row>
    <row r="97" spans="1:23" hidden="1">
      <c r="A97" s="7"/>
      <c r="B97" s="7"/>
      <c r="C97" s="7"/>
      <c r="D97" s="7">
        <v>100</v>
      </c>
      <c r="E97" s="7"/>
      <c r="F97" s="7"/>
      <c r="G97" s="7"/>
      <c r="H97" s="7"/>
      <c r="I97" s="7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</row>
    <row r="98" spans="1:23" hidden="1">
      <c r="A98" s="7"/>
      <c r="B98" s="7"/>
      <c r="C98" s="7"/>
      <c r="D98" s="7">
        <v>675</v>
      </c>
      <c r="E98" s="7"/>
      <c r="F98" s="7"/>
      <c r="G98" s="7"/>
      <c r="H98" s="7"/>
      <c r="I98" s="7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</row>
    <row r="99" spans="1:23" hidden="1">
      <c r="A99" s="7"/>
      <c r="B99" s="7"/>
      <c r="C99" s="7"/>
      <c r="D99" s="7"/>
      <c r="E99" s="7"/>
      <c r="F99" s="7"/>
      <c r="G99" s="7"/>
      <c r="H99" s="7"/>
      <c r="I99" s="7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</row>
    <row r="100" spans="1:23" hidden="1">
      <c r="A100" s="7"/>
      <c r="B100" s="7"/>
      <c r="C100" s="7"/>
      <c r="D100" s="7"/>
      <c r="E100" s="7"/>
      <c r="F100" s="7"/>
      <c r="G100" s="7"/>
      <c r="H100" s="7"/>
      <c r="I100" s="7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</row>
    <row r="101" spans="1:23" hidden="1">
      <c r="A101" s="7"/>
      <c r="B101" s="7"/>
      <c r="C101" s="7"/>
      <c r="D101" s="7"/>
      <c r="E101" s="7"/>
      <c r="F101" s="7"/>
      <c r="G101" s="7"/>
      <c r="H101" s="7"/>
      <c r="I101" s="7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</row>
    <row r="102" spans="1:23" ht="14.25" hidden="1">
      <c r="A102" s="33" t="s">
        <v>32</v>
      </c>
      <c r="B102" s="33"/>
      <c r="C102" s="33" t="s">
        <v>32</v>
      </c>
      <c r="D102" s="34" t="s">
        <v>33</v>
      </c>
      <c r="E102" s="35"/>
      <c r="F102" s="33" t="s">
        <v>8</v>
      </c>
      <c r="G102" s="7"/>
      <c r="H102" s="7"/>
      <c r="I102" s="7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</row>
    <row r="103" spans="1:23" ht="15" hidden="1">
      <c r="A103" s="36">
        <v>0</v>
      </c>
      <c r="B103" s="37"/>
      <c r="C103" s="36">
        <v>7500</v>
      </c>
      <c r="D103" s="38">
        <v>4.5600000000000002E-2</v>
      </c>
      <c r="E103" s="39"/>
      <c r="F103" s="36">
        <f>IF($B$10&lt;C103,$B$10*D103,C103*D103)</f>
        <v>0</v>
      </c>
      <c r="G103" s="7"/>
      <c r="H103" s="7"/>
      <c r="I103" s="7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</row>
    <row r="104" spans="1:23" ht="15" hidden="1">
      <c r="A104" s="36">
        <v>7500</v>
      </c>
      <c r="B104" s="37"/>
      <c r="C104" s="36">
        <v>17500</v>
      </c>
      <c r="D104" s="38">
        <v>2.8500000000000001E-2</v>
      </c>
      <c r="E104" s="39"/>
      <c r="F104" s="37" t="str">
        <f t="shared" ref="F104:F109" si="0">IF($B$10&lt;=A104," ",IF($B$10&lt;C104,($B$10-C103)*D104,(C104-A104)*D104))</f>
        <v xml:space="preserve"> </v>
      </c>
      <c r="G104" s="7"/>
      <c r="H104" s="7"/>
      <c r="I104" s="7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</row>
    <row r="105" spans="1:23" ht="15" hidden="1">
      <c r="A105" s="36">
        <v>17500</v>
      </c>
      <c r="B105" s="37"/>
      <c r="C105" s="36">
        <v>30000</v>
      </c>
      <c r="D105" s="38">
        <v>2.2800000000000001E-2</v>
      </c>
      <c r="E105" s="39"/>
      <c r="F105" s="37" t="str">
        <f t="shared" si="0"/>
        <v xml:space="preserve"> </v>
      </c>
      <c r="G105" s="7"/>
      <c r="H105" s="7"/>
      <c r="I105" s="7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</row>
    <row r="106" spans="1:23" ht="15" hidden="1">
      <c r="A106" s="36">
        <v>30000</v>
      </c>
      <c r="B106" s="37"/>
      <c r="C106" s="36">
        <v>45495</v>
      </c>
      <c r="D106" s="38">
        <v>1.7100000000000001E-2</v>
      </c>
      <c r="E106" s="39"/>
      <c r="F106" s="37" t="str">
        <f t="shared" si="0"/>
        <v xml:space="preserve"> </v>
      </c>
      <c r="G106" s="7"/>
      <c r="H106" s="7"/>
      <c r="I106" s="7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</row>
    <row r="107" spans="1:23" ht="15" hidden="1">
      <c r="A107" s="36">
        <v>45495</v>
      </c>
      <c r="B107" s="37"/>
      <c r="C107" s="36">
        <v>64095</v>
      </c>
      <c r="D107" s="38">
        <v>1.14E-2</v>
      </c>
      <c r="E107" s="39"/>
      <c r="F107" s="37" t="str">
        <f t="shared" si="0"/>
        <v xml:space="preserve"> </v>
      </c>
      <c r="G107" s="7"/>
      <c r="H107" s="7"/>
      <c r="I107" s="7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</row>
    <row r="108" spans="1:23" ht="15" hidden="1">
      <c r="A108" s="36">
        <v>64095</v>
      </c>
      <c r="B108" s="37"/>
      <c r="C108" s="36">
        <v>250095</v>
      </c>
      <c r="D108" s="38">
        <v>5.7000000000000002E-3</v>
      </c>
      <c r="E108" s="39"/>
      <c r="F108" s="37" t="str">
        <f t="shared" si="0"/>
        <v xml:space="preserve"> </v>
      </c>
      <c r="G108" s="7"/>
      <c r="H108" s="7"/>
      <c r="I108" s="7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</row>
    <row r="109" spans="1:23" ht="15" hidden="1">
      <c r="A109" s="36">
        <v>250095</v>
      </c>
      <c r="B109" s="37"/>
      <c r="C109" s="36">
        <v>999999999</v>
      </c>
      <c r="D109" s="38">
        <v>5.6999999999999998E-4</v>
      </c>
      <c r="E109" s="39"/>
      <c r="F109" s="37" t="str">
        <f t="shared" si="0"/>
        <v xml:space="preserve"> </v>
      </c>
      <c r="G109" s="7"/>
      <c r="H109" s="7"/>
      <c r="I109" s="7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</row>
    <row r="110" spans="1:23" ht="15" hidden="1">
      <c r="A110" s="40"/>
      <c r="B110" s="41"/>
      <c r="C110" s="41"/>
      <c r="D110" s="42"/>
      <c r="E110" s="43"/>
      <c r="F110" s="43"/>
      <c r="G110" s="7"/>
      <c r="H110" s="7"/>
      <c r="I110" s="7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</row>
    <row r="111" spans="1:23" ht="15" hidden="1">
      <c r="A111" s="33" t="s">
        <v>34</v>
      </c>
      <c r="B111" s="44"/>
      <c r="C111" s="41"/>
      <c r="D111" s="45"/>
      <c r="E111" s="43"/>
      <c r="F111" s="46">
        <f>SUM(F103:F110)</f>
        <v>0</v>
      </c>
      <c r="G111" s="7"/>
      <c r="H111" s="7"/>
      <c r="I111" s="7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</row>
    <row r="112" spans="1:23" hidden="1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</row>
    <row r="113" spans="1:23" hidden="1"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</row>
    <row r="114" spans="1:23" hidden="1">
      <c r="A114" s="53" t="s">
        <v>71</v>
      </c>
      <c r="B114" s="54"/>
      <c r="C114" s="54"/>
      <c r="D114" s="54"/>
      <c r="E114" s="54"/>
      <c r="F114" s="54"/>
      <c r="G114" s="54"/>
      <c r="H114" s="54"/>
      <c r="I114" s="55"/>
      <c r="J114" s="55" t="s">
        <v>72</v>
      </c>
      <c r="K114" s="55"/>
      <c r="L114" s="7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</row>
    <row r="115" spans="1:23" hidden="1">
      <c r="A115" s="56">
        <v>67.31</v>
      </c>
      <c r="B115" s="56" t="s">
        <v>73</v>
      </c>
      <c r="C115" s="56"/>
      <c r="D115" s="56"/>
      <c r="E115" s="56"/>
      <c r="F115" s="56"/>
      <c r="G115" s="56">
        <v>25000</v>
      </c>
      <c r="H115" s="56"/>
      <c r="I115" s="55"/>
      <c r="J115" s="55"/>
      <c r="K115" s="55"/>
      <c r="L115" s="7"/>
      <c r="M115" s="29"/>
      <c r="N115" s="29"/>
      <c r="O115" s="29"/>
      <c r="P115" s="29"/>
      <c r="Q115" s="29"/>
      <c r="R115" s="29"/>
      <c r="S115" s="29"/>
      <c r="T115" s="29"/>
      <c r="U115" s="25"/>
      <c r="V115" s="25"/>
      <c r="W115" s="25"/>
    </row>
    <row r="116" spans="1:23" hidden="1">
      <c r="A116" s="56">
        <v>23.56</v>
      </c>
      <c r="B116" s="56" t="s">
        <v>74</v>
      </c>
      <c r="C116" s="56"/>
      <c r="D116" s="56"/>
      <c r="E116" s="56"/>
      <c r="F116" s="56"/>
      <c r="G116" s="56">
        <v>25000</v>
      </c>
      <c r="H116" s="56" t="s">
        <v>75</v>
      </c>
      <c r="I116" s="55"/>
      <c r="J116" s="55"/>
      <c r="K116" s="55"/>
      <c r="L116" s="7"/>
      <c r="M116" s="29"/>
      <c r="N116" s="29"/>
      <c r="O116" s="29"/>
      <c r="P116" s="29"/>
      <c r="Q116" s="29"/>
      <c r="R116" s="29"/>
      <c r="S116" s="29"/>
      <c r="T116" s="29"/>
      <c r="U116" s="25"/>
      <c r="V116" s="25"/>
      <c r="W116" s="25"/>
    </row>
    <row r="117" spans="1:23" hidden="1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18">
        <f>C56-C52</f>
        <v>0</v>
      </c>
      <c r="L117" s="7"/>
      <c r="M117" s="29"/>
      <c r="N117" s="29"/>
      <c r="O117" s="29"/>
      <c r="P117" s="29"/>
      <c r="Q117" s="29"/>
      <c r="R117" s="29"/>
      <c r="S117" s="29"/>
      <c r="T117" s="29"/>
      <c r="U117" s="25"/>
      <c r="V117" s="25"/>
      <c r="W117" s="25"/>
    </row>
    <row r="118" spans="1:23" hidden="1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7"/>
      <c r="M118" s="29"/>
      <c r="N118" s="29"/>
      <c r="O118" s="29"/>
      <c r="P118" s="29"/>
      <c r="Q118" s="29"/>
      <c r="R118" s="29"/>
      <c r="S118" s="29"/>
      <c r="T118" s="29"/>
      <c r="U118" s="25"/>
      <c r="V118" s="25"/>
      <c r="W118" s="25"/>
    </row>
    <row r="119" spans="1:23" hidden="1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>
        <f>IF(K117&gt;0,K117*0.01,75)</f>
        <v>75</v>
      </c>
      <c r="L119" s="7"/>
      <c r="M119" s="29"/>
      <c r="N119" s="29"/>
      <c r="O119" s="29"/>
      <c r="P119" s="29"/>
      <c r="Q119" s="29"/>
      <c r="R119" s="29"/>
      <c r="S119" s="29"/>
      <c r="T119" s="29"/>
      <c r="U119" s="25"/>
      <c r="V119" s="25"/>
      <c r="W119" s="25"/>
    </row>
    <row r="120" spans="1:23" hidden="1">
      <c r="A120" s="55" t="s">
        <v>76</v>
      </c>
      <c r="B120" s="55"/>
      <c r="C120" s="55"/>
      <c r="D120" s="55"/>
      <c r="E120" s="55"/>
      <c r="F120" s="55"/>
      <c r="G120" s="55" t="s">
        <v>32</v>
      </c>
      <c r="H120" s="55" t="s">
        <v>77</v>
      </c>
      <c r="I120" s="55"/>
      <c r="J120" s="55"/>
      <c r="K120" s="55"/>
      <c r="L120" s="7"/>
      <c r="M120" s="29"/>
      <c r="N120" s="29"/>
      <c r="O120" s="29"/>
      <c r="P120" s="29"/>
      <c r="Q120" s="29"/>
      <c r="R120" s="29"/>
      <c r="S120" s="29"/>
      <c r="T120" s="29"/>
      <c r="U120" s="25"/>
      <c r="V120" s="25"/>
      <c r="W120" s="25"/>
    </row>
    <row r="121" spans="1:23" ht="13.5" hidden="1" thickBot="1">
      <c r="A121" s="55"/>
      <c r="B121" s="55"/>
      <c r="C121" s="55"/>
      <c r="D121" s="55"/>
      <c r="E121" s="55"/>
      <c r="F121" s="55"/>
      <c r="G121" s="18">
        <f>H60</f>
        <v>0</v>
      </c>
      <c r="H121" s="55">
        <f>IF(H60=0,575,550)</f>
        <v>575</v>
      </c>
      <c r="I121" s="55"/>
      <c r="J121" s="55"/>
      <c r="K121" s="55">
        <f>IF(K119&lt;75,75,K119)</f>
        <v>75</v>
      </c>
      <c r="L121" s="7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</row>
    <row r="122" spans="1:23" ht="13.5" hidden="1" thickBot="1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7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</row>
    <row r="123" spans="1:23" hidden="1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</row>
    <row r="124" spans="1:23" hidden="1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</row>
    <row r="125" spans="1:23" hidden="1">
      <c r="A125" s="57">
        <f>SUM(C58:C70)-C66-C68-C70</f>
        <v>1004.9999999999999</v>
      </c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</row>
    <row r="126" spans="1:23" hidden="1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</row>
    <row r="127" spans="1:23" hidden="1">
      <c r="A127" s="53" t="s">
        <v>78</v>
      </c>
      <c r="B127" s="54"/>
      <c r="C127" s="54"/>
      <c r="D127" s="54"/>
      <c r="E127" s="54"/>
      <c r="F127" s="54"/>
      <c r="G127" s="54"/>
      <c r="H127" s="54"/>
      <c r="I127" s="55"/>
      <c r="J127" s="55"/>
      <c r="K127" s="55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</row>
    <row r="128" spans="1:23" hidden="1">
      <c r="A128" s="56">
        <v>117.11</v>
      </c>
      <c r="B128" s="56" t="s">
        <v>73</v>
      </c>
      <c r="C128" s="56"/>
      <c r="D128" s="56"/>
      <c r="E128" s="56"/>
      <c r="F128" s="56"/>
      <c r="G128" s="56">
        <v>25000</v>
      </c>
      <c r="H128" s="56"/>
      <c r="I128" s="55"/>
      <c r="J128" s="55"/>
      <c r="K128" s="55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spans="1:23" hidden="1">
      <c r="A129" s="56">
        <v>23.56</v>
      </c>
      <c r="B129" s="56" t="s">
        <v>74</v>
      </c>
      <c r="C129" s="56"/>
      <c r="D129" s="56"/>
      <c r="E129" s="56"/>
      <c r="F129" s="56"/>
      <c r="G129" s="56">
        <v>25000</v>
      </c>
      <c r="H129" s="56" t="s">
        <v>75</v>
      </c>
      <c r="I129" s="55"/>
      <c r="J129" s="55"/>
      <c r="K129" s="55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1:23" hidden="1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hidden="1">
      <c r="A131" s="55"/>
      <c r="B131" s="68">
        <f>IF(B14="ja",-1500,0)</f>
        <v>0</v>
      </c>
      <c r="C131" s="68">
        <f>IF(AND(B12="ja",B14="ja"),-750,0)</f>
        <v>0</v>
      </c>
      <c r="D131" s="68"/>
      <c r="E131" s="68"/>
      <c r="F131" s="68">
        <f>IF(AND(B14="ja",B15="ja"),-1000,0)</f>
        <v>0</v>
      </c>
      <c r="G131" s="68"/>
      <c r="H131" s="68"/>
      <c r="I131" s="55"/>
      <c r="J131" s="55"/>
      <c r="K131" s="55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spans="1:23" hidden="1">
      <c r="A132" s="55"/>
      <c r="B132" s="68">
        <f>IF(B14="ja",-750,0)</f>
        <v>0</v>
      </c>
      <c r="C132" s="68">
        <f>IF(AND(B12="neen",B14="ja"),-1500,0)</f>
        <v>0</v>
      </c>
      <c r="D132" s="68"/>
      <c r="E132" s="68"/>
      <c r="F132" s="68">
        <f>-F131</f>
        <v>0</v>
      </c>
      <c r="G132" s="68">
        <f>IF(F132&gt;(D21+D22+D24-50),-(D21+D22+D24-50),F131)</f>
        <v>50</v>
      </c>
      <c r="H132" s="68">
        <f>IF(G132=50,0,G132)</f>
        <v>0</v>
      </c>
      <c r="I132" s="55"/>
      <c r="J132" s="55"/>
      <c r="K132" s="55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spans="1:23" hidden="1">
      <c r="A133" s="55"/>
      <c r="B133" s="68"/>
      <c r="C133" s="68">
        <f>SUM(C131:C132)</f>
        <v>0</v>
      </c>
      <c r="D133" s="68">
        <f>IF(C135&gt;(D21+D22-50),-(D21+D22-50),C133)</f>
        <v>50</v>
      </c>
      <c r="E133" s="68">
        <f>IF(D133=50,0,D133)</f>
        <v>0</v>
      </c>
      <c r="F133" s="68"/>
      <c r="G133" s="68"/>
      <c r="H133" s="68"/>
      <c r="I133" s="55"/>
      <c r="J133" s="55"/>
      <c r="K133" s="55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spans="1:23" hidden="1">
      <c r="A134" s="55"/>
      <c r="B134" s="68"/>
      <c r="C134" s="68"/>
      <c r="D134" s="68"/>
      <c r="E134" s="68"/>
      <c r="F134" s="68"/>
      <c r="G134" s="68"/>
      <c r="H134" s="68"/>
      <c r="I134" s="55"/>
      <c r="J134" s="55"/>
      <c r="K134" s="55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spans="1:23" hidden="1">
      <c r="A135" s="55"/>
      <c r="B135" s="68"/>
      <c r="C135" s="68">
        <f>-C133</f>
        <v>0</v>
      </c>
      <c r="D135" s="68"/>
      <c r="E135" s="68"/>
      <c r="F135" s="68"/>
      <c r="G135" s="68"/>
      <c r="H135" s="68"/>
      <c r="I135" s="55"/>
      <c r="J135" s="55"/>
      <c r="K135" s="55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spans="1:23" hidden="1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spans="1:23" hidden="1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spans="1:23" hidden="1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1:23" hidden="1">
      <c r="A139" s="55"/>
      <c r="B139" s="55"/>
      <c r="C139" s="55"/>
      <c r="D139" s="55"/>
      <c r="E139" s="55"/>
      <c r="F139" s="55"/>
      <c r="G139" s="55"/>
      <c r="H139" s="18">
        <f>ROUNDUP(B61+B62,-2)</f>
        <v>200</v>
      </c>
      <c r="I139" s="55"/>
      <c r="J139" s="55"/>
      <c r="K139" s="55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1:23" hidden="1">
      <c r="A140" s="55"/>
      <c r="B140" s="55"/>
      <c r="C140" s="55"/>
      <c r="D140" s="55"/>
      <c r="E140" s="55"/>
      <c r="F140" s="55"/>
      <c r="G140" s="55"/>
      <c r="H140" s="55">
        <f>IF((H139-B61-B62)&gt;90,H139-50,H139)</f>
        <v>200</v>
      </c>
      <c r="I140" s="55"/>
      <c r="J140" s="55"/>
      <c r="K140" s="55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spans="1:23" hidden="1">
      <c r="A141" s="55"/>
      <c r="B141" s="55"/>
      <c r="C141" s="55"/>
      <c r="D141" s="55"/>
      <c r="E141" s="55"/>
      <c r="F141" s="55"/>
      <c r="G141" s="55"/>
      <c r="H141" s="55">
        <f>IF((H140-B61-B62)&lt;30,(B61+B62+30),H140)</f>
        <v>214.42000000000002</v>
      </c>
      <c r="I141" s="55"/>
      <c r="J141" s="55"/>
      <c r="K141" s="55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spans="1:23" hidden="1">
      <c r="A142" s="55"/>
      <c r="B142" s="55"/>
      <c r="C142" s="55"/>
      <c r="D142" s="55"/>
      <c r="E142" s="55"/>
      <c r="F142" s="55"/>
      <c r="G142" s="55"/>
      <c r="H142" s="55">
        <f>ROUNDUP(H141,-1)</f>
        <v>220</v>
      </c>
      <c r="I142" s="55"/>
      <c r="J142" s="55"/>
      <c r="K142" s="55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spans="1:23" hidden="1"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1:23" hidden="1"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1:23" hidden="1"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1:23" hidden="1"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1:23" hidden="1"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1:23" hidden="1"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1:23" hidden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1:23" hidden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1:23" hidden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1:23" hidden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1:23" hidden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1:23" hidden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1:23" hidden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1:23" hidden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1:23" hidden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hidden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hidden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hidden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hidden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 hidden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 hidden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 ht="15" hidden="1">
      <c r="A164" s="58" t="s">
        <v>53</v>
      </c>
      <c r="B164" s="58"/>
      <c r="C164" s="58"/>
      <c r="D164" s="58"/>
      <c r="E164" s="58"/>
      <c r="F164" s="58"/>
      <c r="G164" s="59">
        <f>C56</f>
        <v>0</v>
      </c>
      <c r="H164" s="60"/>
      <c r="I164" s="41"/>
      <c r="J164" s="55"/>
      <c r="K164" s="55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t="15" hidden="1">
      <c r="A165" s="61">
        <v>0</v>
      </c>
      <c r="B165" s="60"/>
      <c r="C165" s="60"/>
      <c r="D165" s="60"/>
      <c r="E165" s="60"/>
      <c r="F165" s="60"/>
      <c r="G165" s="61">
        <v>7500</v>
      </c>
      <c r="H165" s="62">
        <v>8.5500000000000003E-3</v>
      </c>
      <c r="I165" s="62"/>
      <c r="J165" s="61">
        <f>IF(C56&lt;G165,C56*H165,G165*H165)</f>
        <v>0</v>
      </c>
      <c r="K165" s="55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t="15" hidden="1">
      <c r="A166" s="61">
        <v>7500</v>
      </c>
      <c r="B166" s="60"/>
      <c r="C166" s="60"/>
      <c r="D166" s="60"/>
      <c r="E166" s="60"/>
      <c r="F166" s="60"/>
      <c r="G166" s="61">
        <v>17500</v>
      </c>
      <c r="H166" s="62">
        <v>6.8399999999999997E-3</v>
      </c>
      <c r="I166" s="62"/>
      <c r="J166" s="60" t="str">
        <f>IF(C56&lt;=A166," ",IF(C56&lt;G166,(C56-G165)*H166,(G166-A166)*H166))</f>
        <v xml:space="preserve"> </v>
      </c>
      <c r="K166" s="55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t="15" hidden="1">
      <c r="A167" s="61">
        <v>17500</v>
      </c>
      <c r="B167" s="60"/>
      <c r="C167" s="60"/>
      <c r="D167" s="60"/>
      <c r="E167" s="60"/>
      <c r="F167" s="60"/>
      <c r="G167" s="61">
        <v>30000</v>
      </c>
      <c r="H167" s="62">
        <v>4.5599999999999998E-3</v>
      </c>
      <c r="I167" s="62"/>
      <c r="J167" s="60" t="str">
        <f>IF(C56&lt;=A167," ",IF(C56&lt;G167,(C56-G166)*H167,(G167-A167)*H167))</f>
        <v xml:space="preserve"> </v>
      </c>
      <c r="K167" s="55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t="15" hidden="1">
      <c r="A168" s="61">
        <v>30000</v>
      </c>
      <c r="B168" s="60"/>
      <c r="C168" s="60"/>
      <c r="D168" s="60"/>
      <c r="E168" s="60"/>
      <c r="F168" s="60"/>
      <c r="G168" s="61">
        <v>45495</v>
      </c>
      <c r="H168" s="62">
        <v>3.4199999999999999E-3</v>
      </c>
      <c r="I168" s="62"/>
      <c r="J168" s="60" t="str">
        <f>IF(C56&lt;=A168," ",IF(C56&lt;G168,(C56-G167)*H168,(G168-A168)*H168))</f>
        <v xml:space="preserve"> </v>
      </c>
      <c r="K168" s="55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t="15" hidden="1">
      <c r="A169" s="61">
        <v>45495</v>
      </c>
      <c r="B169" s="60"/>
      <c r="C169" s="60"/>
      <c r="D169" s="60"/>
      <c r="E169" s="60"/>
      <c r="F169" s="60"/>
      <c r="G169" s="61">
        <v>64095</v>
      </c>
      <c r="H169" s="62">
        <v>2.2799999999999999E-3</v>
      </c>
      <c r="I169" s="62"/>
      <c r="J169" s="60" t="str">
        <f>IF(C56&lt;=A169," ",IF(C56&lt;G169,(C56-G168)*H169,(G169-A169)*H169))</f>
        <v xml:space="preserve"> </v>
      </c>
      <c r="K169" s="55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t="15" hidden="1">
      <c r="A170" s="61">
        <v>64095</v>
      </c>
      <c r="B170" s="60"/>
      <c r="C170" s="60"/>
      <c r="D170" s="60"/>
      <c r="E170" s="60"/>
      <c r="F170" s="60"/>
      <c r="G170" s="61">
        <v>250095</v>
      </c>
      <c r="H170" s="62">
        <v>1.14E-3</v>
      </c>
      <c r="I170" s="62"/>
      <c r="J170" s="60" t="str">
        <f>IF(C56&lt;=A170," ",IF(C56&lt;G170,(C56-G169)*H170,(G170-A170)*H170))</f>
        <v xml:space="preserve"> </v>
      </c>
      <c r="K170" s="55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t="15" hidden="1">
      <c r="A171" s="61">
        <v>250095</v>
      </c>
      <c r="B171" s="60"/>
      <c r="C171" s="60"/>
      <c r="D171" s="60"/>
      <c r="E171" s="60"/>
      <c r="F171" s="60"/>
      <c r="G171" s="61">
        <f>$H$8</f>
        <v>0</v>
      </c>
      <c r="H171" s="63">
        <v>3.4200000000000002E-4</v>
      </c>
      <c r="I171" s="62"/>
      <c r="J171" s="60" t="str">
        <f>IF(C56&lt;=A171," ",IF(C56&lt;G171,(C56-G170)*H171,(G171-A171)*H171))</f>
        <v xml:space="preserve"> </v>
      </c>
      <c r="K171" s="55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t="15" hidden="1">
      <c r="A172" s="59">
        <v>10075000</v>
      </c>
      <c r="B172" s="59"/>
      <c r="C172" s="59"/>
      <c r="D172" s="59"/>
      <c r="E172" s="59"/>
      <c r="F172" s="59"/>
      <c r="G172" s="59">
        <f>G164</f>
        <v>0</v>
      </c>
      <c r="H172" s="63">
        <v>4.5600000000000003E-4</v>
      </c>
      <c r="I172" s="59" t="str">
        <f>IF(G164&lt;=A172," E90",IF(G164&lt;G172,(G164-G171)*H172,(G172-A172)*H172))</f>
        <v xml:space="preserve"> E90</v>
      </c>
      <c r="J172" s="55"/>
      <c r="K172" s="55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t="15" hidden="1">
      <c r="A173" s="41"/>
      <c r="B173" s="41"/>
      <c r="C173" s="41"/>
      <c r="D173" s="41"/>
      <c r="E173" s="41"/>
      <c r="F173" s="41"/>
      <c r="G173" s="41"/>
      <c r="H173" s="41"/>
      <c r="I173" s="41"/>
      <c r="J173" s="55"/>
      <c r="K173" s="55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t="15" hidden="1">
      <c r="A174" s="44" t="s">
        <v>34</v>
      </c>
      <c r="B174" s="44"/>
      <c r="C174" s="44"/>
      <c r="D174" s="44"/>
      <c r="E174" s="44"/>
      <c r="F174" s="44"/>
      <c r="G174" s="41"/>
      <c r="H174" s="41"/>
      <c r="I174" s="64">
        <f>SUM(J165:J172)</f>
        <v>0</v>
      </c>
      <c r="J174" s="55"/>
      <c r="K174" s="55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t="15" hidden="1">
      <c r="A175" s="44"/>
      <c r="B175" s="44"/>
      <c r="C175" s="44"/>
      <c r="D175" s="44"/>
      <c r="E175" s="44"/>
      <c r="F175" s="44"/>
      <c r="G175" s="41"/>
      <c r="H175" s="41"/>
      <c r="I175" s="64"/>
      <c r="J175" s="55"/>
      <c r="K175" s="55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t="15" hidden="1">
      <c r="A176" s="58" t="s">
        <v>53</v>
      </c>
      <c r="B176" s="58"/>
      <c r="C176" s="58"/>
      <c r="D176" s="58"/>
      <c r="E176" s="58"/>
      <c r="F176" s="58"/>
      <c r="G176" s="59">
        <f>C52</f>
        <v>0</v>
      </c>
      <c r="H176" s="60"/>
      <c r="I176" s="41"/>
      <c r="J176" s="55"/>
      <c r="K176" s="55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t="15" hidden="1">
      <c r="A177" s="61">
        <v>0</v>
      </c>
      <c r="B177" s="60"/>
      <c r="C177" s="60"/>
      <c r="D177" s="60"/>
      <c r="E177" s="60"/>
      <c r="F177" s="60"/>
      <c r="G177" s="61">
        <v>7500</v>
      </c>
      <c r="H177" s="62">
        <v>8.5500000000000003E-3</v>
      </c>
      <c r="I177" s="62"/>
      <c r="J177" s="61">
        <f>IF(C52&lt;G177,C52*H177,G177*H177)</f>
        <v>0</v>
      </c>
      <c r="K177" s="55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t="15" hidden="1">
      <c r="A178" s="61">
        <v>7500</v>
      </c>
      <c r="B178" s="60"/>
      <c r="C178" s="60"/>
      <c r="D178" s="60"/>
      <c r="E178" s="60"/>
      <c r="F178" s="60"/>
      <c r="G178" s="61">
        <v>17500</v>
      </c>
      <c r="H178" s="62">
        <v>6.8399999999999997E-3</v>
      </c>
      <c r="I178" s="62"/>
      <c r="J178" s="60" t="str">
        <f>IF(C52&lt;=A178," ",IF(C52&lt;G178,(C52-G177)*H178,(G178-A178)*H178))</f>
        <v xml:space="preserve"> </v>
      </c>
      <c r="K178" s="55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t="15" hidden="1">
      <c r="A179" s="61">
        <v>17500</v>
      </c>
      <c r="B179" s="60"/>
      <c r="C179" s="60"/>
      <c r="D179" s="60"/>
      <c r="E179" s="60"/>
      <c r="F179" s="60"/>
      <c r="G179" s="61">
        <v>30000</v>
      </c>
      <c r="H179" s="62">
        <v>4.5599999999999998E-3</v>
      </c>
      <c r="I179" s="62"/>
      <c r="J179" s="60" t="str">
        <f>IF(C52&lt;=A179," ",IF(C52&lt;G179,(C52-G178)*H179,(G179-A179)*H179))</f>
        <v xml:space="preserve"> </v>
      </c>
      <c r="K179" s="55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t="15" hidden="1">
      <c r="A180" s="61">
        <v>30000</v>
      </c>
      <c r="B180" s="60"/>
      <c r="C180" s="60"/>
      <c r="D180" s="60"/>
      <c r="E180" s="60"/>
      <c r="F180" s="60"/>
      <c r="G180" s="61">
        <v>45495</v>
      </c>
      <c r="H180" s="62">
        <v>3.4199999999999999E-3</v>
      </c>
      <c r="I180" s="62"/>
      <c r="J180" s="60" t="str">
        <f>IF(C52&lt;=A180," ",IF(C52&lt;G180,(C52-G179)*H180,(G180-A180)*H180))</f>
        <v xml:space="preserve"> </v>
      </c>
      <c r="K180" s="55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t="15" hidden="1">
      <c r="A181" s="61">
        <v>45495</v>
      </c>
      <c r="B181" s="60"/>
      <c r="C181" s="60"/>
      <c r="D181" s="60"/>
      <c r="E181" s="60"/>
      <c r="F181" s="60"/>
      <c r="G181" s="61">
        <v>64095</v>
      </c>
      <c r="H181" s="62">
        <v>2.2799999999999999E-3</v>
      </c>
      <c r="I181" s="62"/>
      <c r="J181" s="60" t="str">
        <f>IF(C52&lt;=A181," ",IF(C52&lt;G181,(C52-G180)*H181,(G181-A181)*H181))</f>
        <v xml:space="preserve"> </v>
      </c>
      <c r="K181" s="55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t="15" hidden="1">
      <c r="A182" s="61">
        <v>64095</v>
      </c>
      <c r="B182" s="60"/>
      <c r="C182" s="60"/>
      <c r="D182" s="60"/>
      <c r="E182" s="60"/>
      <c r="F182" s="60"/>
      <c r="G182" s="61">
        <v>250095</v>
      </c>
      <c r="H182" s="62">
        <v>1.14E-3</v>
      </c>
      <c r="I182" s="62"/>
      <c r="J182" s="60" t="str">
        <f>IF(C52&lt;=A182," ",IF(C52&lt;G182,(C52-G181)*H182,(G182-A182)*H182))</f>
        <v xml:space="preserve"> </v>
      </c>
      <c r="K182" s="55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t="15" hidden="1">
      <c r="A183" s="61">
        <v>250095</v>
      </c>
      <c r="B183" s="60"/>
      <c r="C183" s="60"/>
      <c r="D183" s="60"/>
      <c r="E183" s="60"/>
      <c r="F183" s="60"/>
      <c r="G183" s="61">
        <f>$H$8</f>
        <v>0</v>
      </c>
      <c r="H183" s="63">
        <v>3.4200000000000002E-4</v>
      </c>
      <c r="I183" s="62"/>
      <c r="J183" s="60" t="str">
        <f>IF(C52&lt;=A183," ",IF(C52&lt;G183,(C52-G182)*H183,(G183-A183)*H183))</f>
        <v xml:space="preserve"> </v>
      </c>
      <c r="K183" s="55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t="15" hidden="1">
      <c r="A184" s="59">
        <v>10075000</v>
      </c>
      <c r="B184" s="59"/>
      <c r="C184" s="59"/>
      <c r="D184" s="59"/>
      <c r="E184" s="59"/>
      <c r="F184" s="59"/>
      <c r="G184" s="59">
        <f>G176</f>
        <v>0</v>
      </c>
      <c r="H184" s="63">
        <v>4.5600000000000003E-4</v>
      </c>
      <c r="I184" s="59" t="str">
        <f>IF(G176&lt;=A184," E90",IF(G176&lt;G184,(G176-G183)*H184,(G184-A184)*H184))</f>
        <v xml:space="preserve"> E90</v>
      </c>
      <c r="J184" s="55"/>
      <c r="K184" s="55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t="15" hidden="1">
      <c r="A185" s="41"/>
      <c r="B185" s="41"/>
      <c r="C185" s="41"/>
      <c r="D185" s="41"/>
      <c r="E185" s="41"/>
      <c r="F185" s="41"/>
      <c r="G185" s="41"/>
      <c r="H185" s="41"/>
      <c r="I185" s="41"/>
      <c r="J185" s="55"/>
      <c r="K185" s="55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t="15" hidden="1">
      <c r="A186" s="44" t="s">
        <v>34</v>
      </c>
      <c r="B186" s="44"/>
      <c r="C186" s="44"/>
      <c r="D186" s="44"/>
      <c r="E186" s="44"/>
      <c r="F186" s="44"/>
      <c r="G186" s="41"/>
      <c r="H186" s="41"/>
      <c r="I186" s="64">
        <f>SUM(J177:J184)</f>
        <v>0</v>
      </c>
      <c r="J186" s="55"/>
      <c r="K186" s="55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idden="1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idden="1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t="15" hidden="1">
      <c r="A189" s="58" t="s">
        <v>53</v>
      </c>
      <c r="B189" s="58"/>
      <c r="C189" s="58"/>
      <c r="D189" s="58"/>
      <c r="E189" s="58"/>
      <c r="F189" s="58"/>
      <c r="G189" s="59">
        <f>C56</f>
        <v>0</v>
      </c>
      <c r="H189" s="60"/>
      <c r="I189" s="41"/>
      <c r="J189" s="55"/>
      <c r="K189" s="55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t="15" hidden="1">
      <c r="A190" s="61">
        <v>0</v>
      </c>
      <c r="B190" s="60"/>
      <c r="C190" s="60"/>
      <c r="D190" s="60"/>
      <c r="E190" s="60"/>
      <c r="F190" s="60"/>
      <c r="G190" s="61">
        <v>7500</v>
      </c>
      <c r="H190" s="62">
        <v>1.7100000000000001E-2</v>
      </c>
      <c r="I190" s="62"/>
      <c r="J190" s="61">
        <f>IF(C56&lt;G190,C56*H190,G190*H190)</f>
        <v>0</v>
      </c>
      <c r="K190" s="55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t="15" hidden="1">
      <c r="A191" s="61">
        <v>7500</v>
      </c>
      <c r="B191" s="60"/>
      <c r="C191" s="60"/>
      <c r="D191" s="60"/>
      <c r="E191" s="60"/>
      <c r="F191" s="60"/>
      <c r="G191" s="61">
        <v>17500</v>
      </c>
      <c r="H191" s="62">
        <v>1.3679999999999999E-2</v>
      </c>
      <c r="I191" s="62"/>
      <c r="J191" s="60" t="str">
        <f>IF(C56&lt;=A191," ",IF(C56&lt;G191,(C56-G190)*H191,(G191-A191)*H191))</f>
        <v xml:space="preserve"> </v>
      </c>
      <c r="K191" s="55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t="15" hidden="1">
      <c r="A192" s="61">
        <v>17500</v>
      </c>
      <c r="B192" s="60"/>
      <c r="C192" s="60"/>
      <c r="D192" s="60"/>
      <c r="E192" s="60"/>
      <c r="F192" s="60"/>
      <c r="G192" s="61">
        <v>30000</v>
      </c>
      <c r="H192" s="62">
        <v>9.1199999999999996E-3</v>
      </c>
      <c r="I192" s="62"/>
      <c r="J192" s="60" t="str">
        <f>IF(C56&lt;=A192," ",IF(C56&lt;G192,(C56-G191)*H192,(G192-A192)*H192))</f>
        <v xml:space="preserve"> </v>
      </c>
      <c r="K192" s="55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t="15" hidden="1">
      <c r="A193" s="61">
        <v>30000</v>
      </c>
      <c r="B193" s="60"/>
      <c r="C193" s="60"/>
      <c r="D193" s="60"/>
      <c r="E193" s="60"/>
      <c r="F193" s="60"/>
      <c r="G193" s="61">
        <v>45495</v>
      </c>
      <c r="H193" s="62">
        <v>6.8399999999999997E-3</v>
      </c>
      <c r="I193" s="62"/>
      <c r="J193" s="60" t="str">
        <f>IF(C56&lt;=A193," ",IF(C56&lt;G193,(C56-G192)*H193,(G193-A193)*H193))</f>
        <v xml:space="preserve"> </v>
      </c>
      <c r="K193" s="55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t="15" hidden="1">
      <c r="A194" s="61">
        <v>45495</v>
      </c>
      <c r="B194" s="60"/>
      <c r="C194" s="60"/>
      <c r="D194" s="60"/>
      <c r="E194" s="60"/>
      <c r="F194" s="60"/>
      <c r="G194" s="61">
        <v>64095</v>
      </c>
      <c r="H194" s="62">
        <v>4.5599999999999998E-3</v>
      </c>
      <c r="I194" s="62"/>
      <c r="J194" s="60" t="str">
        <f>IF(C56&lt;=A194," ",IF(C56&lt;G194,(C56-G193)*H194,(G194-A194)*H194))</f>
        <v xml:space="preserve"> </v>
      </c>
      <c r="K194" s="55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t="15" hidden="1">
      <c r="A195" s="61">
        <v>64095</v>
      </c>
      <c r="B195" s="60"/>
      <c r="C195" s="60"/>
      <c r="D195" s="60"/>
      <c r="E195" s="60"/>
      <c r="F195" s="60"/>
      <c r="G195" s="61">
        <v>250095</v>
      </c>
      <c r="H195" s="62">
        <v>2.2799999999999999E-3</v>
      </c>
      <c r="I195" s="62"/>
      <c r="J195" s="60" t="str">
        <f>IF(C56&lt;=A195," ",IF(C56&lt;G195,(C56-G194)*H195,(G195-A195)*H195))</f>
        <v xml:space="preserve"> </v>
      </c>
      <c r="K195" s="55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t="15" hidden="1">
      <c r="A196" s="61">
        <v>250095</v>
      </c>
      <c r="B196" s="60"/>
      <c r="C196" s="60"/>
      <c r="D196" s="60"/>
      <c r="E196" s="60"/>
      <c r="F196" s="60"/>
      <c r="G196" s="61">
        <f>$H$8</f>
        <v>0</v>
      </c>
      <c r="H196" s="63">
        <v>4.5600000000000003E-4</v>
      </c>
      <c r="I196" s="62"/>
      <c r="J196" s="60" t="str">
        <f>IF(C56&lt;=A196," ",IF(C56&lt;G196,(C56-G195)*H196,(G196-A196)*H196))</f>
        <v xml:space="preserve"> </v>
      </c>
      <c r="K196" s="55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t="15" hidden="1">
      <c r="A197" s="59">
        <v>10075000</v>
      </c>
      <c r="B197" s="59"/>
      <c r="C197" s="59"/>
      <c r="D197" s="59"/>
      <c r="E197" s="59"/>
      <c r="F197" s="59"/>
      <c r="G197" s="59">
        <f>G189</f>
        <v>0</v>
      </c>
      <c r="H197" s="63">
        <v>4.5600000000000003E-4</v>
      </c>
      <c r="I197" s="59" t="str">
        <f>IF(G189&lt;=A197," E90",IF(G189&lt;G197,(_C178C185)*H197,(G197-A197)*H197))</f>
        <v xml:space="preserve"> E90</v>
      </c>
      <c r="J197" s="55"/>
      <c r="K197" s="55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t="15" hidden="1">
      <c r="A198" s="41"/>
      <c r="B198" s="41"/>
      <c r="C198" s="41"/>
      <c r="D198" s="41"/>
      <c r="E198" s="41"/>
      <c r="F198" s="41"/>
      <c r="G198" s="41"/>
      <c r="H198" s="41"/>
      <c r="I198" s="41"/>
      <c r="J198" s="55"/>
      <c r="K198" s="55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t="15" hidden="1">
      <c r="A199" s="44" t="s">
        <v>34</v>
      </c>
      <c r="B199" s="44"/>
      <c r="C199" s="44"/>
      <c r="D199" s="44"/>
      <c r="E199" s="44"/>
      <c r="F199" s="44"/>
      <c r="G199" s="41"/>
      <c r="H199" s="41"/>
      <c r="I199" s="64">
        <f>SUM(J190:J197)</f>
        <v>0</v>
      </c>
      <c r="J199" s="55"/>
      <c r="K199" s="55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idden="1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idden="1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t="15" hidden="1">
      <c r="A202" s="58" t="s">
        <v>53</v>
      </c>
      <c r="B202" s="58"/>
      <c r="C202" s="58"/>
      <c r="D202" s="58"/>
      <c r="E202" s="58"/>
      <c r="F202" s="58"/>
      <c r="G202" s="59">
        <f>C52</f>
        <v>0</v>
      </c>
      <c r="H202" s="60"/>
      <c r="I202" s="41"/>
      <c r="J202" s="55"/>
      <c r="K202" s="55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t="15" hidden="1">
      <c r="A203" s="61">
        <v>0</v>
      </c>
      <c r="B203" s="60"/>
      <c r="C203" s="60"/>
      <c r="D203" s="60"/>
      <c r="E203" s="60"/>
      <c r="F203" s="60"/>
      <c r="G203" s="61">
        <v>7500</v>
      </c>
      <c r="H203" s="62">
        <v>1.7100000000000001E-2</v>
      </c>
      <c r="I203" s="62"/>
      <c r="J203" s="61">
        <f>IF(C52&lt;G203,C52*H203,G203*H203)</f>
        <v>0</v>
      </c>
      <c r="K203" s="55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t="15" hidden="1">
      <c r="A204" s="61">
        <v>7500</v>
      </c>
      <c r="B204" s="60"/>
      <c r="C204" s="60"/>
      <c r="D204" s="60"/>
      <c r="E204" s="60"/>
      <c r="F204" s="60"/>
      <c r="G204" s="61">
        <v>17500</v>
      </c>
      <c r="H204" s="62">
        <v>1.3679999999999999E-2</v>
      </c>
      <c r="I204" s="62"/>
      <c r="J204" s="60" t="str">
        <f>IF(C52&lt;=A204," ",IF(C52&lt;G204,(C52-G203)*H204,(G204-A204)*H204))</f>
        <v xml:space="preserve"> </v>
      </c>
      <c r="K204" s="55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t="15" hidden="1">
      <c r="A205" s="61">
        <v>17500</v>
      </c>
      <c r="B205" s="60"/>
      <c r="C205" s="60"/>
      <c r="D205" s="60"/>
      <c r="E205" s="60"/>
      <c r="F205" s="60"/>
      <c r="G205" s="61">
        <v>30000</v>
      </c>
      <c r="H205" s="62">
        <v>9.1199999999999996E-3</v>
      </c>
      <c r="I205" s="62"/>
      <c r="J205" s="60" t="str">
        <f>IF(C52&lt;=A205," ",IF(C52&lt;G205,(C52-G204)*H205,(G205-A205)*H205))</f>
        <v xml:space="preserve"> </v>
      </c>
      <c r="K205" s="55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t="15" hidden="1">
      <c r="A206" s="61">
        <v>30000</v>
      </c>
      <c r="B206" s="60"/>
      <c r="C206" s="60"/>
      <c r="D206" s="60"/>
      <c r="E206" s="60"/>
      <c r="F206" s="60"/>
      <c r="G206" s="61">
        <v>45495</v>
      </c>
      <c r="H206" s="62">
        <v>6.8399999999999997E-3</v>
      </c>
      <c r="I206" s="62"/>
      <c r="J206" s="60" t="str">
        <f>IF(C52&lt;=A206," ",IF(C52&lt;G206,(C52-G205)*H206,(G206-A206)*H206))</f>
        <v xml:space="preserve"> </v>
      </c>
      <c r="K206" s="55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t="15" hidden="1">
      <c r="A207" s="61">
        <v>45495</v>
      </c>
      <c r="B207" s="60"/>
      <c r="C207" s="60"/>
      <c r="D207" s="60"/>
      <c r="E207" s="60"/>
      <c r="F207" s="60"/>
      <c r="G207" s="61">
        <v>64095</v>
      </c>
      <c r="H207" s="62">
        <v>4.5599999999999998E-3</v>
      </c>
      <c r="I207" s="62"/>
      <c r="J207" s="60" t="str">
        <f>IF(C52&lt;=A207," ",IF(C52&lt;G207,(C52-G206)*H207,(G207-A207)*H207))</f>
        <v xml:space="preserve"> </v>
      </c>
      <c r="K207" s="55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t="15" hidden="1">
      <c r="A208" s="61">
        <v>64095</v>
      </c>
      <c r="B208" s="60"/>
      <c r="C208" s="60"/>
      <c r="D208" s="60"/>
      <c r="E208" s="60"/>
      <c r="F208" s="60"/>
      <c r="G208" s="61">
        <v>250095</v>
      </c>
      <c r="H208" s="62">
        <v>2.2799999999999999E-3</v>
      </c>
      <c r="I208" s="62"/>
      <c r="J208" s="60" t="str">
        <f>IF(C52&lt;=A208," ",IF(C52&lt;G208,(C52-G207)*H208,(G208-A208)*H208))</f>
        <v xml:space="preserve"> </v>
      </c>
      <c r="K208" s="55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t="15" hidden="1">
      <c r="A209" s="61">
        <v>250095</v>
      </c>
      <c r="B209" s="60"/>
      <c r="C209" s="60"/>
      <c r="D209" s="60"/>
      <c r="E209" s="60"/>
      <c r="F209" s="60"/>
      <c r="G209" s="61">
        <f>$H$8</f>
        <v>0</v>
      </c>
      <c r="H209" s="63">
        <v>4.5600000000000003E-4</v>
      </c>
      <c r="I209" s="62"/>
      <c r="J209" s="60" t="str">
        <f>IF(C52&lt;=A209," ",IF(C52&lt;G209,(C52-G208)*H209,(G209-A209)*H209))</f>
        <v xml:space="preserve"> </v>
      </c>
      <c r="K209" s="55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t="15" hidden="1">
      <c r="A210" s="59">
        <v>10075000</v>
      </c>
      <c r="B210" s="59"/>
      <c r="C210" s="59"/>
      <c r="D210" s="59"/>
      <c r="E210" s="59"/>
      <c r="F210" s="59"/>
      <c r="G210" s="59">
        <f>G202</f>
        <v>0</v>
      </c>
      <c r="H210" s="63">
        <v>4.5600000000000003E-4</v>
      </c>
      <c r="I210" s="59" t="str">
        <f>IF(G202&lt;=A210," E90",IF(G202&lt;G210,(G202-G209)*H210,(G210-A210)*H210))</f>
        <v xml:space="preserve"> E90</v>
      </c>
      <c r="J210" s="55"/>
      <c r="K210" s="55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t="15" hidden="1">
      <c r="A211" s="41"/>
      <c r="B211" s="41"/>
      <c r="C211" s="41"/>
      <c r="D211" s="41"/>
      <c r="E211" s="41"/>
      <c r="F211" s="41"/>
      <c r="G211" s="41"/>
      <c r="H211" s="41"/>
      <c r="I211" s="41"/>
      <c r="J211" s="55"/>
      <c r="K211" s="55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t="15" hidden="1">
      <c r="A212" s="44" t="s">
        <v>34</v>
      </c>
      <c r="B212" s="44"/>
      <c r="C212" s="44"/>
      <c r="D212" s="44"/>
      <c r="E212" s="44"/>
      <c r="F212" s="44"/>
      <c r="G212" s="41"/>
      <c r="H212" s="41"/>
      <c r="I212" s="64">
        <f>SUM(J203:J210)</f>
        <v>0</v>
      </c>
      <c r="J212" s="55"/>
      <c r="K212" s="55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idden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idden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idden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idden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idden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idden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idden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idden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idden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idden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idden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idden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idden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>
      <c r="A244" s="7"/>
      <c r="B244" s="7"/>
      <c r="C244" s="7"/>
      <c r="D244" s="7"/>
      <c r="E244" s="7"/>
      <c r="F244" s="7"/>
      <c r="G244" s="7"/>
    </row>
  </sheetData>
  <sheetProtection algorithmName="SHA-512" hashValue="PGwzRVh8l4IgtPYgarkdlG7iVnuL0jfh0bCD0an2Q7dgpWD6jG/yk5Pm6hV5apo4Rk8+qBFoDPSCYmTnVKzK2A==" saltValue="TgAKUFgarWQ2ixhTBiptOw==" spinCount="100000" sheet="1" objects="1" scenarios="1"/>
  <phoneticPr fontId="0" type="noConversion"/>
  <dataValidations count="5">
    <dataValidation type="list" allowBlank="1" showInputMessage="1" showErrorMessage="1" sqref="B14">
      <formula1>$G$95:$G$96</formula1>
    </dataValidation>
    <dataValidation type="list" allowBlank="1" showInputMessage="1" showErrorMessage="1" sqref="B15">
      <formula1>$H$95:$H$96</formula1>
    </dataValidation>
    <dataValidation type="list" allowBlank="1" showInputMessage="1" showErrorMessage="1" sqref="B12">
      <formula1>$F$95:$F$96</formula1>
    </dataValidation>
    <dataValidation type="list" allowBlank="1" showInputMessage="1" showErrorMessage="1" sqref="B7">
      <formula1>$K$95:$K$96</formula1>
    </dataValidation>
    <dataValidation type="list" allowBlank="1" showInputMessage="1" showErrorMessage="1" sqref="B16">
      <formula1>$F$95:$F$96</formula1>
    </dataValidation>
  </dataValidations>
  <hyperlinks>
    <hyperlink ref="D82" r:id="rId1"/>
    <hyperlink ref="D80" r:id="rId2"/>
    <hyperlink ref="C80" r:id="rId3"/>
    <hyperlink ref="C84" r:id="rId4"/>
    <hyperlink ref="C82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VKVBTWBREYNEPW</vt:lpstr>
      <vt:lpstr>VKVBTWBREYNEPW!_1._Zegels_Minuut_Brevet</vt:lpstr>
      <vt:lpstr>VKVBTWBREYNEPW!_2._Registratie_Minuut_Brevet</vt:lpstr>
      <vt:lpstr>VKVBTWBREYNEPW!_3._Registratie_aanhangsel</vt:lpstr>
      <vt:lpstr>VKVBTWBREYNEPW!Aard</vt:lpstr>
      <vt:lpstr>VKVBTWBREYNEPW!Afdrukbereik</vt:lpstr>
      <vt:lpstr>VKVBTWBREYNEPW!Datum</vt:lpstr>
      <vt:lpstr>VKVBTWBREYNEPW!KOSTENFICHE</vt:lpstr>
      <vt:lpstr>VKVBTWBREYNEPW!Rep.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2014-11-15T16:50:56Z</dcterms:modified>
</cp:coreProperties>
</file>