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PWHV" sheetId="1" r:id="rId1"/>
  </sheets>
  <definedNames>
    <definedName name="_1._Zegels_Minuut_Brevet" localSheetId="0">VKVBTWBREYNEPWHV!$A$20:$F$20</definedName>
    <definedName name="_1._Zegels_Minuut_Brevet">#REF!</definedName>
    <definedName name="_10._Tweede_getuigschrift" localSheetId="0">VKVBTWBREYNEPWHV!#REF!</definedName>
    <definedName name="_10._Tweede_getuigschrift">#REF!</definedName>
    <definedName name="_11._Kadaster_uittreksel" localSheetId="0">VKVBTWBREYNEPWHV!#REF!</definedName>
    <definedName name="_11._Kadaster_uittreksel">#REF!</definedName>
    <definedName name="_12._Getuigen" localSheetId="0">VKVBTWBREYNEPWHV!#REF!</definedName>
    <definedName name="_12._Getuigen">#REF!</definedName>
    <definedName name="_13._Allerlei_uitgaven" localSheetId="0">VKVBTWBREYNEPWHV!#REF!</definedName>
    <definedName name="_13._Allerlei_uitgaven">#REF!</definedName>
    <definedName name="_14." localSheetId="0">VKVBTWBREYNEPWHV!#REF!</definedName>
    <definedName name="_14.">#REF!</definedName>
    <definedName name="_15." localSheetId="0">VKVBTWBREYNEPWHV!#REF!</definedName>
    <definedName name="_15.">#REF!</definedName>
    <definedName name="_2._Registratie_Minuut_Brevet" localSheetId="0">VKVBTWBREYNEPWHV!$B$27:$G$27</definedName>
    <definedName name="_2._Registratie_Minuut_Brevet">#REF!</definedName>
    <definedName name="_3._Registratie_aanhangsel" localSheetId="0">VKVBTWBREYNEPWHV!$E$28:$G$28</definedName>
    <definedName name="_3._Registratie_aanhangsel">#REF!</definedName>
    <definedName name="_4.Zegels_afschrift_grosse" localSheetId="0">VKVBTWBREYNEPWHV!#REF!</definedName>
    <definedName name="_4.Zegels_afschrift_grosse">#REF!</definedName>
    <definedName name="_5._Hypotheek__inschr._overschr._doorh." localSheetId="0">VKVBTWBREYNEPWHV!#REF!</definedName>
    <definedName name="_5._Hypotheek__inschr._overschr._doorh.">#REF!</definedName>
    <definedName name="_6._Loon_pandbewaarder" localSheetId="0">VKVBTWBREYNEPWHV!#REF!</definedName>
    <definedName name="_6._Loon_pandbewaarder">#REF!</definedName>
    <definedName name="_7._Zegels__bord._aanh." localSheetId="0">VKVBTWBREYNEPWHV!#REF!</definedName>
    <definedName name="_7._Zegels__bord._aanh.">#REF!</definedName>
    <definedName name="_8._Opzoekingen" localSheetId="0">VKVBTWBREYNEPWHV!#REF!</definedName>
    <definedName name="_8._Opzoekingen">#REF!</definedName>
    <definedName name="_9._Hypothecair_getuigschrift" localSheetId="0">VKVBTWBREYNEPWHV!#REF!</definedName>
    <definedName name="_9._Hypothecair_getuigschrift">#REF!</definedName>
    <definedName name="Aard" localSheetId="0">VKVBTWBREYNEPWHV!$B$4:$F$4</definedName>
    <definedName name="Aard">#REF!</definedName>
    <definedName name="_xlnm.Print_Area" localSheetId="0">VKVBTWBREYNEPWHV!$A$1:$E$47</definedName>
    <definedName name="Datum" localSheetId="0">VKVBTWBREYNEPWHV!$B$4:$G$44</definedName>
    <definedName name="Datum">#REF!</definedName>
    <definedName name="gemeentelijke_info">#REF!</definedName>
    <definedName name="Kantoor_van_Notaris_J._SIMONART_te_Leuven" localSheetId="0">VKVBTWBREYNEPWHV!#REF!</definedName>
    <definedName name="Kantoor_van_Notaris_J._SIMONART_te_Leuven">#REF!</definedName>
    <definedName name="KOSTENFICHE" localSheetId="0">VKVBTWBREYNEPWHV!$A$1:$G$44</definedName>
    <definedName name="KOSTENFICHE">#REF!</definedName>
    <definedName name="Last_Row">IF(Values_Entered,Header_Row+Number_of_Payments,Header_Row)</definedName>
    <definedName name="Naam" localSheetId="0">VKVBTWBREYNEPWHV!#REF!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VKVBTWBREYNEPWHV!$F$4:$F$46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VKVBTWBREYNEPWHV!#REF!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VKVBTWBREYNEPWHV!$A$3:$G$44</definedName>
  </definedNames>
  <calcPr calcId="152511"/>
</workbook>
</file>

<file path=xl/calcChain.xml><?xml version="1.0" encoding="utf-8"?>
<calcChain xmlns="http://schemas.openxmlformats.org/spreadsheetml/2006/main">
  <c r="D41" i="1" l="1"/>
  <c r="C132" i="1"/>
  <c r="B132" i="1"/>
  <c r="F131" i="1"/>
  <c r="F132" i="1" s="1"/>
  <c r="C131" i="1"/>
  <c r="C133" i="1" s="1"/>
  <c r="C135" i="1" s="1"/>
  <c r="B131" i="1"/>
  <c r="K113" i="1"/>
  <c r="J113" i="1"/>
  <c r="I115" i="1" s="1"/>
  <c r="C91" i="1" s="1"/>
  <c r="I113" i="1"/>
  <c r="B84" i="1"/>
  <c r="G125" i="1" s="1"/>
  <c r="B62" i="1"/>
  <c r="G256" i="1"/>
  <c r="G243" i="1"/>
  <c r="G230" i="1"/>
  <c r="G218" i="1"/>
  <c r="H174" i="1"/>
  <c r="G174" i="1"/>
  <c r="C70" i="1"/>
  <c r="C68" i="1"/>
  <c r="C66" i="1"/>
  <c r="B61" i="1"/>
  <c r="C56" i="1"/>
  <c r="J215" i="1" s="1"/>
  <c r="C52" i="1"/>
  <c r="J224" i="1" s="1"/>
  <c r="D22" i="1"/>
  <c r="D21" i="1"/>
  <c r="C140" i="1"/>
  <c r="C139" i="1"/>
  <c r="B10" i="1"/>
  <c r="F162" i="1" s="1"/>
  <c r="F164" i="1" s="1"/>
  <c r="D20" i="1" s="1"/>
  <c r="D32" i="1" s="1"/>
  <c r="F156" i="1"/>
  <c r="D26" i="1"/>
  <c r="D28" i="1"/>
  <c r="B139" i="1"/>
  <c r="B140" i="1"/>
  <c r="F161" i="1"/>
  <c r="F159" i="1"/>
  <c r="F160" i="1"/>
  <c r="F158" i="1"/>
  <c r="F157" i="1"/>
  <c r="D44" i="1"/>
  <c r="D43" i="1"/>
  <c r="D46" i="1" s="1"/>
  <c r="D133" i="1" l="1"/>
  <c r="E133" i="1" s="1"/>
  <c r="D24" i="1" s="1"/>
  <c r="D23" i="1"/>
  <c r="G127" i="1"/>
  <c r="G121" i="1"/>
  <c r="G123" i="1"/>
  <c r="G122" i="1"/>
  <c r="J217" i="1"/>
  <c r="H186" i="1"/>
  <c r="H187" i="1" s="1"/>
  <c r="H188" i="1" s="1"/>
  <c r="H189" i="1" s="1"/>
  <c r="J243" i="1"/>
  <c r="J240" i="1"/>
  <c r="G211" i="1"/>
  <c r="J213" i="1"/>
  <c r="J241" i="1"/>
  <c r="J237" i="1"/>
  <c r="J212" i="1"/>
  <c r="J218" i="1"/>
  <c r="J242" i="1"/>
  <c r="J238" i="1"/>
  <c r="G223" i="1"/>
  <c r="J229" i="1"/>
  <c r="J228" i="1"/>
  <c r="K170" i="1"/>
  <c r="K172" i="1" s="1"/>
  <c r="K174" i="1" s="1"/>
  <c r="C59" i="1" s="1"/>
  <c r="J256" i="1"/>
  <c r="J253" i="1"/>
  <c r="G249" i="1"/>
  <c r="G257" i="1" s="1"/>
  <c r="J251" i="1"/>
  <c r="J225" i="1"/>
  <c r="J250" i="1"/>
  <c r="J255" i="1"/>
  <c r="J254" i="1"/>
  <c r="G132" i="1"/>
  <c r="H132" i="1" s="1"/>
  <c r="D25" i="1" s="1"/>
  <c r="D31" i="1" s="1"/>
  <c r="D34" i="1" s="1"/>
  <c r="C93" i="1"/>
  <c r="E94" i="1" s="1"/>
  <c r="E119" i="1"/>
  <c r="I257" i="1"/>
  <c r="J214" i="1"/>
  <c r="G236" i="1"/>
  <c r="J239" i="1"/>
  <c r="J226" i="1"/>
  <c r="J227" i="1"/>
  <c r="B63" i="1"/>
  <c r="C64" i="1" s="1"/>
  <c r="A178" i="1" s="1"/>
  <c r="C72" i="1" s="1"/>
  <c r="E73" i="1" s="1"/>
  <c r="J252" i="1"/>
  <c r="J230" i="1"/>
  <c r="I233" i="1" s="1"/>
  <c r="G124" i="1"/>
  <c r="G126" i="1"/>
  <c r="J216" i="1"/>
  <c r="C162" i="1"/>
  <c r="I246" i="1" l="1"/>
  <c r="E58" i="1" s="1"/>
  <c r="I221" i="1"/>
  <c r="I219" i="1"/>
  <c r="G219" i="1"/>
  <c r="I259" i="1"/>
  <c r="I231" i="1"/>
  <c r="G231" i="1"/>
  <c r="K129" i="1"/>
  <c r="K130" i="1" s="1"/>
  <c r="E88" i="1" s="1"/>
  <c r="I244" i="1"/>
  <c r="G244" i="1"/>
  <c r="E93" i="1" l="1"/>
  <c r="E95" i="1" s="1"/>
  <c r="E97" i="1"/>
  <c r="E59" i="1"/>
  <c r="E76" i="1" s="1"/>
  <c r="E72" i="1"/>
  <c r="E74" i="1" s="1"/>
  <c r="E78" i="1" s="1"/>
  <c r="E99" i="1" l="1"/>
</calcChain>
</file>

<file path=xl/sharedStrings.xml><?xml version="1.0" encoding="utf-8"?>
<sst xmlns="http://schemas.openxmlformats.org/spreadsheetml/2006/main" count="145" uniqueCount="90">
  <si>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</si>
  <si>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</si>
  <si>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</si>
  <si>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</si>
  <si>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</si>
  <si>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</si>
  <si>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</si>
  <si>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</si>
  <si>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</si>
  <si>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</si>
  <si>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</si>
  <si>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</si>
  <si>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</si>
  <si>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</si>
  <si>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</si>
  <si>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</si>
  <si>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</si>
  <si>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</si>
  <si>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</si>
  <si>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</si>
  <si>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</si>
  <si>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</si>
  <si>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</si>
  <si>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</si>
  <si>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</si>
  <si>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</si>
  <si>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</si>
  <si>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</si>
  <si>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</si>
  <si>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</si>
  <si>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</si>
  <si>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</si>
  <si>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</si>
  <si>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</si>
  <si>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</si>
  <si>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</si>
  <si>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</si>
  <si>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</si>
  <si>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</si>
  <si>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</si>
  <si>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</si>
  <si>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</si>
  <si>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</si>
  <si>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</si>
  <si>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</si>
  <si>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</si>
  <si>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</si>
  <si>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</si>
  <si>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</si>
  <si>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PANDWISSEL BIJ AANKOOP</t>
  </si>
  <si>
    <t>Oude inschrijving</t>
  </si>
  <si>
    <t>Hoofdsom</t>
  </si>
  <si>
    <t>Aanhor.</t>
  </si>
  <si>
    <t>Basis</t>
  </si>
  <si>
    <t>Nieuwe inschrijving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</si>
  <si>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</si>
  <si>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</si>
  <si>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</si>
  <si>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</si>
  <si>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</si>
  <si>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</si>
  <si>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</si>
  <si>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</si>
  <si>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</si>
  <si>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6. Stedenbouwkundige info of uittreksel</t>
  </si>
  <si>
    <t>Totaal uitgaven</t>
  </si>
  <si>
    <t>Totaal</t>
  </si>
  <si>
    <t>Tot. Uitg.</t>
  </si>
  <si>
    <t>Samen</t>
  </si>
  <si>
    <t>plus BTW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</si>
  <si>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</si>
  <si>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</si>
  <si>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</si>
  <si>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</si>
  <si>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</si>
  <si>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</si>
  <si>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</si>
  <si>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</si>
  <si>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Loon hypotheekbewaarder doorhaling</t>
  </si>
  <si>
    <t>Hoeveel hypotheekkantoren?</t>
  </si>
  <si>
    <t>Recht op geschriften</t>
  </si>
  <si>
    <t>Registratierecht akte</t>
  </si>
  <si>
    <t>Registratierecht bijlagen</t>
  </si>
  <si>
    <t>Tarief</t>
  </si>
  <si>
    <t>Ereloon G</t>
  </si>
  <si>
    <t>Lening</t>
  </si>
  <si>
    <t>Hypothecaire volmacht</t>
  </si>
  <si>
    <t>HYPOTHECAIRE VOLMACHT</t>
  </si>
  <si>
    <t>VERKOOP ONROEREND GOED WET BREYNE - VLAANDEREN + HYPOTHEEKRUIL + HYPOTHECAIRE VOLMACHT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</si>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</sst>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  <numFmt numFmtId="180" formatCode="0.0000%"/>
    <numFmt numFmtId="181" formatCode="#,##0.000000_ ;\-#,##0.000000\ 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sz val="9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4"/>
      <color theme="0"/>
      <name val="Arial"/>
      <family val="2"/>
    </font>
    <font>
      <b/>
      <sz val="14"/>
      <color theme="0"/>
      <name val="Arial"/>
      <family val="2"/>
    </font>
    <font>
      <b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7" fillId="0" borderId="0">
      <protection locked="0"/>
    </xf>
    <xf numFmtId="171" fontId="1" fillId="0" borderId="0" applyFont="0" applyFill="0" applyBorder="0" applyAlignment="0" applyProtection="0"/>
    <xf numFmtId="172" fontId="7" fillId="0" borderId="0">
      <protection locked="0"/>
    </xf>
    <xf numFmtId="173" fontId="1" fillId="0" borderId="0" applyFont="0" applyFill="0" applyBorder="0" applyAlignment="0" applyProtection="0"/>
    <xf numFmtId="174" fontId="7" fillId="0" borderId="0">
      <protection locked="0"/>
    </xf>
    <xf numFmtId="175" fontId="7" fillId="0" borderId="0">
      <protection locked="0"/>
    </xf>
    <xf numFmtId="176" fontId="8" fillId="0" borderId="0">
      <protection locked="0"/>
    </xf>
    <xf numFmtId="176" fontId="8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7" fillId="0" borderId="0">
      <protection locked="0"/>
    </xf>
    <xf numFmtId="0" fontId="9" fillId="0" borderId="0"/>
    <xf numFmtId="0" fontId="13" fillId="0" borderId="0"/>
    <xf numFmtId="0" fontId="1" fillId="0" borderId="0"/>
    <xf numFmtId="0" fontId="13" fillId="0" borderId="0"/>
    <xf numFmtId="176" fontId="7" fillId="0" borderId="1">
      <protection locked="0"/>
    </xf>
    <xf numFmtId="0" fontId="18" fillId="0" borderId="16" applyNumberFormat="0" applyFill="0" applyAlignment="0" applyProtection="0"/>
  </cellStyleXfs>
  <cellXfs count="123">
    <xf numFmtId="0" fontId="0" fillId="0" borderId="0" xfId="0"/>
    <xf numFmtId="0" fontId="1" fillId="4" borderId="0" xfId="13" applyFill="1"/>
    <xf numFmtId="0" fontId="2" fillId="4" borderId="0" xfId="13" applyFon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protection hidden="1"/>
    </xf>
    <xf numFmtId="0" fontId="1" fillId="4" borderId="0" xfId="13" applyNumberFormat="1" applyFill="1" applyBorder="1" applyAlignment="1" applyProtection="1"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6" fontId="1" fillId="4" borderId="0" xfId="13" applyNumberFormat="1" applyFill="1" applyBorder="1" applyAlignment="1" applyProtection="1"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165" fontId="1" fillId="4" borderId="0" xfId="13" applyNumberFormat="1" applyFont="1" applyFill="1" applyBorder="1" applyAlignment="1" applyProtection="1">
      <protection hidden="1"/>
    </xf>
    <xf numFmtId="0" fontId="2" fillId="4" borderId="0" xfId="13" quotePrefix="1" applyFont="1" applyFill="1" applyBorder="1" applyAlignment="1" applyProtection="1">
      <alignment horizontal="left"/>
      <protection hidden="1"/>
    </xf>
    <xf numFmtId="0" fontId="2" fillId="4" borderId="2" xfId="13" applyFont="1" applyFill="1" applyBorder="1" applyAlignment="1" applyProtection="1">
      <alignment horizontal="left"/>
      <protection hidden="1"/>
    </xf>
    <xf numFmtId="166" fontId="1" fillId="4" borderId="0" xfId="13" applyNumberFormat="1" applyFill="1" applyBorder="1" applyAlignment="1" applyProtection="1">
      <alignment horizontal="left"/>
      <protection hidden="1"/>
    </xf>
    <xf numFmtId="0" fontId="1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1" fillId="4" borderId="0" xfId="13" applyFill="1" applyBorder="1"/>
    <xf numFmtId="0" fontId="1" fillId="4" borderId="0" xfId="13" applyFont="1" applyFill="1" applyBorder="1" applyProtection="1">
      <protection hidden="1"/>
    </xf>
    <xf numFmtId="166" fontId="1" fillId="4" borderId="0" xfId="13" applyNumberFormat="1" applyFill="1" applyBorder="1" applyProtection="1">
      <protection hidden="1"/>
    </xf>
    <xf numFmtId="0" fontId="1" fillId="4" borderId="2" xfId="13" applyFill="1" applyBorder="1" applyAlignment="1" applyProtection="1">
      <alignment horizontal="left"/>
      <protection hidden="1"/>
    </xf>
    <xf numFmtId="0" fontId="1" fillId="4" borderId="0" xfId="13" applyFont="1" applyFill="1" applyProtection="1">
      <protection hidden="1"/>
    </xf>
    <xf numFmtId="166" fontId="1" fillId="4" borderId="0" xfId="13" applyNumberFormat="1" applyFill="1" applyProtection="1">
      <protection hidden="1"/>
    </xf>
    <xf numFmtId="0" fontId="1" fillId="4" borderId="3" xfId="13" applyFill="1" applyBorder="1" applyAlignment="1" applyProtection="1">
      <alignment horizontal="left"/>
      <protection hidden="1"/>
    </xf>
    <xf numFmtId="0" fontId="1" fillId="4" borderId="4" xfId="13" applyFill="1" applyBorder="1" applyAlignment="1" applyProtection="1">
      <alignment horizontal="left"/>
      <protection hidden="1"/>
    </xf>
    <xf numFmtId="0" fontId="1" fillId="4" borderId="5" xfId="13" applyFont="1" applyFill="1" applyBorder="1" applyProtection="1">
      <protection hidden="1"/>
    </xf>
    <xf numFmtId="0" fontId="1" fillId="4" borderId="6" xfId="13" applyFill="1" applyBorder="1" applyAlignment="1" applyProtection="1">
      <alignment horizontal="left"/>
      <protection hidden="1"/>
    </xf>
    <xf numFmtId="0" fontId="3" fillId="4" borderId="0" xfId="9" applyFill="1" applyAlignment="1" applyProtection="1"/>
    <xf numFmtId="0" fontId="3" fillId="4" borderId="0" xfId="9" applyFill="1" applyAlignment="1" applyProtection="1">
      <protection hidden="1"/>
    </xf>
    <xf numFmtId="3" fontId="1" fillId="4" borderId="0" xfId="13" applyNumberFormat="1" applyFont="1" applyFill="1"/>
    <xf numFmtId="3" fontId="1" fillId="4" borderId="0" xfId="13" applyNumberFormat="1" applyFont="1" applyFill="1" applyProtection="1">
      <protection hidden="1"/>
    </xf>
    <xf numFmtId="166" fontId="1" fillId="4" borderId="0" xfId="13" applyNumberFormat="1" applyFont="1" applyFill="1" applyProtection="1">
      <protection hidden="1"/>
    </xf>
    <xf numFmtId="0" fontId="11" fillId="4" borderId="0" xfId="12" applyFont="1" applyFill="1"/>
    <xf numFmtId="3" fontId="1" fillId="4" borderId="0" xfId="13" applyNumberFormat="1" applyFont="1" applyFill="1" applyProtection="1"/>
    <xf numFmtId="0" fontId="1" fillId="4" borderId="0" xfId="13" applyFill="1" applyProtection="1"/>
    <xf numFmtId="3" fontId="1" fillId="4" borderId="0" xfId="13" quotePrefix="1" applyNumberFormat="1" applyFont="1" applyFill="1" applyAlignment="1" applyProtection="1">
      <alignment horizontal="left"/>
      <protection hidden="1"/>
    </xf>
    <xf numFmtId="3" fontId="1" fillId="4" borderId="7" xfId="13" applyNumberFormat="1" applyFont="1" applyFill="1" applyBorder="1" applyProtection="1">
      <protection hidden="1"/>
    </xf>
    <xf numFmtId="168" fontId="4" fillId="4" borderId="8" xfId="13" applyNumberFormat="1" applyFont="1" applyFill="1" applyBorder="1" applyAlignment="1" applyProtection="1">
      <alignment horizontal="center"/>
      <protection hidden="1"/>
    </xf>
    <xf numFmtId="0" fontId="4" fillId="4" borderId="8" xfId="13" applyFont="1" applyFill="1" applyBorder="1" applyAlignment="1" applyProtection="1">
      <alignment horizontal="center"/>
      <protection hidden="1"/>
    </xf>
    <xf numFmtId="0" fontId="4" fillId="4" borderId="9" xfId="13" applyFont="1" applyFill="1" applyBorder="1" applyAlignment="1" applyProtection="1">
      <alignment horizontal="center"/>
      <protection hidden="1"/>
    </xf>
    <xf numFmtId="167" fontId="5" fillId="4" borderId="8" xfId="13" applyNumberFormat="1" applyFont="1" applyFill="1" applyBorder="1" applyProtection="1">
      <protection hidden="1"/>
    </xf>
    <xf numFmtId="168" fontId="5" fillId="4" borderId="8" xfId="13" applyNumberFormat="1" applyFont="1" applyFill="1" applyBorder="1" applyProtection="1">
      <protection hidden="1"/>
    </xf>
    <xf numFmtId="169" fontId="5" fillId="4" borderId="8" xfId="13" applyNumberFormat="1" applyFont="1" applyFill="1" applyBorder="1" applyProtection="1">
      <protection hidden="1"/>
    </xf>
    <xf numFmtId="169" fontId="5" fillId="4" borderId="9" xfId="13" applyNumberFormat="1" applyFont="1" applyFill="1" applyBorder="1" applyProtection="1">
      <protection hidden="1"/>
    </xf>
    <xf numFmtId="0" fontId="5" fillId="4" borderId="10" xfId="13" applyFont="1" applyFill="1" applyBorder="1" applyProtection="1">
      <protection hidden="1"/>
    </xf>
    <xf numFmtId="0" fontId="5" fillId="4" borderId="0" xfId="13" applyFont="1" applyFill="1" applyBorder="1" applyProtection="1">
      <protection hidden="1"/>
    </xf>
    <xf numFmtId="0" fontId="6" fillId="4" borderId="11" xfId="13" applyFont="1" applyFill="1" applyBorder="1" applyProtection="1">
      <protection hidden="1"/>
    </xf>
    <xf numFmtId="0" fontId="5" fillId="4" borderId="0" xfId="13" applyFont="1" applyFill="1" applyProtection="1">
      <protection hidden="1"/>
    </xf>
    <xf numFmtId="168" fontId="4" fillId="4" borderId="0" xfId="13" applyNumberFormat="1" applyFont="1" applyFill="1" applyBorder="1" applyAlignment="1" applyProtection="1">
      <alignment horizontal="center"/>
      <protection hidden="1"/>
    </xf>
    <xf numFmtId="0" fontId="5" fillId="4" borderId="11" xfId="13" applyFont="1" applyFill="1" applyBorder="1" applyProtection="1">
      <protection hidden="1"/>
    </xf>
    <xf numFmtId="167" fontId="4" fillId="4" borderId="8" xfId="13" applyNumberFormat="1" applyFont="1" applyFill="1" applyBorder="1" applyProtection="1">
      <protection hidden="1"/>
    </xf>
    <xf numFmtId="0" fontId="14" fillId="5" borderId="12" xfId="13" applyFont="1" applyFill="1" applyBorder="1" applyAlignment="1" applyProtection="1">
      <alignment horizontal="left"/>
      <protection hidden="1"/>
    </xf>
    <xf numFmtId="0" fontId="15" fillId="5" borderId="12" xfId="13" applyFont="1" applyFill="1" applyBorder="1" applyAlignment="1" applyProtection="1">
      <alignment horizontal="left"/>
      <protection hidden="1"/>
    </xf>
    <xf numFmtId="0" fontId="2" fillId="6" borderId="13" xfId="13" applyFont="1" applyFill="1" applyBorder="1" applyAlignment="1" applyProtection="1">
      <alignment horizontal="left"/>
      <protection hidden="1"/>
    </xf>
    <xf numFmtId="3" fontId="3" fillId="4" borderId="0" xfId="9" applyNumberFormat="1" applyFill="1" applyAlignment="1" applyProtection="1"/>
    <xf numFmtId="0" fontId="12" fillId="7" borderId="0" xfId="13" applyFont="1" applyFill="1" applyBorder="1" applyAlignment="1" applyProtection="1">
      <alignment horizontal="left"/>
      <protection hidden="1"/>
    </xf>
    <xf numFmtId="0" fontId="12" fillId="7" borderId="0" xfId="13" applyFont="1" applyFill="1" applyBorder="1" applyAlignment="1" applyProtection="1">
      <alignment horizontal="right"/>
      <protection hidden="1"/>
    </xf>
    <xf numFmtId="0" fontId="1" fillId="4" borderId="0" xfId="13" applyFill="1" applyBorder="1" applyProtection="1">
      <protection hidden="1"/>
    </xf>
    <xf numFmtId="0" fontId="1" fillId="4" borderId="0" xfId="13" applyFill="1" applyBorder="1" applyAlignment="1" applyProtection="1">
      <protection hidden="1"/>
    </xf>
    <xf numFmtId="165" fontId="1" fillId="4" borderId="0" xfId="13" applyNumberFormat="1" applyFill="1" applyBorder="1" applyProtection="1">
      <protection hidden="1"/>
    </xf>
    <xf numFmtId="0" fontId="4" fillId="4" borderId="0" xfId="13" applyFont="1" applyFill="1" applyBorder="1" applyAlignment="1" applyProtection="1">
      <alignment horizontal="left"/>
      <protection hidden="1"/>
    </xf>
    <xf numFmtId="179" fontId="5" fillId="4" borderId="0" xfId="13" applyNumberFormat="1" applyFont="1" applyFill="1" applyBorder="1" applyProtection="1">
      <protection hidden="1"/>
    </xf>
    <xf numFmtId="168" fontId="5" fillId="4" borderId="0" xfId="13" applyNumberFormat="1" applyFont="1" applyFill="1" applyBorder="1" applyProtection="1">
      <protection hidden="1"/>
    </xf>
    <xf numFmtId="167" fontId="5" fillId="4" borderId="0" xfId="13" applyNumberFormat="1" applyFont="1" applyFill="1" applyBorder="1" applyProtection="1">
      <protection hidden="1"/>
    </xf>
    <xf numFmtId="169" fontId="5" fillId="4" borderId="0" xfId="13" applyNumberFormat="1" applyFont="1" applyFill="1" applyBorder="1" applyProtection="1">
      <protection hidden="1"/>
    </xf>
    <xf numFmtId="180" fontId="5" fillId="4" borderId="0" xfId="13" applyNumberFormat="1" applyFont="1" applyFill="1" applyBorder="1" applyProtection="1">
      <protection hidden="1"/>
    </xf>
    <xf numFmtId="167" fontId="4" fillId="4" borderId="0" xfId="13" applyNumberFormat="1" applyFont="1" applyFill="1" applyBorder="1" applyProtection="1">
      <protection hidden="1"/>
    </xf>
    <xf numFmtId="164" fontId="1" fillId="4" borderId="0" xfId="13" applyNumberFormat="1" applyFill="1"/>
    <xf numFmtId="164" fontId="1" fillId="4" borderId="0" xfId="13" applyNumberFormat="1" applyFill="1" applyProtection="1">
      <protection hidden="1"/>
    </xf>
    <xf numFmtId="0" fontId="16" fillId="4" borderId="0" xfId="13" applyFont="1" applyFill="1" applyAlignment="1" applyProtection="1">
      <alignment vertical="center"/>
      <protection hidden="1"/>
    </xf>
    <xf numFmtId="164" fontId="1" fillId="8" borderId="0" xfId="13" applyNumberFormat="1" applyFill="1"/>
    <xf numFmtId="0" fontId="17" fillId="5" borderId="0" xfId="13" applyFont="1" applyFill="1" applyAlignment="1" applyProtection="1">
      <alignment horizontal="left" vertical="center"/>
      <protection hidden="1"/>
    </xf>
    <xf numFmtId="0" fontId="17" fillId="5" borderId="0" xfId="13" applyFont="1" applyFill="1" applyAlignment="1" applyProtection="1">
      <alignment vertical="center"/>
      <protection hidden="1"/>
    </xf>
    <xf numFmtId="181" fontId="1" fillId="4" borderId="0" xfId="13" applyNumberFormat="1" applyFill="1"/>
    <xf numFmtId="164" fontId="1" fillId="2" borderId="0" xfId="13" applyNumberFormat="1" applyFill="1" applyBorder="1" applyAlignment="1" applyProtection="1">
      <alignment horizontal="left"/>
      <protection hidden="1"/>
    </xf>
    <xf numFmtId="3" fontId="1" fillId="8" borderId="0" xfId="13" applyNumberFormat="1" applyFont="1" applyFill="1"/>
    <xf numFmtId="0" fontId="1" fillId="8" borderId="0" xfId="13" applyFill="1" applyProtection="1">
      <protection hidden="1"/>
    </xf>
    <xf numFmtId="0" fontId="1" fillId="8" borderId="0" xfId="13" applyFill="1"/>
    <xf numFmtId="166" fontId="1" fillId="8" borderId="0" xfId="13" applyNumberFormat="1" applyFill="1" applyProtection="1">
      <protection hidden="1"/>
    </xf>
    <xf numFmtId="0" fontId="1" fillId="8" borderId="0" xfId="13" applyFont="1" applyFill="1" applyProtection="1">
      <protection hidden="1"/>
    </xf>
    <xf numFmtId="166" fontId="1" fillId="8" borderId="0" xfId="13" applyNumberFormat="1" applyFill="1" applyBorder="1" applyProtection="1">
      <protection hidden="1"/>
    </xf>
    <xf numFmtId="0" fontId="1" fillId="9" borderId="0" xfId="13" applyFill="1" applyBorder="1" applyAlignment="1" applyProtection="1">
      <alignment horizontal="left"/>
      <protection hidden="1"/>
    </xf>
    <xf numFmtId="0" fontId="1" fillId="10" borderId="0" xfId="13" applyFont="1" applyFill="1" applyBorder="1" applyAlignment="1" applyProtection="1">
      <alignment horizontal="center"/>
      <protection locked="0" hidden="1"/>
    </xf>
    <xf numFmtId="166" fontId="1" fillId="10" borderId="0" xfId="13" applyNumberFormat="1" applyFill="1" applyBorder="1" applyAlignment="1" applyProtection="1">
      <alignment horizontal="center"/>
      <protection locked="0" hidden="1"/>
    </xf>
    <xf numFmtId="0" fontId="1" fillId="10" borderId="0" xfId="13" applyFill="1" applyBorder="1" applyAlignment="1" applyProtection="1">
      <alignment horizontal="center"/>
      <protection locked="0" hidden="1"/>
    </xf>
    <xf numFmtId="165" fontId="1" fillId="4" borderId="14" xfId="13" applyNumberFormat="1" applyFont="1" applyFill="1" applyBorder="1" applyAlignment="1" applyProtection="1">
      <alignment horizontal="left"/>
      <protection hidden="1"/>
    </xf>
    <xf numFmtId="0" fontId="1" fillId="4" borderId="14" xfId="13" applyFont="1" applyFill="1" applyBorder="1" applyAlignment="1" applyProtection="1">
      <alignment horizontal="left"/>
      <protection hidden="1"/>
    </xf>
    <xf numFmtId="0" fontId="1" fillId="4" borderId="14" xfId="13" applyFont="1" applyFill="1" applyBorder="1" applyProtection="1">
      <protection hidden="1"/>
    </xf>
    <xf numFmtId="0" fontId="1" fillId="4" borderId="15" xfId="13" applyFont="1" applyFill="1" applyBorder="1" applyAlignment="1" applyProtection="1">
      <alignment horizontal="left"/>
      <protection hidden="1"/>
    </xf>
    <xf numFmtId="0" fontId="2" fillId="11" borderId="13" xfId="13" applyFont="1" applyFill="1" applyBorder="1" applyAlignment="1" applyProtection="1">
      <alignment horizontal="left"/>
      <protection hidden="1"/>
    </xf>
    <xf numFmtId="0" fontId="1" fillId="4" borderId="13" xfId="13" applyFont="1" applyFill="1" applyBorder="1" applyAlignment="1" applyProtection="1">
      <alignment horizontal="left"/>
      <protection hidden="1"/>
    </xf>
    <xf numFmtId="164" fontId="1" fillId="12" borderId="0" xfId="13" applyNumberFormat="1" applyFill="1"/>
    <xf numFmtId="164" fontId="1" fillId="13" borderId="0" xfId="13" applyNumberFormat="1" applyFill="1"/>
    <xf numFmtId="164" fontId="1" fillId="14" borderId="13" xfId="13" applyNumberFormat="1" applyFill="1" applyBorder="1"/>
    <xf numFmtId="0" fontId="2" fillId="10" borderId="0" xfId="13" applyNumberFormat="1" applyFont="1" applyFill="1" applyBorder="1" applyAlignment="1" applyProtection="1">
      <alignment horizontal="left"/>
      <protection locked="0"/>
    </xf>
    <xf numFmtId="0" fontId="1" fillId="9" borderId="0" xfId="13" applyFont="1" applyFill="1" applyBorder="1" applyAlignment="1" applyProtection="1">
      <alignment horizontal="left"/>
      <protection locked="0"/>
    </xf>
    <xf numFmtId="164" fontId="1" fillId="10" borderId="0" xfId="13" applyNumberFormat="1" applyFill="1" applyProtection="1">
      <protection locked="0"/>
    </xf>
    <xf numFmtId="164" fontId="1" fillId="9" borderId="0" xfId="13" applyNumberFormat="1" applyFill="1" applyProtection="1">
      <protection locked="0"/>
    </xf>
    <xf numFmtId="0" fontId="1" fillId="9" borderId="0" xfId="13" applyFill="1" applyAlignment="1" applyProtection="1">
      <alignment horizontal="center"/>
      <protection locked="0"/>
    </xf>
    <xf numFmtId="0" fontId="1" fillId="4" borderId="2" xfId="13" applyFill="1" applyBorder="1"/>
    <xf numFmtId="0" fontId="1" fillId="4" borderId="0" xfId="13" applyFill="1" applyAlignment="1">
      <alignment horizontal="right"/>
    </xf>
    <xf numFmtId="164" fontId="1" fillId="4" borderId="0" xfId="13" applyNumberFormat="1" applyFill="1" applyAlignment="1">
      <alignment horizontal="right"/>
    </xf>
    <xf numFmtId="164" fontId="1" fillId="9" borderId="0" xfId="13" applyNumberFormat="1" applyFont="1" applyFill="1" applyBorder="1" applyAlignment="1" applyProtection="1">
      <alignment horizontal="right"/>
      <protection locked="0" hidden="1"/>
    </xf>
    <xf numFmtId="164" fontId="1" fillId="15" borderId="0" xfId="13" applyNumberFormat="1" applyFont="1" applyFill="1" applyBorder="1" applyAlignment="1" applyProtection="1">
      <alignment horizontal="right"/>
      <protection locked="0" hidden="1"/>
    </xf>
    <xf numFmtId="164" fontId="1" fillId="16" borderId="0" xfId="13" applyNumberFormat="1" applyFill="1" applyBorder="1" applyAlignment="1" applyProtection="1">
      <protection locked="0" hidden="1"/>
    </xf>
    <xf numFmtId="164" fontId="1" fillId="10" borderId="0" xfId="13" applyNumberFormat="1" applyFill="1" applyBorder="1" applyAlignment="1" applyProtection="1">
      <protection locked="0" hidden="1"/>
    </xf>
    <xf numFmtId="164" fontId="1" fillId="12" borderId="0" xfId="13" applyNumberFormat="1" applyFont="1" applyFill="1" applyBorder="1" applyAlignment="1" applyProtection="1">
      <alignment horizontal="right"/>
      <protection hidden="1"/>
    </xf>
    <xf numFmtId="164" fontId="1" fillId="17" borderId="0" xfId="13" applyNumberFormat="1" applyFont="1" applyFill="1" applyBorder="1" applyAlignment="1" applyProtection="1">
      <alignment horizontal="left"/>
      <protection locked="0" hidden="1"/>
    </xf>
    <xf numFmtId="164" fontId="1" fillId="4" borderId="14" xfId="13" applyNumberFormat="1" applyFill="1" applyBorder="1" applyProtection="1">
      <protection hidden="1"/>
    </xf>
    <xf numFmtId="164" fontId="1" fillId="4" borderId="0" xfId="13" applyNumberFormat="1" applyFill="1" applyBorder="1" applyAlignment="1" applyProtection="1">
      <alignment horizontal="left"/>
      <protection hidden="1"/>
    </xf>
    <xf numFmtId="164" fontId="1" fillId="10" borderId="0" xfId="13" applyNumberFormat="1" applyFill="1" applyBorder="1" applyAlignment="1" applyProtection="1">
      <alignment horizontal="left"/>
      <protection locked="0" hidden="1"/>
    </xf>
    <xf numFmtId="164" fontId="1" fillId="10" borderId="0" xfId="13" applyNumberFormat="1" applyFill="1" applyBorder="1" applyAlignment="1" applyProtection="1">
      <alignment horizontal="left"/>
      <protection locked="0"/>
    </xf>
    <xf numFmtId="164" fontId="10" fillId="9" borderId="0" xfId="0" applyNumberFormat="1" applyFont="1" applyFill="1" applyBorder="1" applyAlignment="1" applyProtection="1">
      <alignment horizontal="left"/>
      <protection locked="0"/>
    </xf>
    <xf numFmtId="164" fontId="1" fillId="4" borderId="14" xfId="13" applyNumberFormat="1" applyFill="1" applyBorder="1" applyAlignment="1" applyProtection="1">
      <alignment horizontal="left"/>
      <protection hidden="1"/>
    </xf>
    <xf numFmtId="164" fontId="1" fillId="4" borderId="0" xfId="13" applyNumberFormat="1" applyFill="1" applyBorder="1" applyProtection="1">
      <protection hidden="1"/>
    </xf>
    <xf numFmtId="164" fontId="1" fillId="14" borderId="13" xfId="13" applyNumberFormat="1" applyFill="1" applyBorder="1" applyProtection="1">
      <protection hidden="1"/>
    </xf>
    <xf numFmtId="164" fontId="1" fillId="4" borderId="0" xfId="13" applyNumberFormat="1" applyFont="1" applyFill="1" applyProtection="1">
      <protection hidden="1"/>
    </xf>
    <xf numFmtId="164" fontId="1" fillId="10" borderId="0" xfId="13" applyNumberFormat="1" applyFill="1" applyBorder="1" applyAlignment="1" applyProtection="1">
      <alignment horizontal="left"/>
      <protection hidden="1"/>
    </xf>
    <xf numFmtId="164" fontId="1" fillId="4" borderId="14" xfId="13" applyNumberFormat="1" applyFill="1" applyBorder="1" applyAlignment="1" applyProtection="1">
      <protection hidden="1"/>
    </xf>
    <xf numFmtId="164" fontId="1" fillId="4" borderId="0" xfId="13" applyNumberFormat="1" applyFill="1" applyBorder="1" applyAlignment="1" applyProtection="1">
      <protection hidden="1"/>
    </xf>
    <xf numFmtId="164" fontId="1" fillId="11" borderId="13" xfId="13" applyNumberFormat="1" applyFill="1" applyBorder="1" applyAlignment="1" applyProtection="1">
      <protection hidden="1"/>
    </xf>
    <xf numFmtId="0" fontId="1" fillId="5" borderId="12" xfId="13" applyNumberFormat="1" applyFill="1" applyBorder="1" applyAlignment="1" applyProtection="1">
      <protection hidden="1"/>
    </xf>
    <xf numFmtId="165" fontId="1" fillId="5" borderId="12" xfId="13" applyNumberFormat="1" applyFill="1" applyBorder="1" applyAlignment="1" applyProtection="1">
      <protection hidden="1"/>
    </xf>
    <xf numFmtId="0" fontId="1" fillId="5" borderId="0" xfId="13" applyFill="1"/>
    <xf numFmtId="178" fontId="1" fillId="3" borderId="0" xfId="13" applyNumberFormat="1" applyFon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PWHVAK.xlsx" TargetMode="External"/><Relationship Id="rId2" Type="http://schemas.openxmlformats.org/officeDocument/2006/relationships/hyperlink" Target="VKVBTWBREYNEPWHVAV.xlsx" TargetMode="External"/><Relationship Id="rId1" Type="http://schemas.openxmlformats.org/officeDocument/2006/relationships/hyperlink" Target="VKVBTWBREYNEPW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PW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1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9.42578125" style="1" customWidth="1"/>
    <col min="3" max="3" width="18.28515625" style="1" customWidth="1"/>
    <col min="4" max="4" width="17" style="1" customWidth="1"/>
    <col min="5" max="5" width="16.7109375" style="1" customWidth="1"/>
    <col min="6" max="6" width="15" style="1" customWidth="1"/>
    <col min="7" max="7" width="15.85546875" style="1" bestFit="1" customWidth="1"/>
    <col min="8" max="8" width="15.7109375" style="1" customWidth="1"/>
    <col min="9" max="9" width="13.5703125" style="1" customWidth="1"/>
    <col min="10" max="10" width="11.28515625" style="1" bestFit="1" customWidth="1"/>
    <col min="11" max="16" width="9.140625" style="1"/>
    <col min="17" max="17" width="12.140625" style="1" bestFit="1" customWidth="1"/>
    <col min="18" max="16384" width="9.140625" style="1"/>
  </cols>
  <sheetData>
    <row r="1" spans="1:8" ht="27.75" customHeight="1" thickTop="1">
      <c r="A1" s="49" t="s">
        <v>88</v>
      </c>
      <c r="B1" s="50"/>
      <c r="C1" s="50"/>
      <c r="D1" s="50"/>
      <c r="E1" s="119"/>
      <c r="F1" s="120"/>
      <c r="G1" s="120"/>
      <c r="H1" s="121"/>
    </row>
    <row r="2" spans="1:8">
      <c r="A2" s="2"/>
      <c r="B2" s="2"/>
      <c r="C2" s="2"/>
      <c r="D2" s="2"/>
      <c r="E2" s="3"/>
      <c r="F2" s="3"/>
      <c r="G2" s="3"/>
    </row>
    <row r="3" spans="1:8">
      <c r="A3" s="2" t="s">
        <v>0</v>
      </c>
      <c r="B3" s="92"/>
      <c r="C3" s="2"/>
      <c r="D3" s="2"/>
      <c r="E3" s="3"/>
      <c r="F3" s="3"/>
      <c r="G3" s="4"/>
    </row>
    <row r="4" spans="1:8">
      <c r="A4" s="2" t="s">
        <v>1</v>
      </c>
      <c r="B4" s="93"/>
      <c r="C4" s="79"/>
      <c r="E4" s="6"/>
      <c r="F4" s="3"/>
    </row>
    <row r="5" spans="1:8">
      <c r="A5" s="2" t="s">
        <v>39</v>
      </c>
      <c r="B5" s="100">
        <v>0</v>
      </c>
      <c r="C5" s="5"/>
      <c r="E5" s="6"/>
      <c r="F5" s="3"/>
    </row>
    <row r="6" spans="1:8">
      <c r="A6" s="2" t="s">
        <v>40</v>
      </c>
      <c r="B6" s="101">
        <v>0</v>
      </c>
      <c r="C6" s="5"/>
      <c r="E6" s="6"/>
      <c r="F6" s="3"/>
    </row>
    <row r="7" spans="1:8">
      <c r="A7" s="2" t="s">
        <v>41</v>
      </c>
      <c r="B7" s="80" t="s">
        <v>35</v>
      </c>
      <c r="C7" s="5"/>
      <c r="E7" s="6"/>
      <c r="F7" s="3"/>
    </row>
    <row r="8" spans="1:8">
      <c r="A8" s="3" t="s">
        <v>42</v>
      </c>
      <c r="B8" s="102">
        <v>0</v>
      </c>
      <c r="C8" s="5"/>
      <c r="D8" s="3"/>
      <c r="E8" s="7"/>
      <c r="F8" s="3"/>
    </row>
    <row r="9" spans="1:8">
      <c r="A9" s="3" t="s">
        <v>3</v>
      </c>
      <c r="B9" s="103">
        <v>0</v>
      </c>
      <c r="C9" s="5"/>
      <c r="D9" s="3"/>
      <c r="E9" s="7"/>
      <c r="F9" s="3"/>
    </row>
    <row r="10" spans="1:8">
      <c r="A10" s="9" t="s">
        <v>43</v>
      </c>
      <c r="B10" s="104">
        <f>IF(B8&lt;B6,B6/2+B5+B9,B6+B5+B9)</f>
        <v>0</v>
      </c>
      <c r="C10" s="8"/>
      <c r="D10" s="3"/>
      <c r="E10" s="7"/>
      <c r="F10" s="3"/>
    </row>
    <row r="11" spans="1:8">
      <c r="A11" s="8" t="s">
        <v>4</v>
      </c>
      <c r="B11" s="102">
        <v>0</v>
      </c>
      <c r="C11" s="5"/>
      <c r="D11" s="3"/>
      <c r="E11" s="7"/>
      <c r="F11" s="3"/>
    </row>
    <row r="12" spans="1:8">
      <c r="A12" s="8" t="s">
        <v>47</v>
      </c>
      <c r="B12" s="81" t="s">
        <v>36</v>
      </c>
      <c r="C12" s="5"/>
      <c r="D12" s="3"/>
      <c r="E12" s="7"/>
      <c r="F12" s="3"/>
    </row>
    <row r="13" spans="1:8">
      <c r="A13" s="8" t="s">
        <v>5</v>
      </c>
      <c r="B13" s="105">
        <v>0</v>
      </c>
      <c r="C13" s="5"/>
      <c r="E13" s="6"/>
      <c r="F13" s="3"/>
    </row>
    <row r="14" spans="1:8">
      <c r="A14" s="8" t="s">
        <v>37</v>
      </c>
      <c r="B14" s="80" t="s">
        <v>36</v>
      </c>
      <c r="C14" s="5"/>
      <c r="D14" s="5"/>
      <c r="E14" s="9"/>
      <c r="F14" s="3"/>
      <c r="G14" s="7"/>
    </row>
    <row r="15" spans="1:8">
      <c r="A15" s="8" t="s">
        <v>38</v>
      </c>
      <c r="B15" s="80" t="s">
        <v>36</v>
      </c>
      <c r="C15" s="8"/>
      <c r="E15" s="6"/>
      <c r="F15" s="3"/>
      <c r="G15" s="3"/>
    </row>
    <row r="16" spans="1:8">
      <c r="A16" s="8" t="s">
        <v>89</v>
      </c>
      <c r="B16" s="122" t="s">
        <v>36</v>
      </c>
      <c r="C16" s="8"/>
      <c r="E16" s="6"/>
      <c r="F16" s="3"/>
      <c r="G16" s="3"/>
    </row>
    <row r="17" spans="1:7" ht="13.5" thickBot="1">
      <c r="A17" s="10" t="s">
        <v>6</v>
      </c>
      <c r="B17" s="2"/>
      <c r="C17" s="2"/>
      <c r="D17" s="2"/>
      <c r="E17" s="3"/>
      <c r="F17" s="3"/>
      <c r="G17" s="3"/>
    </row>
    <row r="18" spans="1:7" ht="14.25" thickTop="1" thickBot="1">
      <c r="A18" s="51" t="s">
        <v>7</v>
      </c>
      <c r="B18" s="11"/>
      <c r="C18" s="2"/>
      <c r="D18" s="2"/>
      <c r="E18" s="3"/>
      <c r="F18" s="3"/>
      <c r="G18" s="3"/>
    </row>
    <row r="19" spans="1:7" ht="14.25" thickTop="1" thickBot="1">
      <c r="A19" s="2"/>
      <c r="B19" s="2"/>
      <c r="C19" s="2"/>
      <c r="D19" s="2"/>
      <c r="E19" s="3"/>
      <c r="F19" s="3"/>
      <c r="G19" s="3"/>
    </row>
    <row r="20" spans="1:7" ht="14.25" thickTop="1" thickBot="1">
      <c r="A20" s="83" t="s">
        <v>8</v>
      </c>
      <c r="B20" s="2"/>
      <c r="C20" s="2"/>
      <c r="D20" s="106">
        <f>IF(AND(B12="ja",B16="ja"),F164-250,F164)</f>
        <v>0</v>
      </c>
      <c r="F20" s="6"/>
    </row>
    <row r="21" spans="1:7" ht="13.5" thickTop="1">
      <c r="A21" s="8" t="s">
        <v>9</v>
      </c>
      <c r="B21" s="5"/>
      <c r="C21" s="5"/>
      <c r="D21" s="107">
        <f>IF(B7="ja",0,B5*10/100)</f>
        <v>0</v>
      </c>
      <c r="E21" s="3"/>
      <c r="F21" s="9"/>
      <c r="G21" s="7"/>
    </row>
    <row r="22" spans="1:7">
      <c r="A22" s="8"/>
      <c r="B22" s="5" t="s">
        <v>48</v>
      </c>
      <c r="C22" s="5"/>
      <c r="D22" s="107">
        <f>IF(AND(B7="neen",B12="ja"),-B5*5/100,0)</f>
        <v>0</v>
      </c>
      <c r="E22" s="3"/>
      <c r="F22" s="9"/>
      <c r="G22" s="7"/>
    </row>
    <row r="23" spans="1:7">
      <c r="A23" s="8"/>
      <c r="B23" s="8" t="s">
        <v>10</v>
      </c>
      <c r="C23" s="5"/>
      <c r="D23" s="72">
        <f>IF(B13&gt;(D21+D22),-(D21+D22),-B13)</f>
        <v>0</v>
      </c>
      <c r="E23" s="3"/>
      <c r="F23" s="9"/>
      <c r="G23" s="7"/>
    </row>
    <row r="24" spans="1:7">
      <c r="A24" s="8"/>
      <c r="B24" s="8" t="s">
        <v>11</v>
      </c>
      <c r="C24" s="5"/>
      <c r="D24" s="65">
        <f>E133</f>
        <v>0</v>
      </c>
      <c r="E24" s="3"/>
      <c r="F24" s="9"/>
      <c r="G24" s="7"/>
    </row>
    <row r="25" spans="1:7">
      <c r="A25" s="8"/>
      <c r="B25" s="8" t="s">
        <v>12</v>
      </c>
      <c r="C25" s="5"/>
      <c r="D25" s="72">
        <f>H132</f>
        <v>0</v>
      </c>
      <c r="E25" s="3"/>
      <c r="F25" s="9"/>
      <c r="G25" s="7"/>
    </row>
    <row r="26" spans="1:7">
      <c r="A26" s="8" t="s">
        <v>17</v>
      </c>
      <c r="B26" s="8"/>
      <c r="C26" s="5"/>
      <c r="D26" s="107">
        <f>IF(B7="ja",(B5+B8)*21%,B8*21%)</f>
        <v>0</v>
      </c>
      <c r="E26" s="3"/>
      <c r="F26" s="9"/>
      <c r="G26" s="7"/>
    </row>
    <row r="27" spans="1:7">
      <c r="A27" s="5" t="s">
        <v>13</v>
      </c>
      <c r="B27" s="5"/>
      <c r="C27" s="5"/>
      <c r="D27" s="108">
        <v>0</v>
      </c>
      <c r="E27" s="3"/>
      <c r="F27" s="3"/>
      <c r="G27" s="3"/>
    </row>
    <row r="28" spans="1:7">
      <c r="A28" s="8" t="s">
        <v>14</v>
      </c>
      <c r="B28" s="82">
        <v>0</v>
      </c>
      <c r="C28" s="5"/>
      <c r="D28" s="107">
        <f>B28*30</f>
        <v>0</v>
      </c>
      <c r="E28" s="3"/>
      <c r="F28" s="3"/>
      <c r="G28" s="3"/>
    </row>
    <row r="29" spans="1:7">
      <c r="A29" s="8" t="s">
        <v>15</v>
      </c>
      <c r="B29" s="5"/>
      <c r="C29" s="5"/>
      <c r="D29" s="109">
        <v>770</v>
      </c>
      <c r="E29" s="3"/>
      <c r="F29" s="3"/>
      <c r="G29" s="3"/>
    </row>
    <row r="30" spans="1:7" ht="15.75" thickBot="1">
      <c r="A30" s="13" t="s">
        <v>44</v>
      </c>
      <c r="B30" s="14"/>
      <c r="C30" s="14"/>
      <c r="D30" s="110">
        <v>0</v>
      </c>
      <c r="E30" s="3"/>
      <c r="F30" s="3"/>
      <c r="G30" s="3"/>
    </row>
    <row r="31" spans="1:7" ht="14.25" thickTop="1" thickBot="1">
      <c r="A31" s="84" t="s">
        <v>16</v>
      </c>
      <c r="B31" s="5"/>
      <c r="D31" s="111">
        <f>SUM(D21:D30)</f>
        <v>770</v>
      </c>
      <c r="F31" s="3"/>
      <c r="G31" s="3"/>
    </row>
    <row r="32" spans="1:7" ht="14.25" thickTop="1" thickBot="1">
      <c r="B32" s="5"/>
      <c r="C32" s="85" t="s">
        <v>17</v>
      </c>
      <c r="D32" s="106">
        <f>(D20+D29)*21%</f>
        <v>161.69999999999999</v>
      </c>
      <c r="F32" s="3"/>
      <c r="G32" s="3"/>
    </row>
    <row r="33" spans="1:7" ht="14.25" thickTop="1" thickBot="1">
      <c r="A33" s="15"/>
      <c r="B33" s="5"/>
      <c r="C33" s="16"/>
      <c r="D33" s="112"/>
      <c r="F33" s="3"/>
      <c r="G33" s="3"/>
    </row>
    <row r="34" spans="1:7" ht="14.25" thickTop="1" thickBot="1">
      <c r="A34" s="86" t="s">
        <v>18</v>
      </c>
      <c r="B34" s="18"/>
      <c r="C34" s="19"/>
      <c r="D34" s="113">
        <f>SUM(D20:D32)-D31</f>
        <v>931.7</v>
      </c>
      <c r="F34" s="3"/>
      <c r="G34" s="3"/>
    </row>
    <row r="35" spans="1:7" ht="14.25" thickTop="1" thickBot="1">
      <c r="A35" s="8"/>
      <c r="B35" s="5"/>
      <c r="C35" s="5"/>
      <c r="D35" s="114"/>
      <c r="E35" s="20"/>
      <c r="F35" s="3"/>
      <c r="G35" s="3"/>
    </row>
    <row r="36" spans="1:7" ht="14.25" thickTop="1" thickBot="1">
      <c r="A36" s="87" t="s">
        <v>19</v>
      </c>
      <c r="B36" s="18"/>
      <c r="C36" s="5"/>
      <c r="D36" s="107"/>
      <c r="E36" s="3"/>
      <c r="F36" s="3"/>
      <c r="G36" s="3"/>
    </row>
    <row r="37" spans="1:7" ht="13.5" thickTop="1">
      <c r="A37" s="8"/>
      <c r="B37" s="5"/>
      <c r="C37" s="5"/>
      <c r="D37" s="107"/>
      <c r="E37" s="3"/>
      <c r="F37" s="3"/>
      <c r="G37" s="3"/>
    </row>
    <row r="38" spans="1:7">
      <c r="A38" s="8" t="s">
        <v>20</v>
      </c>
      <c r="B38" s="5"/>
      <c r="C38" s="5"/>
      <c r="D38" s="108">
        <v>0</v>
      </c>
      <c r="E38" s="3"/>
      <c r="F38" s="3"/>
      <c r="G38" s="3"/>
    </row>
    <row r="39" spans="1:7">
      <c r="A39" s="8" t="s">
        <v>21</v>
      </c>
      <c r="B39" s="5"/>
      <c r="C39" s="5"/>
      <c r="D39" s="108">
        <v>0</v>
      </c>
      <c r="E39" s="3"/>
      <c r="F39" s="3"/>
      <c r="G39" s="3"/>
    </row>
    <row r="40" spans="1:7">
      <c r="A40" s="8" t="s">
        <v>22</v>
      </c>
      <c r="B40" s="5"/>
      <c r="C40" s="5"/>
      <c r="D40" s="108">
        <v>0</v>
      </c>
      <c r="E40" s="3"/>
      <c r="F40" s="3"/>
      <c r="G40" s="3"/>
    </row>
    <row r="41" spans="1:7">
      <c r="A41" s="8" t="s">
        <v>23</v>
      </c>
      <c r="B41" s="82">
        <v>0</v>
      </c>
      <c r="C41" s="5"/>
      <c r="D41" s="115">
        <f>B41*50</f>
        <v>0</v>
      </c>
      <c r="E41" s="3"/>
      <c r="F41" s="3"/>
      <c r="G41" s="3"/>
    </row>
    <row r="42" spans="1:7" ht="13.5" thickBot="1">
      <c r="A42" s="8" t="s">
        <v>45</v>
      </c>
      <c r="B42" s="5"/>
      <c r="C42" s="5"/>
      <c r="D42" s="108">
        <v>0</v>
      </c>
      <c r="E42" s="3"/>
      <c r="F42" s="3"/>
      <c r="G42" s="3"/>
    </row>
    <row r="43" spans="1:7" ht="14.25" thickTop="1" thickBot="1">
      <c r="A43" s="84" t="s">
        <v>24</v>
      </c>
      <c r="B43" s="5"/>
      <c r="D43" s="111">
        <f>SUM(D38:D42)</f>
        <v>0</v>
      </c>
      <c r="F43" s="3"/>
      <c r="G43" s="7"/>
    </row>
    <row r="44" spans="1:7" ht="14.25" thickTop="1" thickBot="1">
      <c r="A44" s="21"/>
      <c r="B44" s="5"/>
      <c r="C44" s="85" t="s">
        <v>17</v>
      </c>
      <c r="D44" s="116">
        <f>(D38+D41+D42)*21%</f>
        <v>0</v>
      </c>
      <c r="F44" s="3"/>
      <c r="G44" s="7"/>
    </row>
    <row r="45" spans="1:7" ht="14.25" thickTop="1" thickBot="1">
      <c r="A45" s="22"/>
      <c r="B45" s="5"/>
      <c r="C45" s="23"/>
      <c r="D45" s="117"/>
      <c r="F45" s="3"/>
      <c r="G45" s="7"/>
    </row>
    <row r="46" spans="1:7" ht="14.25" thickTop="1" thickBot="1">
      <c r="A46" s="88" t="s">
        <v>25</v>
      </c>
      <c r="B46" s="18"/>
      <c r="C46" s="24"/>
      <c r="D46" s="118">
        <f>SUM(D43:D44)</f>
        <v>0</v>
      </c>
      <c r="E46" s="97"/>
      <c r="F46" s="3"/>
      <c r="G46" s="7"/>
    </row>
    <row r="47" spans="1:7" ht="13.5" thickTop="1">
      <c r="A47" s="6"/>
      <c r="B47" s="6"/>
      <c r="C47" s="6"/>
      <c r="D47" s="6"/>
      <c r="E47" s="6"/>
      <c r="F47" s="6"/>
      <c r="G47" s="6"/>
    </row>
    <row r="48" spans="1:7" ht="26.25" customHeight="1">
      <c r="A48" s="69" t="s">
        <v>49</v>
      </c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 t="s">
        <v>50</v>
      </c>
      <c r="B50" s="6" t="s">
        <v>51</v>
      </c>
      <c r="C50" s="94">
        <v>0</v>
      </c>
      <c r="D50" s="6"/>
      <c r="E50" s="6"/>
      <c r="F50" s="6"/>
      <c r="G50" s="6"/>
    </row>
    <row r="51" spans="1:7">
      <c r="A51" s="6"/>
      <c r="B51" s="6" t="s">
        <v>52</v>
      </c>
      <c r="C51" s="94">
        <v>0</v>
      </c>
      <c r="D51" s="6"/>
      <c r="E51" s="6"/>
      <c r="F51" s="6"/>
      <c r="G51" s="6"/>
    </row>
    <row r="52" spans="1:7">
      <c r="A52" s="6"/>
      <c r="B52" s="6" t="s">
        <v>53</v>
      </c>
      <c r="C52" s="89">
        <f>SUM(C50:C51)</f>
        <v>0</v>
      </c>
      <c r="D52" s="6"/>
      <c r="E52" s="6"/>
      <c r="F52" s="6"/>
      <c r="G52" s="6"/>
    </row>
    <row r="53" spans="1:7">
      <c r="A53" s="6"/>
      <c r="B53" s="6"/>
      <c r="C53" s="65"/>
      <c r="D53" s="6"/>
      <c r="E53" s="6"/>
      <c r="F53" s="6"/>
      <c r="G53" s="6"/>
    </row>
    <row r="54" spans="1:7">
      <c r="A54" s="6" t="s">
        <v>54</v>
      </c>
      <c r="B54" s="6" t="s">
        <v>51</v>
      </c>
      <c r="C54" s="95">
        <v>0</v>
      </c>
      <c r="D54" s="6"/>
      <c r="E54" s="6"/>
      <c r="F54" s="6"/>
      <c r="G54" s="6"/>
    </row>
    <row r="55" spans="1:7">
      <c r="A55" s="6"/>
      <c r="B55" s="6" t="s">
        <v>52</v>
      </c>
      <c r="C55" s="95">
        <v>0</v>
      </c>
      <c r="D55" s="6"/>
      <c r="E55" s="6"/>
      <c r="F55" s="6"/>
      <c r="G55" s="6"/>
    </row>
    <row r="56" spans="1:7">
      <c r="A56" s="6"/>
      <c r="B56" s="6" t="s">
        <v>53</v>
      </c>
      <c r="C56" s="90">
        <f>SUM(C54:C55)</f>
        <v>0</v>
      </c>
      <c r="D56" s="6"/>
      <c r="E56" s="6"/>
      <c r="F56" s="6"/>
      <c r="G56" s="6"/>
    </row>
    <row r="57" spans="1:7">
      <c r="A57" s="6" t="s">
        <v>6</v>
      </c>
      <c r="B57" s="6"/>
      <c r="C57" s="66"/>
      <c r="D57" s="6"/>
      <c r="E57" s="6"/>
      <c r="F57" s="6"/>
      <c r="G57" s="6"/>
    </row>
    <row r="58" spans="1:7">
      <c r="A58" s="6"/>
      <c r="B58" s="6"/>
      <c r="C58" s="65"/>
      <c r="D58" s="98" t="s">
        <v>8</v>
      </c>
      <c r="E58" s="65">
        <f>IF(C56&gt;C52,I233+(I246-I259),I221)</f>
        <v>0</v>
      </c>
    </row>
    <row r="59" spans="1:7">
      <c r="A59" s="6" t="s">
        <v>55</v>
      </c>
      <c r="B59" s="6"/>
      <c r="C59" s="65">
        <f>K174</f>
        <v>75</v>
      </c>
      <c r="D59" s="98" t="s">
        <v>56</v>
      </c>
      <c r="E59" s="65">
        <f>E58*21/100</f>
        <v>0</v>
      </c>
    </row>
    <row r="60" spans="1:7">
      <c r="A60" s="6" t="s">
        <v>57</v>
      </c>
      <c r="B60" s="6"/>
      <c r="C60" s="94">
        <v>0</v>
      </c>
      <c r="D60" s="98"/>
    </row>
    <row r="61" spans="1:7">
      <c r="A61" s="6" t="s">
        <v>58</v>
      </c>
      <c r="B61" s="66">
        <f>(A168+ROUNDDOWN((C50+C51-1)/G169,0)*A169)</f>
        <v>67.31</v>
      </c>
      <c r="C61" s="65"/>
      <c r="D61" s="98"/>
    </row>
    <row r="62" spans="1:7">
      <c r="A62" s="6" t="s">
        <v>59</v>
      </c>
      <c r="B62" s="66">
        <f>(A181+ROUNDDOWN((C54+C55-1)/G182,0)*A182)</f>
        <v>117.11</v>
      </c>
      <c r="C62" s="65"/>
      <c r="D62" s="98"/>
    </row>
    <row r="63" spans="1:7">
      <c r="A63" s="6" t="s">
        <v>60</v>
      </c>
      <c r="B63" s="66">
        <f>IF(C56&gt;C52,(C56-C52)*0.3%,0)</f>
        <v>0</v>
      </c>
      <c r="C63" s="65"/>
      <c r="D63" s="98"/>
    </row>
    <row r="64" spans="1:7">
      <c r="A64" s="6" t="s">
        <v>61</v>
      </c>
      <c r="B64" s="6"/>
      <c r="C64" s="65">
        <f>H189+B63</f>
        <v>220</v>
      </c>
      <c r="D64" s="98"/>
    </row>
    <row r="65" spans="1:6">
      <c r="A65" s="6" t="s">
        <v>62</v>
      </c>
      <c r="B65" s="6"/>
      <c r="C65" s="65">
        <v>0</v>
      </c>
      <c r="D65" s="98"/>
    </row>
    <row r="66" spans="1:6">
      <c r="A66" s="6"/>
      <c r="B66" s="6" t="s">
        <v>56</v>
      </c>
      <c r="C66" s="65">
        <f>C65*21/100</f>
        <v>0</v>
      </c>
      <c r="D66" s="98"/>
    </row>
    <row r="67" spans="1:6">
      <c r="A67" s="6" t="s">
        <v>63</v>
      </c>
      <c r="B67" s="6"/>
      <c r="C67" s="94">
        <v>710</v>
      </c>
      <c r="D67" s="98"/>
    </row>
    <row r="68" spans="1:6">
      <c r="A68" s="6"/>
      <c r="B68" s="6" t="s">
        <v>56</v>
      </c>
      <c r="C68" s="65">
        <f>C67*21/100</f>
        <v>149.1</v>
      </c>
      <c r="D68" s="98"/>
    </row>
    <row r="69" spans="1:6">
      <c r="A69" s="6" t="s">
        <v>64</v>
      </c>
      <c r="B69" s="6"/>
      <c r="C69" s="94">
        <v>0</v>
      </c>
      <c r="D69" s="98"/>
    </row>
    <row r="70" spans="1:6">
      <c r="A70" s="6"/>
      <c r="B70" s="6" t="s">
        <v>56</v>
      </c>
      <c r="C70" s="65">
        <f>C69*21/100</f>
        <v>0</v>
      </c>
      <c r="D70" s="98"/>
    </row>
    <row r="71" spans="1:6">
      <c r="A71" s="6"/>
      <c r="B71" s="6"/>
      <c r="C71" s="65"/>
      <c r="D71" s="98"/>
    </row>
    <row r="72" spans="1:6">
      <c r="A72" s="6"/>
      <c r="B72" s="6" t="s">
        <v>65</v>
      </c>
      <c r="C72" s="65">
        <f>A178</f>
        <v>1004.9999999999999</v>
      </c>
      <c r="D72" s="98" t="s">
        <v>66</v>
      </c>
      <c r="E72" s="65">
        <f>E58</f>
        <v>0</v>
      </c>
    </row>
    <row r="73" spans="1:6">
      <c r="A73" s="6"/>
      <c r="B73" s="6"/>
      <c r="D73" s="98" t="s">
        <v>67</v>
      </c>
      <c r="E73" s="65">
        <f>C72</f>
        <v>1004.9999999999999</v>
      </c>
    </row>
    <row r="74" spans="1:6">
      <c r="A74" s="6"/>
      <c r="B74" s="6"/>
      <c r="D74" s="98" t="s">
        <v>68</v>
      </c>
      <c r="E74" s="65">
        <f>SUM(E72+C72)</f>
        <v>1004.9999999999999</v>
      </c>
    </row>
    <row r="75" spans="1:6">
      <c r="A75" s="6"/>
      <c r="B75" s="6"/>
      <c r="D75" s="98"/>
      <c r="E75" s="65"/>
    </row>
    <row r="76" spans="1:6">
      <c r="A76" s="6"/>
      <c r="B76" s="6"/>
      <c r="D76" s="98" t="s">
        <v>69</v>
      </c>
      <c r="E76" s="65">
        <f>C66+C68+C70+E59</f>
        <v>149.1</v>
      </c>
    </row>
    <row r="77" spans="1:6" ht="13.5" thickBot="1">
      <c r="A77" s="6"/>
      <c r="B77" s="6"/>
      <c r="D77" s="98"/>
      <c r="E77" s="65"/>
    </row>
    <row r="78" spans="1:6" ht="14.25" thickTop="1" thickBot="1">
      <c r="A78" s="6"/>
      <c r="B78" s="6"/>
      <c r="D78" s="98" t="s">
        <v>70</v>
      </c>
      <c r="E78" s="91">
        <f>SUM(E74:E76)</f>
        <v>1154.0999999999999</v>
      </c>
    </row>
    <row r="79" spans="1:6" ht="13.5" thickTop="1">
      <c r="A79" s="6"/>
      <c r="B79" s="6"/>
      <c r="F79" s="65"/>
    </row>
    <row r="80" spans="1:6" ht="27" customHeight="1">
      <c r="A80" s="70" t="s">
        <v>87</v>
      </c>
      <c r="B80" s="6"/>
      <c r="F80" s="65"/>
    </row>
    <row r="81" spans="1:6" ht="13.5" customHeight="1">
      <c r="A81" s="67"/>
      <c r="B81" s="6"/>
      <c r="F81" s="65"/>
    </row>
    <row r="82" spans="1:6">
      <c r="A82" s="6" t="s">
        <v>51</v>
      </c>
      <c r="B82" s="94">
        <v>0</v>
      </c>
      <c r="F82" s="65"/>
    </row>
    <row r="83" spans="1:6">
      <c r="A83" s="6" t="s">
        <v>52</v>
      </c>
      <c r="B83" s="94">
        <v>0</v>
      </c>
      <c r="F83" s="65"/>
    </row>
    <row r="84" spans="1:6">
      <c r="A84" s="6" t="s">
        <v>53</v>
      </c>
      <c r="B84" s="89">
        <f>SUM(B82:B83)</f>
        <v>0</v>
      </c>
      <c r="F84" s="65"/>
    </row>
    <row r="85" spans="1:6">
      <c r="A85" s="6"/>
      <c r="F85" s="65"/>
    </row>
    <row r="86" spans="1:6">
      <c r="A86" s="6" t="s">
        <v>79</v>
      </c>
      <c r="B86" s="96">
        <v>1</v>
      </c>
      <c r="F86" s="65"/>
    </row>
    <row r="87" spans="1:6">
      <c r="A87" s="6" t="s">
        <v>6</v>
      </c>
      <c r="B87" s="6"/>
      <c r="F87" s="65"/>
    </row>
    <row r="88" spans="1:6">
      <c r="A88" s="6" t="s">
        <v>80</v>
      </c>
      <c r="C88" s="65">
        <v>50</v>
      </c>
      <c r="D88" s="99" t="s">
        <v>8</v>
      </c>
      <c r="E88" s="65">
        <f>K130</f>
        <v>0</v>
      </c>
    </row>
    <row r="89" spans="1:6">
      <c r="A89" s="6" t="s">
        <v>81</v>
      </c>
      <c r="C89" s="65">
        <v>50</v>
      </c>
      <c r="D89" s="99"/>
      <c r="E89" s="65"/>
    </row>
    <row r="90" spans="1:6">
      <c r="A90" s="6" t="s">
        <v>82</v>
      </c>
      <c r="C90" s="94">
        <v>0</v>
      </c>
      <c r="D90" s="99"/>
      <c r="E90" s="65"/>
    </row>
    <row r="91" spans="1:6">
      <c r="A91" s="6" t="s">
        <v>77</v>
      </c>
      <c r="C91" s="94">
        <f>I115</f>
        <v>185</v>
      </c>
      <c r="D91" s="99"/>
      <c r="E91" s="65"/>
    </row>
    <row r="92" spans="1:6">
      <c r="A92" s="6"/>
      <c r="C92" s="65"/>
      <c r="D92" s="99"/>
      <c r="E92" s="65"/>
    </row>
    <row r="93" spans="1:6">
      <c r="A93" s="6"/>
      <c r="B93" s="1" t="s">
        <v>65</v>
      </c>
      <c r="C93" s="65">
        <f>SUM(C88:C91)</f>
        <v>285</v>
      </c>
      <c r="D93" s="99" t="s">
        <v>66</v>
      </c>
      <c r="E93" s="65">
        <f>E88</f>
        <v>0</v>
      </c>
    </row>
    <row r="94" spans="1:6">
      <c r="A94" s="6"/>
      <c r="D94" s="99" t="s">
        <v>67</v>
      </c>
      <c r="E94" s="65">
        <f>C93</f>
        <v>285</v>
      </c>
    </row>
    <row r="95" spans="1:6">
      <c r="A95" s="6"/>
      <c r="D95" s="99" t="s">
        <v>68</v>
      </c>
      <c r="E95" s="65">
        <f>SUM(E93+C93)</f>
        <v>285</v>
      </c>
    </row>
    <row r="96" spans="1:6">
      <c r="A96" s="6"/>
      <c r="D96" s="99"/>
      <c r="E96" s="65"/>
    </row>
    <row r="97" spans="1:6">
      <c r="A97" s="6"/>
      <c r="D97" s="99" t="s">
        <v>17</v>
      </c>
      <c r="E97" s="65">
        <f>(C88+C91+E88)*21%</f>
        <v>49.35</v>
      </c>
    </row>
    <row r="98" spans="1:6" ht="13.5" thickBot="1">
      <c r="A98" s="6"/>
      <c r="D98" s="99"/>
      <c r="E98" s="65"/>
    </row>
    <row r="99" spans="1:6" ht="14.25" thickTop="1" thickBot="1">
      <c r="A99" s="6"/>
      <c r="D99" s="99" t="s">
        <v>70</v>
      </c>
      <c r="E99" s="91">
        <f>SUM(E95:E97)</f>
        <v>334.35</v>
      </c>
    </row>
    <row r="100" spans="1:6" ht="13.5" thickTop="1">
      <c r="A100" s="6"/>
      <c r="B100" s="6"/>
      <c r="F100" s="65"/>
    </row>
    <row r="101" spans="1:6">
      <c r="A101" s="6"/>
      <c r="B101" s="6"/>
      <c r="F101" s="65"/>
    </row>
    <row r="102" spans="1:6">
      <c r="A102" s="6"/>
      <c r="B102" s="25" t="s">
        <v>26</v>
      </c>
      <c r="C102" s="25" t="s">
        <v>27</v>
      </c>
      <c r="F102" s="65"/>
    </row>
    <row r="103" spans="1:6">
      <c r="A103" s="6"/>
      <c r="B103" s="6"/>
      <c r="C103" s="19"/>
      <c r="F103" s="65"/>
    </row>
    <row r="104" spans="1:6">
      <c r="A104" s="6"/>
      <c r="B104" s="26" t="s">
        <v>28</v>
      </c>
      <c r="C104" s="52" t="s">
        <v>29</v>
      </c>
      <c r="F104" s="65"/>
    </row>
    <row r="105" spans="1:6">
      <c r="A105" s="6"/>
      <c r="B105" s="28"/>
      <c r="C105" s="28"/>
      <c r="F105" s="65"/>
    </row>
    <row r="106" spans="1:6" ht="14.25">
      <c r="A106" s="6"/>
      <c r="B106" s="25" t="s">
        <v>46</v>
      </c>
      <c r="C106" s="30"/>
      <c r="F106" s="65"/>
    </row>
    <row r="107" spans="1:6">
      <c r="A107" s="6"/>
      <c r="B107" s="6"/>
      <c r="F107" s="65"/>
    </row>
    <row r="108" spans="1:6">
      <c r="A108" s="6"/>
      <c r="B108" s="6"/>
      <c r="F108" s="65"/>
    </row>
    <row r="109" spans="1:6">
      <c r="A109" s="6"/>
      <c r="B109" s="6"/>
      <c r="F109" s="65"/>
    </row>
    <row r="110" spans="1:6">
      <c r="A110" s="6"/>
      <c r="B110" s="6"/>
      <c r="F110" s="65"/>
    </row>
    <row r="111" spans="1:6" hidden="1">
      <c r="A111" s="6"/>
      <c r="B111" s="6"/>
      <c r="F111" s="65"/>
    </row>
    <row r="112" spans="1:6" hidden="1">
      <c r="A112" s="6"/>
      <c r="B112" s="6"/>
      <c r="F112" s="65"/>
    </row>
    <row r="113" spans="1:11" hidden="1">
      <c r="A113" s="6"/>
      <c r="B113" s="6"/>
      <c r="F113" s="65"/>
      <c r="I113" s="1">
        <f>IF(B86=1,185,0)</f>
        <v>185</v>
      </c>
      <c r="J113" s="1">
        <f>IF(B86=2,385,0)</f>
        <v>0</v>
      </c>
      <c r="K113" s="1">
        <f>IF(B86&gt;2,(385+(B86-2)*200),0)</f>
        <v>0</v>
      </c>
    </row>
    <row r="114" spans="1:11" hidden="1">
      <c r="A114" s="6"/>
      <c r="B114" s="6"/>
      <c r="F114" s="65"/>
    </row>
    <row r="115" spans="1:11" hidden="1">
      <c r="A115" s="6"/>
      <c r="B115" s="6"/>
      <c r="F115" s="65"/>
      <c r="I115" s="1">
        <f>SUM(I113:K113)</f>
        <v>185</v>
      </c>
    </row>
    <row r="116" spans="1:11" hidden="1">
      <c r="A116" s="6"/>
      <c r="B116" s="6"/>
      <c r="F116" s="65"/>
    </row>
    <row r="117" spans="1:11" hidden="1">
      <c r="A117" s="6"/>
      <c r="B117" s="6"/>
      <c r="F117" s="65"/>
    </row>
    <row r="118" spans="1:11" hidden="1">
      <c r="A118" s="6"/>
      <c r="B118" s="6"/>
      <c r="F118" s="65"/>
    </row>
    <row r="119" spans="1:11" hidden="1">
      <c r="A119" s="6"/>
      <c r="B119" s="6"/>
      <c r="C119" s="1" t="s">
        <v>53</v>
      </c>
      <c r="E119" s="1">
        <f>B84</f>
        <v>0</v>
      </c>
      <c r="F119" s="65"/>
    </row>
    <row r="120" spans="1:11" hidden="1">
      <c r="A120" s="6"/>
      <c r="B120" s="6"/>
      <c r="C120" s="1" t="s">
        <v>32</v>
      </c>
      <c r="E120" s="1" t="s">
        <v>32</v>
      </c>
      <c r="F120" s="65" t="s">
        <v>83</v>
      </c>
      <c r="G120" s="1" t="s">
        <v>84</v>
      </c>
    </row>
    <row r="121" spans="1:11" hidden="1">
      <c r="A121" s="6"/>
      <c r="B121" s="6"/>
      <c r="C121" s="1">
        <v>0</v>
      </c>
      <c r="E121" s="1">
        <v>7500</v>
      </c>
      <c r="F121" s="71">
        <v>1.4250000000000001E-2</v>
      </c>
      <c r="G121" s="1">
        <f>IF(B84&lt;E121,B84*F121,E121*F121)</f>
        <v>0</v>
      </c>
    </row>
    <row r="122" spans="1:11" hidden="1">
      <c r="A122" s="6"/>
      <c r="B122" s="6"/>
      <c r="C122" s="1">
        <v>7500</v>
      </c>
      <c r="E122" s="1">
        <v>17500</v>
      </c>
      <c r="F122" s="71">
        <v>1.14E-2</v>
      </c>
      <c r="G122" s="1" t="str">
        <f>IF(B84&lt;=C122," ",IF(B84&lt;E122,(B84-E121)*F122,(E122-C122)*F122))</f>
        <v xml:space="preserve"> </v>
      </c>
    </row>
    <row r="123" spans="1:11" hidden="1">
      <c r="A123" s="6"/>
      <c r="B123" s="6"/>
      <c r="C123" s="1">
        <v>17500</v>
      </c>
      <c r="E123" s="1">
        <v>30000</v>
      </c>
      <c r="F123" s="71">
        <v>6.8399999999999997E-3</v>
      </c>
      <c r="G123" s="1" t="str">
        <f>IF(B84&lt;=C123," ",IF(B84&lt;E123,(B84-E122)*F123,(E123-C123)*F123))</f>
        <v xml:space="preserve"> </v>
      </c>
    </row>
    <row r="124" spans="1:11" hidden="1">
      <c r="A124" s="6"/>
      <c r="B124" s="6"/>
      <c r="C124" s="1">
        <v>30000</v>
      </c>
      <c r="E124" s="1">
        <v>45495</v>
      </c>
      <c r="F124" s="71">
        <v>5.7000000000000002E-3</v>
      </c>
      <c r="G124" s="1" t="str">
        <f>IF(B84&lt;=C124," ",IF(B84&lt;E124,(B84-E123)*F124,(E124-C124)*F124))</f>
        <v xml:space="preserve"> </v>
      </c>
    </row>
    <row r="125" spans="1:11" hidden="1">
      <c r="A125" s="6"/>
      <c r="B125" s="6"/>
      <c r="C125" s="1">
        <v>45495</v>
      </c>
      <c r="E125" s="1">
        <v>64095</v>
      </c>
      <c r="F125" s="71">
        <v>4.5599999999999998E-3</v>
      </c>
      <c r="G125" s="1" t="str">
        <f>IF(B84&lt;=C125," ",IF(B84&lt;E125,(B84-E124)*F125,(E125-C125)*F125))</f>
        <v xml:space="preserve"> </v>
      </c>
    </row>
    <row r="126" spans="1:11" hidden="1">
      <c r="A126" s="6"/>
      <c r="B126" s="6"/>
      <c r="C126" s="1">
        <v>64095</v>
      </c>
      <c r="E126" s="1">
        <v>250095</v>
      </c>
      <c r="F126" s="71">
        <v>2.2799999999999999E-3</v>
      </c>
      <c r="G126" s="1" t="str">
        <f>IF(B84&lt;=C126," ",IF(B84&lt;E126,(B84-E125)*F126,(E126-C126)*F126))</f>
        <v xml:space="preserve"> </v>
      </c>
    </row>
    <row r="127" spans="1:11" hidden="1">
      <c r="A127" s="6"/>
      <c r="B127" s="6"/>
      <c r="C127" s="1">
        <v>250095</v>
      </c>
      <c r="E127" s="1">
        <v>99999999999</v>
      </c>
      <c r="F127" s="71">
        <v>4.5600000000000003E-4</v>
      </c>
      <c r="G127" s="1" t="str">
        <f>IF(B84&lt;=C127," ",IF(B84&lt;E127,(B84-E126)*F127,(E127-C127)*F127))</f>
        <v xml:space="preserve"> </v>
      </c>
    </row>
    <row r="128" spans="1:11" hidden="1">
      <c r="A128" s="6"/>
      <c r="B128" s="6"/>
      <c r="F128" s="65"/>
    </row>
    <row r="129" spans="1:23" hidden="1">
      <c r="A129" s="6"/>
      <c r="B129" s="6"/>
      <c r="C129" s="1" t="s">
        <v>34</v>
      </c>
      <c r="F129" s="65"/>
      <c r="J129" s="1" t="s">
        <v>85</v>
      </c>
      <c r="K129" s="1">
        <f>SUM(G121:G128)</f>
        <v>0</v>
      </c>
    </row>
    <row r="130" spans="1:23" hidden="1">
      <c r="A130" s="6"/>
      <c r="B130" s="6"/>
      <c r="F130" s="65"/>
      <c r="J130" s="1" t="s">
        <v>86</v>
      </c>
      <c r="K130" s="1">
        <f>K129/4</f>
        <v>0</v>
      </c>
    </row>
    <row r="131" spans="1:23" hidden="1">
      <c r="A131" s="6"/>
      <c r="B131" s="74">
        <f>IF(B14="ja",-1500,0)</f>
        <v>0</v>
      </c>
      <c r="C131" s="75">
        <f>IF(AND(B12="ja",B14="ja"),-750,0)</f>
        <v>0</v>
      </c>
      <c r="D131" s="75"/>
      <c r="E131" s="75"/>
      <c r="F131" s="68">
        <f>IF(AND(B14="ja",B15="ja"),-1000,0)</f>
        <v>0</v>
      </c>
      <c r="G131" s="75"/>
      <c r="H131" s="75"/>
    </row>
    <row r="132" spans="1:23" hidden="1">
      <c r="A132" s="6"/>
      <c r="B132" s="74">
        <f>IF(B14="ja",-750,0)</f>
        <v>0</v>
      </c>
      <c r="C132" s="75">
        <f>IF(AND(B12="neen",B14="ja"),-1500,0)</f>
        <v>0</v>
      </c>
      <c r="D132" s="75"/>
      <c r="E132" s="75"/>
      <c r="F132" s="68">
        <f>-F131</f>
        <v>0</v>
      </c>
      <c r="G132" s="75">
        <f>IF(F132&gt;(D21+D22+D24-50),-(D21+D22+D24-50),F131)</f>
        <v>50</v>
      </c>
      <c r="H132" s="75">
        <f>IF(G132=50,0,G132)</f>
        <v>0</v>
      </c>
    </row>
    <row r="133" spans="1:23" hidden="1">
      <c r="A133" s="6"/>
      <c r="B133" s="74"/>
      <c r="C133" s="75">
        <f>SUM(C131:C132)</f>
        <v>0</v>
      </c>
      <c r="D133" s="75">
        <f>IF(C135&gt;(D21+D22-50),-(D21+D22-50),C133)</f>
        <v>50</v>
      </c>
      <c r="E133" s="74">
        <f>IF(D133=50,0,D133)</f>
        <v>0</v>
      </c>
      <c r="F133" s="75"/>
      <c r="G133" s="75"/>
      <c r="H133" s="75"/>
    </row>
    <row r="134" spans="1:23" hidden="1">
      <c r="A134" s="6"/>
      <c r="B134" s="74"/>
      <c r="C134" s="75"/>
      <c r="D134" s="75"/>
      <c r="E134" s="74"/>
      <c r="F134" s="76"/>
      <c r="G134" s="74"/>
      <c r="H134" s="75"/>
    </row>
    <row r="135" spans="1:23" hidden="1">
      <c r="A135" s="6"/>
      <c r="B135" s="74"/>
      <c r="C135" s="75">
        <f>-C133</f>
        <v>0</v>
      </c>
      <c r="D135" s="75"/>
      <c r="E135" s="74"/>
      <c r="F135" s="77"/>
      <c r="G135" s="78"/>
      <c r="H135" s="73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</row>
    <row r="136" spans="1:23" hidden="1">
      <c r="A136" s="6"/>
      <c r="B136" s="28"/>
      <c r="E136" s="6"/>
      <c r="F136" s="29"/>
      <c r="G136" s="28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</row>
    <row r="137" spans="1:23" hidden="1">
      <c r="B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</row>
    <row r="138" spans="1:23" ht="14.25" hidden="1">
      <c r="B138" s="27"/>
      <c r="C138" s="30"/>
      <c r="D138" s="30"/>
      <c r="E138" s="25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</row>
    <row r="139" spans="1:23" hidden="1">
      <c r="A139" s="32"/>
      <c r="B139" s="12">
        <f>IF(B14="ja",-1500,0)</f>
        <v>0</v>
      </c>
      <c r="C139" s="31">
        <f>IF(AND(B12="ja",B14="ja"),-750,0)</f>
        <v>0</v>
      </c>
      <c r="D139" s="31"/>
      <c r="E139" s="31"/>
      <c r="F139" s="31"/>
      <c r="G139" s="31"/>
      <c r="H139" s="31"/>
      <c r="I139" s="31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</row>
    <row r="140" spans="1:23" hidden="1">
      <c r="A140" s="32"/>
      <c r="B140" s="12">
        <f>IF(B14="ja",-750,0)</f>
        <v>0</v>
      </c>
      <c r="C140" s="31">
        <f>IF(AND(B12="neen",B14="ja"),-1500,0)</f>
        <v>0</v>
      </c>
      <c r="D140" s="31"/>
      <c r="E140" s="31"/>
      <c r="F140" s="31"/>
      <c r="G140" s="31"/>
      <c r="H140" s="31"/>
      <c r="I140" s="31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</row>
    <row r="141" spans="1:23" hidden="1">
      <c r="A141" s="32"/>
      <c r="B141" s="31"/>
      <c r="C141" s="31"/>
      <c r="D141" s="31"/>
      <c r="E141" s="31"/>
      <c r="F141" s="31"/>
      <c r="G141" s="31"/>
      <c r="H141" s="31"/>
      <c r="I141" s="31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</row>
    <row r="142" spans="1:23" hidden="1">
      <c r="A142" s="32"/>
      <c r="B142" s="31"/>
      <c r="C142" s="31"/>
      <c r="D142" s="31"/>
      <c r="E142" s="31"/>
      <c r="F142" s="31"/>
      <c r="G142" s="31"/>
      <c r="H142" s="31"/>
      <c r="I142" s="31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</row>
    <row r="143" spans="1:23" ht="13.5" hidden="1" thickBot="1">
      <c r="A143" s="32"/>
      <c r="B143" s="31"/>
      <c r="C143" s="31"/>
      <c r="D143" s="31"/>
      <c r="E143" s="31"/>
      <c r="F143" s="31"/>
      <c r="G143" s="31"/>
      <c r="H143" s="28"/>
      <c r="I143" s="28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</row>
    <row r="144" spans="1:23" ht="13.5" hidden="1" thickBot="1">
      <c r="A144" s="6"/>
      <c r="B144" s="33"/>
      <c r="C144" s="28"/>
      <c r="D144" s="28"/>
      <c r="E144" s="28"/>
      <c r="F144" s="28"/>
      <c r="G144" s="28"/>
      <c r="H144" s="34"/>
      <c r="I144" s="34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t="13.5" hidden="1" thickBot="1">
      <c r="A145" s="6"/>
      <c r="B145" s="6"/>
      <c r="C145" s="6"/>
      <c r="D145" s="6"/>
      <c r="E145" s="34"/>
      <c r="F145" s="34"/>
      <c r="G145" s="34"/>
      <c r="H145" s="6"/>
      <c r="I145" s="6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</row>
    <row r="146" spans="1:23" hidden="1">
      <c r="A146" s="6"/>
      <c r="B146" s="6"/>
      <c r="C146" s="6"/>
      <c r="D146" s="6"/>
      <c r="E146" s="6"/>
      <c r="F146" s="6"/>
      <c r="G146" s="6"/>
      <c r="H146" s="6"/>
      <c r="I146" s="6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</row>
    <row r="147" spans="1:23" hidden="1">
      <c r="A147" s="6"/>
      <c r="B147" s="6"/>
      <c r="C147" s="6"/>
      <c r="D147" s="6"/>
      <c r="E147" s="6"/>
      <c r="F147" s="6"/>
      <c r="G147" s="6"/>
      <c r="H147" s="6"/>
      <c r="I147" s="6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</row>
    <row r="148" spans="1:23" hidden="1">
      <c r="A148" s="6" t="s">
        <v>2</v>
      </c>
      <c r="B148" s="6"/>
      <c r="C148" s="6" t="s">
        <v>30</v>
      </c>
      <c r="D148" s="6" t="s">
        <v>31</v>
      </c>
      <c r="E148" s="6"/>
      <c r="F148" s="19" t="s">
        <v>35</v>
      </c>
      <c r="G148" s="19" t="s">
        <v>35</v>
      </c>
      <c r="H148" s="19" t="s">
        <v>35</v>
      </c>
      <c r="I148" s="19" t="s">
        <v>35</v>
      </c>
      <c r="J148" s="6" t="s">
        <v>35</v>
      </c>
      <c r="K148" s="6" t="s">
        <v>35</v>
      </c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</row>
    <row r="149" spans="1:23" hidden="1">
      <c r="A149" s="6"/>
      <c r="B149" s="6"/>
      <c r="C149" s="6"/>
      <c r="D149" s="6">
        <v>525</v>
      </c>
      <c r="E149" s="6"/>
      <c r="F149" s="19" t="s">
        <v>36</v>
      </c>
      <c r="G149" s="19" t="s">
        <v>36</v>
      </c>
      <c r="H149" s="19" t="s">
        <v>36</v>
      </c>
      <c r="I149" s="19" t="s">
        <v>36</v>
      </c>
      <c r="J149" s="6" t="s">
        <v>36</v>
      </c>
      <c r="K149" s="6" t="s">
        <v>36</v>
      </c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hidden="1">
      <c r="A150" s="6"/>
      <c r="B150" s="6"/>
      <c r="C150" s="6"/>
      <c r="D150" s="6">
        <v>100</v>
      </c>
      <c r="E150" s="6"/>
      <c r="F150" s="6"/>
      <c r="G150" s="6"/>
      <c r="H150" s="6"/>
      <c r="I150" s="6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</row>
    <row r="151" spans="1:23" hidden="1">
      <c r="A151" s="6"/>
      <c r="B151" s="6"/>
      <c r="C151" s="6"/>
      <c r="D151" s="6">
        <v>675</v>
      </c>
      <c r="E151" s="6"/>
      <c r="F151" s="6"/>
      <c r="G151" s="6"/>
      <c r="H151" s="6"/>
      <c r="I151" s="6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</row>
    <row r="152" spans="1:23" hidden="1">
      <c r="A152" s="6"/>
      <c r="B152" s="6"/>
      <c r="C152" s="6"/>
      <c r="D152" s="6"/>
      <c r="E152" s="6"/>
      <c r="F152" s="6"/>
      <c r="G152" s="6"/>
      <c r="H152" s="6"/>
      <c r="I152" s="6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</row>
    <row r="153" spans="1:23" hidden="1">
      <c r="A153" s="6"/>
      <c r="B153" s="6"/>
      <c r="C153" s="6"/>
      <c r="D153" s="6"/>
      <c r="E153" s="6"/>
      <c r="F153" s="6"/>
      <c r="G153" s="6"/>
      <c r="H153" s="6"/>
      <c r="I153" s="6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</row>
    <row r="154" spans="1:23" hidden="1">
      <c r="A154" s="6"/>
      <c r="B154" s="6"/>
      <c r="C154" s="6"/>
      <c r="D154" s="6"/>
      <c r="E154" s="6"/>
      <c r="F154" s="6"/>
      <c r="G154" s="6"/>
      <c r="H154" s="6"/>
      <c r="I154" s="6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</row>
    <row r="155" spans="1:23" ht="14.25" hidden="1">
      <c r="A155" s="35" t="s">
        <v>32</v>
      </c>
      <c r="B155" s="35"/>
      <c r="C155" s="35" t="s">
        <v>32</v>
      </c>
      <c r="D155" s="36" t="s">
        <v>33</v>
      </c>
      <c r="E155" s="37"/>
      <c r="F155" s="35" t="s">
        <v>8</v>
      </c>
      <c r="G155" s="6"/>
      <c r="H155" s="6"/>
      <c r="I155" s="6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</row>
    <row r="156" spans="1:23" ht="15" hidden="1">
      <c r="A156" s="38">
        <v>0</v>
      </c>
      <c r="B156" s="39"/>
      <c r="C156" s="38">
        <v>7500</v>
      </c>
      <c r="D156" s="40">
        <v>4.5600000000000002E-2</v>
      </c>
      <c r="E156" s="41"/>
      <c r="F156" s="38">
        <f>IF($B$10&lt;C156,$B$10*D156,C156*D156)</f>
        <v>0</v>
      </c>
      <c r="G156" s="6"/>
      <c r="H156" s="6"/>
      <c r="I156" s="6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</row>
    <row r="157" spans="1:23" ht="15" hidden="1">
      <c r="A157" s="38">
        <v>7500</v>
      </c>
      <c r="B157" s="39"/>
      <c r="C157" s="38">
        <v>17500</v>
      </c>
      <c r="D157" s="40">
        <v>2.8500000000000001E-2</v>
      </c>
      <c r="E157" s="41"/>
      <c r="F157" s="39" t="str">
        <f t="shared" ref="F157:F162" si="0">IF($B$10&lt;=A157," ",IF($B$10&lt;C157,($B$10-C156)*D157,(C157-A157)*D157))</f>
        <v xml:space="preserve"> </v>
      </c>
      <c r="G157" s="6"/>
      <c r="H157" s="6"/>
      <c r="I157" s="6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</row>
    <row r="158" spans="1:23" ht="15" hidden="1">
      <c r="A158" s="38">
        <v>17500</v>
      </c>
      <c r="B158" s="39"/>
      <c r="C158" s="38">
        <v>30000</v>
      </c>
      <c r="D158" s="40">
        <v>2.2800000000000001E-2</v>
      </c>
      <c r="E158" s="41"/>
      <c r="F158" s="39" t="str">
        <f t="shared" si="0"/>
        <v xml:space="preserve"> </v>
      </c>
      <c r="G158" s="6"/>
      <c r="H158" s="6"/>
      <c r="I158" s="6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</row>
    <row r="159" spans="1:23" ht="15" hidden="1">
      <c r="A159" s="38">
        <v>30000</v>
      </c>
      <c r="B159" s="39"/>
      <c r="C159" s="38">
        <v>45495</v>
      </c>
      <c r="D159" s="40">
        <v>1.7100000000000001E-2</v>
      </c>
      <c r="E159" s="41"/>
      <c r="F159" s="39" t="str">
        <f t="shared" si="0"/>
        <v xml:space="preserve"> </v>
      </c>
      <c r="G159" s="6"/>
      <c r="H159" s="6"/>
      <c r="I159" s="6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</row>
    <row r="160" spans="1:23" ht="15" hidden="1">
      <c r="A160" s="38">
        <v>45495</v>
      </c>
      <c r="B160" s="39"/>
      <c r="C160" s="38">
        <v>64095</v>
      </c>
      <c r="D160" s="40">
        <v>1.14E-2</v>
      </c>
      <c r="E160" s="41"/>
      <c r="F160" s="39" t="str">
        <f t="shared" si="0"/>
        <v xml:space="preserve"> </v>
      </c>
      <c r="G160" s="6"/>
      <c r="H160" s="6"/>
      <c r="I160" s="6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</row>
    <row r="161" spans="1:23" ht="15" hidden="1">
      <c r="A161" s="38">
        <v>64095</v>
      </c>
      <c r="B161" s="39"/>
      <c r="C161" s="38">
        <v>250095</v>
      </c>
      <c r="D161" s="40">
        <v>5.7000000000000002E-3</v>
      </c>
      <c r="E161" s="41"/>
      <c r="F161" s="39" t="str">
        <f t="shared" si="0"/>
        <v xml:space="preserve"> </v>
      </c>
      <c r="G161" s="6"/>
      <c r="H161" s="6"/>
      <c r="I161" s="6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</row>
    <row r="162" spans="1:23" ht="15" hidden="1">
      <c r="A162" s="38">
        <v>250095</v>
      </c>
      <c r="B162" s="39"/>
      <c r="C162" s="38">
        <f>$B$10</f>
        <v>0</v>
      </c>
      <c r="D162" s="40">
        <v>5.6999999999999998E-4</v>
      </c>
      <c r="E162" s="41"/>
      <c r="F162" s="39" t="str">
        <f t="shared" si="0"/>
        <v xml:space="preserve"> </v>
      </c>
      <c r="G162" s="6"/>
      <c r="H162" s="6"/>
      <c r="I162" s="6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</row>
    <row r="163" spans="1:23" ht="15" hidden="1">
      <c r="A163" s="42"/>
      <c r="B163" s="43"/>
      <c r="C163" s="43"/>
      <c r="D163" s="44"/>
      <c r="E163" s="45"/>
      <c r="F163" s="45"/>
      <c r="G163" s="6"/>
      <c r="H163" s="6"/>
      <c r="I163" s="6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</row>
    <row r="164" spans="1:23" ht="15" hidden="1">
      <c r="A164" s="35" t="s">
        <v>34</v>
      </c>
      <c r="B164" s="46"/>
      <c r="C164" s="43"/>
      <c r="D164" s="47"/>
      <c r="E164" s="45"/>
      <c r="F164" s="48">
        <f>SUM(F156:F163)</f>
        <v>0</v>
      </c>
      <c r="G164" s="6"/>
      <c r="H164" s="6"/>
      <c r="I164" s="6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</row>
    <row r="165" spans="1:23" hidden="1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</row>
    <row r="166" spans="1:23" hidden="1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hidden="1">
      <c r="A167" s="53" t="s">
        <v>71</v>
      </c>
      <c r="B167" s="54"/>
      <c r="C167" s="54"/>
      <c r="D167" s="54"/>
      <c r="E167" s="54"/>
      <c r="F167" s="54"/>
      <c r="G167" s="54"/>
      <c r="H167" s="54"/>
      <c r="I167" s="55"/>
      <c r="J167" s="55" t="s">
        <v>72</v>
      </c>
      <c r="K167" s="55"/>
      <c r="L167" s="6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</row>
    <row r="168" spans="1:23" hidden="1">
      <c r="A168" s="56">
        <v>67.31</v>
      </c>
      <c r="B168" s="56" t="s">
        <v>73</v>
      </c>
      <c r="C168" s="56"/>
      <c r="D168" s="56"/>
      <c r="E168" s="56"/>
      <c r="F168" s="56"/>
      <c r="G168" s="56">
        <v>25000</v>
      </c>
      <c r="H168" s="56"/>
      <c r="I168" s="55"/>
      <c r="J168" s="55"/>
      <c r="K168" s="55"/>
      <c r="L168" s="6"/>
      <c r="M168" s="31"/>
      <c r="N168" s="31"/>
      <c r="O168" s="31"/>
      <c r="P168" s="31"/>
      <c r="Q168" s="31"/>
      <c r="R168" s="31"/>
      <c r="S168" s="31"/>
      <c r="T168" s="31"/>
      <c r="U168" s="27"/>
      <c r="V168" s="27"/>
      <c r="W168" s="27"/>
    </row>
    <row r="169" spans="1:23" hidden="1">
      <c r="A169" s="56">
        <v>23.56</v>
      </c>
      <c r="B169" s="56" t="s">
        <v>74</v>
      </c>
      <c r="C169" s="56"/>
      <c r="D169" s="56"/>
      <c r="E169" s="56"/>
      <c r="F169" s="56"/>
      <c r="G169" s="56">
        <v>25000</v>
      </c>
      <c r="H169" s="56" t="s">
        <v>75</v>
      </c>
      <c r="I169" s="55"/>
      <c r="J169" s="55"/>
      <c r="K169" s="55"/>
      <c r="L169" s="6"/>
      <c r="M169" s="31"/>
      <c r="N169" s="31"/>
      <c r="O169" s="31"/>
      <c r="P169" s="31"/>
      <c r="Q169" s="31"/>
      <c r="R169" s="31"/>
      <c r="S169" s="31"/>
      <c r="T169" s="31"/>
      <c r="U169" s="27"/>
      <c r="V169" s="27"/>
      <c r="W169" s="27"/>
    </row>
    <row r="170" spans="1:23" hidden="1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17">
        <f>C56-C52</f>
        <v>0</v>
      </c>
      <c r="L170" s="6"/>
      <c r="M170" s="31"/>
      <c r="N170" s="31"/>
      <c r="O170" s="31"/>
      <c r="P170" s="31"/>
      <c r="Q170" s="31"/>
      <c r="R170" s="31"/>
      <c r="S170" s="31"/>
      <c r="T170" s="31"/>
      <c r="U170" s="27"/>
      <c r="V170" s="27"/>
      <c r="W170" s="27"/>
    </row>
    <row r="171" spans="1:23" hidden="1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6"/>
      <c r="M171" s="31"/>
      <c r="N171" s="31"/>
      <c r="O171" s="31"/>
      <c r="P171" s="31"/>
      <c r="Q171" s="31"/>
      <c r="R171" s="31"/>
      <c r="S171" s="31"/>
      <c r="T171" s="31"/>
      <c r="U171" s="27"/>
      <c r="V171" s="27"/>
      <c r="W171" s="27"/>
    </row>
    <row r="172" spans="1:23" hidden="1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>
        <f>IF(K170&gt;0,K170*0.01,75)</f>
        <v>75</v>
      </c>
      <c r="L172" s="6"/>
      <c r="M172" s="31"/>
      <c r="N172" s="31"/>
      <c r="O172" s="31"/>
      <c r="P172" s="31"/>
      <c r="Q172" s="31"/>
      <c r="R172" s="31"/>
      <c r="S172" s="31"/>
      <c r="T172" s="31"/>
      <c r="U172" s="27"/>
      <c r="V172" s="27"/>
      <c r="W172" s="27"/>
    </row>
    <row r="173" spans="1:23" hidden="1">
      <c r="A173" s="55" t="s">
        <v>76</v>
      </c>
      <c r="B173" s="55"/>
      <c r="C173" s="55"/>
      <c r="D173" s="55"/>
      <c r="E173" s="55"/>
      <c r="F173" s="55"/>
      <c r="G173" s="55" t="s">
        <v>32</v>
      </c>
      <c r="H173" s="55" t="s">
        <v>77</v>
      </c>
      <c r="I173" s="55"/>
      <c r="J173" s="55"/>
      <c r="K173" s="55"/>
      <c r="L173" s="6"/>
      <c r="M173" s="31"/>
      <c r="N173" s="31"/>
      <c r="O173" s="31"/>
      <c r="P173" s="31"/>
      <c r="Q173" s="31"/>
      <c r="R173" s="31"/>
      <c r="S173" s="31"/>
      <c r="T173" s="31"/>
      <c r="U173" s="27"/>
      <c r="V173" s="27"/>
      <c r="W173" s="27"/>
    </row>
    <row r="174" spans="1:23" ht="13.5" hidden="1" thickBot="1">
      <c r="A174" s="55"/>
      <c r="B174" s="55"/>
      <c r="C174" s="55"/>
      <c r="D174" s="55"/>
      <c r="E174" s="55"/>
      <c r="F174" s="55"/>
      <c r="G174" s="17">
        <f>H60</f>
        <v>0</v>
      </c>
      <c r="H174" s="55">
        <f>IF(H60=0,575,550)</f>
        <v>575</v>
      </c>
      <c r="I174" s="55"/>
      <c r="J174" s="55"/>
      <c r="K174" s="55">
        <f>IF(K172&lt;75,75,K172)</f>
        <v>75</v>
      </c>
      <c r="L174" s="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</row>
    <row r="175" spans="1:23" ht="13.5" hidden="1" thickBot="1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6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</row>
    <row r="176" spans="1:23" hidden="1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</row>
    <row r="177" spans="1:23" hidden="1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</row>
    <row r="178" spans="1:23" hidden="1">
      <c r="A178" s="57">
        <f>SUM(C58:C70)-C66-C68-C70</f>
        <v>1004.9999999999999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</row>
    <row r="179" spans="1:23" hidden="1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</row>
    <row r="180" spans="1:23" hidden="1">
      <c r="A180" s="53" t="s">
        <v>78</v>
      </c>
      <c r="B180" s="54"/>
      <c r="C180" s="54"/>
      <c r="D180" s="54"/>
      <c r="E180" s="54"/>
      <c r="F180" s="54"/>
      <c r="G180" s="54"/>
      <c r="H180" s="54"/>
      <c r="I180" s="55"/>
      <c r="J180" s="55"/>
      <c r="K180" s="55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</row>
    <row r="181" spans="1:23" hidden="1">
      <c r="A181" s="56">
        <v>117.11</v>
      </c>
      <c r="B181" s="56" t="s">
        <v>73</v>
      </c>
      <c r="C181" s="56"/>
      <c r="D181" s="56"/>
      <c r="E181" s="56"/>
      <c r="F181" s="56"/>
      <c r="G181" s="56">
        <v>25000</v>
      </c>
      <c r="H181" s="56"/>
      <c r="I181" s="55"/>
      <c r="J181" s="55"/>
      <c r="K181" s="55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</row>
    <row r="182" spans="1:23" hidden="1">
      <c r="A182" s="56">
        <v>23.56</v>
      </c>
      <c r="B182" s="56" t="s">
        <v>74</v>
      </c>
      <c r="C182" s="56"/>
      <c r="D182" s="56"/>
      <c r="E182" s="56"/>
      <c r="F182" s="56"/>
      <c r="G182" s="56">
        <v>25000</v>
      </c>
      <c r="H182" s="56" t="s">
        <v>75</v>
      </c>
      <c r="I182" s="55"/>
      <c r="J182" s="55"/>
      <c r="K182" s="55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</row>
    <row r="183" spans="1:23" hidden="1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</row>
    <row r="184" spans="1:23" hidden="1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</row>
    <row r="185" spans="1:23" hidden="1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</row>
    <row r="186" spans="1:23" hidden="1">
      <c r="A186" s="55"/>
      <c r="B186" s="55"/>
      <c r="C186" s="55"/>
      <c r="D186" s="55"/>
      <c r="E186" s="55"/>
      <c r="F186" s="55"/>
      <c r="G186" s="55"/>
      <c r="H186" s="17">
        <f>ROUNDUP(B61+B62,-2)</f>
        <v>200</v>
      </c>
      <c r="I186" s="55"/>
      <c r="J186" s="55"/>
      <c r="K186" s="55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</row>
    <row r="187" spans="1:23" hidden="1">
      <c r="A187" s="55"/>
      <c r="B187" s="55"/>
      <c r="C187" s="55"/>
      <c r="D187" s="55"/>
      <c r="E187" s="55"/>
      <c r="F187" s="55"/>
      <c r="G187" s="55"/>
      <c r="H187" s="55">
        <f>IF((H186-B61-B62)&gt;90,H186-50,H186)</f>
        <v>200</v>
      </c>
      <c r="I187" s="55"/>
      <c r="J187" s="55"/>
      <c r="K187" s="55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</row>
    <row r="188" spans="1:23" hidden="1">
      <c r="A188" s="55"/>
      <c r="B188" s="55"/>
      <c r="C188" s="55"/>
      <c r="D188" s="55"/>
      <c r="E188" s="55"/>
      <c r="F188" s="55"/>
      <c r="G188" s="55"/>
      <c r="H188" s="55">
        <f>IF((H187-B61-B62)&lt;30,(B61+B62+30),H187)</f>
        <v>214.42000000000002</v>
      </c>
      <c r="I188" s="55"/>
      <c r="J188" s="55"/>
      <c r="K188" s="55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</row>
    <row r="189" spans="1:23" hidden="1">
      <c r="A189" s="55"/>
      <c r="B189" s="55"/>
      <c r="C189" s="55"/>
      <c r="D189" s="55"/>
      <c r="E189" s="55"/>
      <c r="F189" s="55"/>
      <c r="G189" s="55"/>
      <c r="H189" s="55">
        <f>ROUNDUP(H188,-1)</f>
        <v>220</v>
      </c>
      <c r="I189" s="55"/>
      <c r="J189" s="55"/>
      <c r="K189" s="55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 hidden="1"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 hidden="1"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 hidden="1"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23" hidden="1"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</row>
    <row r="194" spans="1:23" hidden="1"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 hidden="1"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 hidden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 hidden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 hidden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</row>
    <row r="199" spans="1:23" hidden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</row>
    <row r="200" spans="1:23" hidden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1:23" hidden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1:23" hidden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 hidden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 hidden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 hidden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 hidden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 hidden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 hidden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 hidden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 hidden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 ht="15" hidden="1">
      <c r="A211" s="58" t="s">
        <v>53</v>
      </c>
      <c r="B211" s="58"/>
      <c r="C211" s="58"/>
      <c r="D211" s="58"/>
      <c r="E211" s="58"/>
      <c r="F211" s="58"/>
      <c r="G211" s="59">
        <f>C56</f>
        <v>0</v>
      </c>
      <c r="H211" s="60"/>
      <c r="I211" s="43"/>
      <c r="J211" s="55"/>
      <c r="K211" s="55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 ht="15" hidden="1">
      <c r="A212" s="61">
        <v>0</v>
      </c>
      <c r="B212" s="60"/>
      <c r="C212" s="60"/>
      <c r="D212" s="60"/>
      <c r="E212" s="60"/>
      <c r="F212" s="60"/>
      <c r="G212" s="61">
        <v>7500</v>
      </c>
      <c r="H212" s="62">
        <v>8.5500000000000003E-3</v>
      </c>
      <c r="I212" s="62"/>
      <c r="J212" s="61">
        <f>IF(C56&lt;G212,C56*H212,G212*H212)</f>
        <v>0</v>
      </c>
      <c r="K212" s="55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 ht="15" hidden="1">
      <c r="A213" s="61">
        <v>7500</v>
      </c>
      <c r="B213" s="60"/>
      <c r="C213" s="60"/>
      <c r="D213" s="60"/>
      <c r="E213" s="60"/>
      <c r="F213" s="60"/>
      <c r="G213" s="61">
        <v>17500</v>
      </c>
      <c r="H213" s="62">
        <v>6.8399999999999997E-3</v>
      </c>
      <c r="I213" s="62"/>
      <c r="J213" s="60" t="str">
        <f>IF(C56&lt;=A213," ",IF(C56&lt;G213,(C56-G212)*H213,(G213-A213)*H213))</f>
        <v xml:space="preserve"> </v>
      </c>
      <c r="K213" s="55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 ht="15" hidden="1">
      <c r="A214" s="61">
        <v>17500</v>
      </c>
      <c r="B214" s="60"/>
      <c r="C214" s="60"/>
      <c r="D214" s="60"/>
      <c r="E214" s="60"/>
      <c r="F214" s="60"/>
      <c r="G214" s="61">
        <v>30000</v>
      </c>
      <c r="H214" s="62">
        <v>4.5599999999999998E-3</v>
      </c>
      <c r="I214" s="62"/>
      <c r="J214" s="60" t="str">
        <f>IF(C56&lt;=A214," ",IF(C56&lt;G214,(C56-G213)*H214,(G214-A214)*H214))</f>
        <v xml:space="preserve"> </v>
      </c>
      <c r="K214" s="55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 ht="15" hidden="1">
      <c r="A215" s="61">
        <v>30000</v>
      </c>
      <c r="B215" s="60"/>
      <c r="C215" s="60"/>
      <c r="D215" s="60"/>
      <c r="E215" s="60"/>
      <c r="F215" s="60"/>
      <c r="G215" s="61">
        <v>45495</v>
      </c>
      <c r="H215" s="62">
        <v>3.4199999999999999E-3</v>
      </c>
      <c r="I215" s="62"/>
      <c r="J215" s="60" t="str">
        <f>IF(C56&lt;=A215," ",IF(C56&lt;G215,(C56-G214)*H215,(G215-A215)*H215))</f>
        <v xml:space="preserve"> </v>
      </c>
      <c r="K215" s="55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 ht="15" hidden="1">
      <c r="A216" s="61">
        <v>45495</v>
      </c>
      <c r="B216" s="60"/>
      <c r="C216" s="60"/>
      <c r="D216" s="60"/>
      <c r="E216" s="60"/>
      <c r="F216" s="60"/>
      <c r="G216" s="61">
        <v>64095</v>
      </c>
      <c r="H216" s="62">
        <v>2.2799999999999999E-3</v>
      </c>
      <c r="I216" s="62"/>
      <c r="J216" s="60" t="str">
        <f>IF(C56&lt;=A216," ",IF(C56&lt;G216,(C56-G215)*H216,(G216-A216)*H216))</f>
        <v xml:space="preserve"> </v>
      </c>
      <c r="K216" s="55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 ht="15" hidden="1">
      <c r="A217" s="61">
        <v>64095</v>
      </c>
      <c r="B217" s="60"/>
      <c r="C217" s="60"/>
      <c r="D217" s="60"/>
      <c r="E217" s="60"/>
      <c r="F217" s="60"/>
      <c r="G217" s="61">
        <v>250095</v>
      </c>
      <c r="H217" s="62">
        <v>1.14E-3</v>
      </c>
      <c r="I217" s="62"/>
      <c r="J217" s="60" t="str">
        <f>IF(C56&lt;=A217," ",IF(C56&lt;G217,(C56-G216)*H217,(G217-A217)*H217))</f>
        <v xml:space="preserve"> </v>
      </c>
      <c r="K217" s="55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 ht="15" hidden="1">
      <c r="A218" s="61">
        <v>250095</v>
      </c>
      <c r="B218" s="60"/>
      <c r="C218" s="60"/>
      <c r="D218" s="60"/>
      <c r="E218" s="60"/>
      <c r="F218" s="60"/>
      <c r="G218" s="61">
        <f>$H$8</f>
        <v>0</v>
      </c>
      <c r="H218" s="63">
        <v>3.4200000000000002E-4</v>
      </c>
      <c r="I218" s="62"/>
      <c r="J218" s="60" t="str">
        <f>IF(C56&lt;=A218," ",IF(C56&lt;G218,(C56-G217)*H218,(G218-A218)*H218))</f>
        <v xml:space="preserve"> </v>
      </c>
      <c r="K218" s="55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 ht="15" hidden="1">
      <c r="A219" s="59">
        <v>10075000</v>
      </c>
      <c r="B219" s="59"/>
      <c r="C219" s="59"/>
      <c r="D219" s="59"/>
      <c r="E219" s="59"/>
      <c r="F219" s="59"/>
      <c r="G219" s="59">
        <f>G211</f>
        <v>0</v>
      </c>
      <c r="H219" s="63">
        <v>4.5600000000000003E-4</v>
      </c>
      <c r="I219" s="59" t="str">
        <f>IF(G211&lt;=A219," E90",IF(G211&lt;G219,(G211-G218)*H219,(G219-A219)*H219))</f>
        <v xml:space="preserve"> E90</v>
      </c>
      <c r="J219" s="55"/>
      <c r="K219" s="55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 ht="15" hidden="1">
      <c r="A220" s="43"/>
      <c r="B220" s="43"/>
      <c r="C220" s="43"/>
      <c r="D220" s="43"/>
      <c r="E220" s="43"/>
      <c r="F220" s="43"/>
      <c r="G220" s="43"/>
      <c r="H220" s="43"/>
      <c r="I220" s="43"/>
      <c r="J220" s="55"/>
      <c r="K220" s="55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 ht="15" hidden="1">
      <c r="A221" s="46" t="s">
        <v>34</v>
      </c>
      <c r="B221" s="46"/>
      <c r="C221" s="46"/>
      <c r="D221" s="46"/>
      <c r="E221" s="46"/>
      <c r="F221" s="46"/>
      <c r="G221" s="43"/>
      <c r="H221" s="43"/>
      <c r="I221" s="64">
        <f>SUM(J212:J219)</f>
        <v>0</v>
      </c>
      <c r="J221" s="55"/>
      <c r="K221" s="55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 ht="15" hidden="1">
      <c r="A222" s="46"/>
      <c r="B222" s="46"/>
      <c r="C222" s="46"/>
      <c r="D222" s="46"/>
      <c r="E222" s="46"/>
      <c r="F222" s="46"/>
      <c r="G222" s="43"/>
      <c r="H222" s="43"/>
      <c r="I222" s="64"/>
      <c r="J222" s="55"/>
      <c r="K222" s="55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 ht="15" hidden="1">
      <c r="A223" s="58" t="s">
        <v>53</v>
      </c>
      <c r="B223" s="58"/>
      <c r="C223" s="58"/>
      <c r="D223" s="58"/>
      <c r="E223" s="58"/>
      <c r="F223" s="58"/>
      <c r="G223" s="59">
        <f>C52</f>
        <v>0</v>
      </c>
      <c r="H223" s="60"/>
      <c r="I223" s="43"/>
      <c r="J223" s="55"/>
      <c r="K223" s="55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 ht="15" hidden="1">
      <c r="A224" s="61">
        <v>0</v>
      </c>
      <c r="B224" s="60"/>
      <c r="C224" s="60"/>
      <c r="D224" s="60"/>
      <c r="E224" s="60"/>
      <c r="F224" s="60"/>
      <c r="G224" s="61">
        <v>7500</v>
      </c>
      <c r="H224" s="62">
        <v>8.5500000000000003E-3</v>
      </c>
      <c r="I224" s="62"/>
      <c r="J224" s="61">
        <f>IF(C52&lt;G224,C52*H224,G224*H224)</f>
        <v>0</v>
      </c>
      <c r="K224" s="55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ht="15" hidden="1">
      <c r="A225" s="61">
        <v>7500</v>
      </c>
      <c r="B225" s="60"/>
      <c r="C225" s="60"/>
      <c r="D225" s="60"/>
      <c r="E225" s="60"/>
      <c r="F225" s="60"/>
      <c r="G225" s="61">
        <v>17500</v>
      </c>
      <c r="H225" s="62">
        <v>6.8399999999999997E-3</v>
      </c>
      <c r="I225" s="62"/>
      <c r="J225" s="60" t="str">
        <f>IF(C52&lt;=A225," ",IF(C52&lt;G225,(C52-G224)*H225,(G225-A225)*H225))</f>
        <v xml:space="preserve"> </v>
      </c>
      <c r="K225" s="55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 ht="15" hidden="1">
      <c r="A226" s="61">
        <v>17500</v>
      </c>
      <c r="B226" s="60"/>
      <c r="C226" s="60"/>
      <c r="D226" s="60"/>
      <c r="E226" s="60"/>
      <c r="F226" s="60"/>
      <c r="G226" s="61">
        <v>30000</v>
      </c>
      <c r="H226" s="62">
        <v>4.5599999999999998E-3</v>
      </c>
      <c r="I226" s="62"/>
      <c r="J226" s="60" t="str">
        <f>IF(C52&lt;=A226," ",IF(C52&lt;G226,(C52-G225)*H226,(G226-A226)*H226))</f>
        <v xml:space="preserve"> </v>
      </c>
      <c r="K226" s="55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ht="15" hidden="1">
      <c r="A227" s="61">
        <v>30000</v>
      </c>
      <c r="B227" s="60"/>
      <c r="C227" s="60"/>
      <c r="D227" s="60"/>
      <c r="E227" s="60"/>
      <c r="F227" s="60"/>
      <c r="G227" s="61">
        <v>45495</v>
      </c>
      <c r="H227" s="62">
        <v>3.4199999999999999E-3</v>
      </c>
      <c r="I227" s="62"/>
      <c r="J227" s="60" t="str">
        <f>IF(C52&lt;=A227," ",IF(C52&lt;G227,(C52-G226)*H227,(G227-A227)*H227))</f>
        <v xml:space="preserve"> </v>
      </c>
      <c r="K227" s="55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ht="15" hidden="1">
      <c r="A228" s="61">
        <v>45495</v>
      </c>
      <c r="B228" s="60"/>
      <c r="C228" s="60"/>
      <c r="D228" s="60"/>
      <c r="E228" s="60"/>
      <c r="F228" s="60"/>
      <c r="G228" s="61">
        <v>64095</v>
      </c>
      <c r="H228" s="62">
        <v>2.2799999999999999E-3</v>
      </c>
      <c r="I228" s="62"/>
      <c r="J228" s="60" t="str">
        <f>IF(C52&lt;=A228," ",IF(C52&lt;G228,(C52-G227)*H228,(G228-A228)*H228))</f>
        <v xml:space="preserve"> </v>
      </c>
      <c r="K228" s="55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ht="15" hidden="1">
      <c r="A229" s="61">
        <v>64095</v>
      </c>
      <c r="B229" s="60"/>
      <c r="C229" s="60"/>
      <c r="D229" s="60"/>
      <c r="E229" s="60"/>
      <c r="F229" s="60"/>
      <c r="G229" s="61">
        <v>250095</v>
      </c>
      <c r="H229" s="62">
        <v>1.14E-3</v>
      </c>
      <c r="I229" s="62"/>
      <c r="J229" s="60" t="str">
        <f>IF(C52&lt;=A229," ",IF(C52&lt;G229,(C52-G228)*H229,(G229-A229)*H229))</f>
        <v xml:space="preserve"> </v>
      </c>
      <c r="K229" s="55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 ht="15" hidden="1">
      <c r="A230" s="61">
        <v>250095</v>
      </c>
      <c r="B230" s="60"/>
      <c r="C230" s="60"/>
      <c r="D230" s="60"/>
      <c r="E230" s="60"/>
      <c r="F230" s="60"/>
      <c r="G230" s="61">
        <f>$H$8</f>
        <v>0</v>
      </c>
      <c r="H230" s="63">
        <v>3.4200000000000002E-4</v>
      </c>
      <c r="I230" s="62"/>
      <c r="J230" s="60" t="str">
        <f>IF(C52&lt;=A230," ",IF(C52&lt;G230,(C52-G229)*H230,(G230-A230)*H230))</f>
        <v xml:space="preserve"> </v>
      </c>
      <c r="K230" s="55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 ht="15" hidden="1">
      <c r="A231" s="59">
        <v>10075000</v>
      </c>
      <c r="B231" s="59"/>
      <c r="C231" s="59"/>
      <c r="D231" s="59"/>
      <c r="E231" s="59"/>
      <c r="F231" s="59"/>
      <c r="G231" s="59">
        <f>G223</f>
        <v>0</v>
      </c>
      <c r="H231" s="63">
        <v>4.5600000000000003E-4</v>
      </c>
      <c r="I231" s="59" t="str">
        <f>IF(G223&lt;=A231," E90",IF(G223&lt;G231,(G223-G230)*H231,(G231-A231)*H231))</f>
        <v xml:space="preserve"> E90</v>
      </c>
      <c r="J231" s="55"/>
      <c r="K231" s="55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 ht="15" hidden="1">
      <c r="A232" s="43"/>
      <c r="B232" s="43"/>
      <c r="C232" s="43"/>
      <c r="D232" s="43"/>
      <c r="E232" s="43"/>
      <c r="F232" s="43"/>
      <c r="G232" s="43"/>
      <c r="H232" s="43"/>
      <c r="I232" s="43"/>
      <c r="J232" s="55"/>
      <c r="K232" s="55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 ht="15" hidden="1">
      <c r="A233" s="46" t="s">
        <v>34</v>
      </c>
      <c r="B233" s="46"/>
      <c r="C233" s="46"/>
      <c r="D233" s="46"/>
      <c r="E233" s="46"/>
      <c r="F233" s="46"/>
      <c r="G233" s="43"/>
      <c r="H233" s="43"/>
      <c r="I233" s="64">
        <f>SUM(J224:J231)</f>
        <v>0</v>
      </c>
      <c r="J233" s="55"/>
      <c r="K233" s="55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 hidden="1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 hidden="1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 ht="15" hidden="1">
      <c r="A236" s="58" t="s">
        <v>53</v>
      </c>
      <c r="B236" s="58"/>
      <c r="C236" s="58"/>
      <c r="D236" s="58"/>
      <c r="E236" s="58"/>
      <c r="F236" s="58"/>
      <c r="G236" s="59">
        <f>C56</f>
        <v>0</v>
      </c>
      <c r="H236" s="60"/>
      <c r="I236" s="43"/>
      <c r="J236" s="55"/>
      <c r="K236" s="55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 ht="15" hidden="1">
      <c r="A237" s="61">
        <v>0</v>
      </c>
      <c r="B237" s="60"/>
      <c r="C237" s="60"/>
      <c r="D237" s="60"/>
      <c r="E237" s="60"/>
      <c r="F237" s="60"/>
      <c r="G237" s="61">
        <v>7500</v>
      </c>
      <c r="H237" s="62">
        <v>1.7100000000000001E-2</v>
      </c>
      <c r="I237" s="62"/>
      <c r="J237" s="61">
        <f>IF(C56&lt;G237,C56*H237,G237*H237)</f>
        <v>0</v>
      </c>
      <c r="K237" s="55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 ht="15" hidden="1">
      <c r="A238" s="61">
        <v>7500</v>
      </c>
      <c r="B238" s="60"/>
      <c r="C238" s="60"/>
      <c r="D238" s="60"/>
      <c r="E238" s="60"/>
      <c r="F238" s="60"/>
      <c r="G238" s="61">
        <v>17500</v>
      </c>
      <c r="H238" s="62">
        <v>1.3679999999999999E-2</v>
      </c>
      <c r="I238" s="62"/>
      <c r="J238" s="60" t="str">
        <f>IF(C56&lt;=A238," ",IF(C56&lt;G238,(C56-G237)*H238,(G238-A238)*H238))</f>
        <v xml:space="preserve"> </v>
      </c>
      <c r="K238" s="55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 ht="15" hidden="1">
      <c r="A239" s="61">
        <v>17500</v>
      </c>
      <c r="B239" s="60"/>
      <c r="C239" s="60"/>
      <c r="D239" s="60"/>
      <c r="E239" s="60"/>
      <c r="F239" s="60"/>
      <c r="G239" s="61">
        <v>30000</v>
      </c>
      <c r="H239" s="62">
        <v>9.1199999999999996E-3</v>
      </c>
      <c r="I239" s="62"/>
      <c r="J239" s="60" t="str">
        <f>IF(C56&lt;=A239," ",IF(C56&lt;G239,(C56-G238)*H239,(G239-A239)*H239))</f>
        <v xml:space="preserve"> </v>
      </c>
      <c r="K239" s="55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  <row r="240" spans="1:23" ht="15" hidden="1">
      <c r="A240" s="61">
        <v>30000</v>
      </c>
      <c r="B240" s="60"/>
      <c r="C240" s="60"/>
      <c r="D240" s="60"/>
      <c r="E240" s="60"/>
      <c r="F240" s="60"/>
      <c r="G240" s="61">
        <v>45495</v>
      </c>
      <c r="H240" s="62">
        <v>6.8399999999999997E-3</v>
      </c>
      <c r="I240" s="62"/>
      <c r="J240" s="60" t="str">
        <f>IF(C56&lt;=A240," ",IF(C56&lt;G240,(C56-G239)*H240,(G240-A240)*H240))</f>
        <v xml:space="preserve"> </v>
      </c>
      <c r="K240" s="55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</row>
    <row r="241" spans="1:23" ht="15" hidden="1">
      <c r="A241" s="61">
        <v>45495</v>
      </c>
      <c r="B241" s="60"/>
      <c r="C241" s="60"/>
      <c r="D241" s="60"/>
      <c r="E241" s="60"/>
      <c r="F241" s="60"/>
      <c r="G241" s="61">
        <v>64095</v>
      </c>
      <c r="H241" s="62">
        <v>4.5599999999999998E-3</v>
      </c>
      <c r="I241" s="62"/>
      <c r="J241" s="60" t="str">
        <f>IF(C56&lt;=A241," ",IF(C56&lt;G241,(C56-G240)*H241,(G241-A241)*H241))</f>
        <v xml:space="preserve"> </v>
      </c>
      <c r="K241" s="55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</row>
    <row r="242" spans="1:23" ht="15" hidden="1">
      <c r="A242" s="61">
        <v>64095</v>
      </c>
      <c r="B242" s="60"/>
      <c r="C242" s="60"/>
      <c r="D242" s="60"/>
      <c r="E242" s="60"/>
      <c r="F242" s="60"/>
      <c r="G242" s="61">
        <v>250095</v>
      </c>
      <c r="H242" s="62">
        <v>2.2799999999999999E-3</v>
      </c>
      <c r="I242" s="62"/>
      <c r="J242" s="60" t="str">
        <f>IF(C56&lt;=A242," ",IF(C56&lt;G242,(C56-G241)*H242,(G242-A242)*H242))</f>
        <v xml:space="preserve"> </v>
      </c>
      <c r="K242" s="55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</row>
    <row r="243" spans="1:23" ht="15" hidden="1">
      <c r="A243" s="61">
        <v>250095</v>
      </c>
      <c r="B243" s="60"/>
      <c r="C243" s="60"/>
      <c r="D243" s="60"/>
      <c r="E243" s="60"/>
      <c r="F243" s="60"/>
      <c r="G243" s="61">
        <f>$H$8</f>
        <v>0</v>
      </c>
      <c r="H243" s="63">
        <v>4.5600000000000003E-4</v>
      </c>
      <c r="I243" s="62"/>
      <c r="J243" s="60" t="str">
        <f>IF(C56&lt;=A243," ",IF(C56&lt;G243,(C56-G242)*H243,(G243-A243)*H243))</f>
        <v xml:space="preserve"> </v>
      </c>
      <c r="K243" s="55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</row>
    <row r="244" spans="1:23" ht="15" hidden="1">
      <c r="A244" s="59">
        <v>10075000</v>
      </c>
      <c r="B244" s="59"/>
      <c r="C244" s="59"/>
      <c r="D244" s="59"/>
      <c r="E244" s="59"/>
      <c r="F244" s="59"/>
      <c r="G244" s="59">
        <f>G236</f>
        <v>0</v>
      </c>
      <c r="H244" s="63">
        <v>4.5600000000000003E-4</v>
      </c>
      <c r="I244" s="59" t="str">
        <f>IF(G236&lt;=A244," E90",IF(G236&lt;G244,(_C178C185)*H244,(G244-A244)*H244))</f>
        <v xml:space="preserve"> E90</v>
      </c>
      <c r="J244" s="55"/>
      <c r="K244" s="55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</row>
    <row r="245" spans="1:23" ht="15" hidden="1">
      <c r="A245" s="43"/>
      <c r="B245" s="43"/>
      <c r="C245" s="43"/>
      <c r="D245" s="43"/>
      <c r="E245" s="43"/>
      <c r="F245" s="43"/>
      <c r="G245" s="43"/>
      <c r="H245" s="43"/>
      <c r="I245" s="43"/>
      <c r="J245" s="55"/>
      <c r="K245" s="55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</row>
    <row r="246" spans="1:23" ht="15" hidden="1">
      <c r="A246" s="46" t="s">
        <v>34</v>
      </c>
      <c r="B246" s="46"/>
      <c r="C246" s="46"/>
      <c r="D246" s="46"/>
      <c r="E246" s="46"/>
      <c r="F246" s="46"/>
      <c r="G246" s="43"/>
      <c r="H246" s="43"/>
      <c r="I246" s="64">
        <f>SUM(J237:J244)</f>
        <v>0</v>
      </c>
      <c r="J246" s="55"/>
      <c r="K246" s="55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</row>
    <row r="247" spans="1:23" hidden="1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3" hidden="1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</row>
    <row r="249" spans="1:23" ht="15" hidden="1">
      <c r="A249" s="58" t="s">
        <v>53</v>
      </c>
      <c r="B249" s="58"/>
      <c r="C249" s="58"/>
      <c r="D249" s="58"/>
      <c r="E249" s="58"/>
      <c r="F249" s="58"/>
      <c r="G249" s="59">
        <f>C52</f>
        <v>0</v>
      </c>
      <c r="H249" s="60"/>
      <c r="I249" s="43"/>
      <c r="J249" s="55"/>
      <c r="K249" s="55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</row>
    <row r="250" spans="1:23" ht="15" hidden="1">
      <c r="A250" s="61">
        <v>0</v>
      </c>
      <c r="B250" s="60"/>
      <c r="C250" s="60"/>
      <c r="D250" s="60"/>
      <c r="E250" s="60"/>
      <c r="F250" s="60"/>
      <c r="G250" s="61">
        <v>7500</v>
      </c>
      <c r="H250" s="62">
        <v>1.7100000000000001E-2</v>
      </c>
      <c r="I250" s="62"/>
      <c r="J250" s="61">
        <f>IF(C52&lt;G250,C52*H250,G250*H250)</f>
        <v>0</v>
      </c>
      <c r="K250" s="55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</row>
    <row r="251" spans="1:23" ht="15" hidden="1">
      <c r="A251" s="61">
        <v>7500</v>
      </c>
      <c r="B251" s="60"/>
      <c r="C251" s="60"/>
      <c r="D251" s="60"/>
      <c r="E251" s="60"/>
      <c r="F251" s="60"/>
      <c r="G251" s="61">
        <v>17500</v>
      </c>
      <c r="H251" s="62">
        <v>1.3679999999999999E-2</v>
      </c>
      <c r="I251" s="62"/>
      <c r="J251" s="60" t="str">
        <f>IF(C52&lt;=A251," ",IF(C52&lt;G251,(C52-G250)*H251,(G251-A251)*H251))</f>
        <v xml:space="preserve"> </v>
      </c>
      <c r="K251" s="55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</row>
    <row r="252" spans="1:23" ht="15" hidden="1">
      <c r="A252" s="61">
        <v>17500</v>
      </c>
      <c r="B252" s="60"/>
      <c r="C252" s="60"/>
      <c r="D252" s="60"/>
      <c r="E252" s="60"/>
      <c r="F252" s="60"/>
      <c r="G252" s="61">
        <v>30000</v>
      </c>
      <c r="H252" s="62">
        <v>9.1199999999999996E-3</v>
      </c>
      <c r="I252" s="62"/>
      <c r="J252" s="60" t="str">
        <f>IF(C52&lt;=A252," ",IF(C52&lt;G252,(C52-G251)*H252,(G252-A252)*H252))</f>
        <v xml:space="preserve"> </v>
      </c>
      <c r="K252" s="55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</row>
    <row r="253" spans="1:23" ht="15" hidden="1">
      <c r="A253" s="61">
        <v>30000</v>
      </c>
      <c r="B253" s="60"/>
      <c r="C253" s="60"/>
      <c r="D253" s="60"/>
      <c r="E253" s="60"/>
      <c r="F253" s="60"/>
      <c r="G253" s="61">
        <v>45495</v>
      </c>
      <c r="H253" s="62">
        <v>6.8399999999999997E-3</v>
      </c>
      <c r="I253" s="62"/>
      <c r="J253" s="60" t="str">
        <f>IF(C52&lt;=A253," ",IF(C52&lt;G253,(C52-G252)*H253,(G253-A253)*H253))</f>
        <v xml:space="preserve"> </v>
      </c>
      <c r="K253" s="55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</row>
    <row r="254" spans="1:23" ht="15" hidden="1">
      <c r="A254" s="61">
        <v>45495</v>
      </c>
      <c r="B254" s="60"/>
      <c r="C254" s="60"/>
      <c r="D254" s="60"/>
      <c r="E254" s="60"/>
      <c r="F254" s="60"/>
      <c r="G254" s="61">
        <v>64095</v>
      </c>
      <c r="H254" s="62">
        <v>4.5599999999999998E-3</v>
      </c>
      <c r="I254" s="62"/>
      <c r="J254" s="60" t="str">
        <f>IF(C52&lt;=A254," ",IF(C52&lt;G254,(C52-G253)*H254,(G254-A254)*H254))</f>
        <v xml:space="preserve"> </v>
      </c>
      <c r="K254" s="55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ht="15" hidden="1">
      <c r="A255" s="61">
        <v>64095</v>
      </c>
      <c r="B255" s="60"/>
      <c r="C255" s="60"/>
      <c r="D255" s="60"/>
      <c r="E255" s="60"/>
      <c r="F255" s="60"/>
      <c r="G255" s="61">
        <v>250095</v>
      </c>
      <c r="H255" s="62">
        <v>2.2799999999999999E-3</v>
      </c>
      <c r="I255" s="62"/>
      <c r="J255" s="60" t="str">
        <f>IF(C52&lt;=A255," ",IF(C52&lt;G255,(C52-G254)*H255,(G255-A255)*H255))</f>
        <v xml:space="preserve"> </v>
      </c>
      <c r="K255" s="55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ht="15" hidden="1">
      <c r="A256" s="61">
        <v>250095</v>
      </c>
      <c r="B256" s="60"/>
      <c r="C256" s="60"/>
      <c r="D256" s="60"/>
      <c r="E256" s="60"/>
      <c r="F256" s="60"/>
      <c r="G256" s="61">
        <f>$H$8</f>
        <v>0</v>
      </c>
      <c r="H256" s="63">
        <v>4.5600000000000003E-4</v>
      </c>
      <c r="I256" s="62"/>
      <c r="J256" s="60" t="str">
        <f>IF(C52&lt;=A256," ",IF(C52&lt;G256,(C52-G255)*H256,(G256-A256)*H256))</f>
        <v xml:space="preserve"> </v>
      </c>
      <c r="K256" s="55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ht="15" hidden="1">
      <c r="A257" s="59">
        <v>10075000</v>
      </c>
      <c r="B257" s="59"/>
      <c r="C257" s="59"/>
      <c r="D257" s="59"/>
      <c r="E257" s="59"/>
      <c r="F257" s="59"/>
      <c r="G257" s="59">
        <f>G249</f>
        <v>0</v>
      </c>
      <c r="H257" s="63">
        <v>4.5600000000000003E-4</v>
      </c>
      <c r="I257" s="59" t="str">
        <f>IF(G249&lt;=A257," E90",IF(G249&lt;G257,(G249-G256)*H257,(G257-A257)*H257))</f>
        <v xml:space="preserve"> E90</v>
      </c>
      <c r="J257" s="55"/>
      <c r="K257" s="55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ht="15" hidden="1">
      <c r="A258" s="43"/>
      <c r="B258" s="43"/>
      <c r="C258" s="43"/>
      <c r="D258" s="43"/>
      <c r="E258" s="43"/>
      <c r="F258" s="43"/>
      <c r="G258" s="43"/>
      <c r="H258" s="43"/>
      <c r="I258" s="43"/>
      <c r="J258" s="55"/>
      <c r="K258" s="55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ht="15" hidden="1">
      <c r="A259" s="46" t="s">
        <v>34</v>
      </c>
      <c r="B259" s="46"/>
      <c r="C259" s="46"/>
      <c r="D259" s="46"/>
      <c r="E259" s="46"/>
      <c r="F259" s="46"/>
      <c r="G259" s="43"/>
      <c r="H259" s="43"/>
      <c r="I259" s="64">
        <f>SUM(J250:J257)</f>
        <v>0</v>
      </c>
      <c r="J259" s="55"/>
      <c r="K259" s="55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idden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idden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</row>
    <row r="262" spans="1:23" hidden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</row>
    <row r="263" spans="1:23" hidden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</row>
    <row r="264" spans="1:2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</row>
    <row r="265" spans="1:2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</row>
    <row r="266" spans="1:2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1:2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1:2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</row>
    <row r="269" spans="1:2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</row>
    <row r="270" spans="1:2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</row>
    <row r="271" spans="1:2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</row>
    <row r="272" spans="1:2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</row>
    <row r="273" spans="1:2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</row>
    <row r="274" spans="1:2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</row>
    <row r="275" spans="1:2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</row>
    <row r="276" spans="1:2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</row>
    <row r="277" spans="1:2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</row>
    <row r="278" spans="1:2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</row>
    <row r="279" spans="1:2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</row>
    <row r="280" spans="1:2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</row>
    <row r="281" spans="1:2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</row>
    <row r="282" spans="1:2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</row>
    <row r="283" spans="1:2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</row>
    <row r="284" spans="1:2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</row>
    <row r="285" spans="1:2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</row>
    <row r="286" spans="1:2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</row>
    <row r="287" spans="1:2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>
      <c r="A291" s="6"/>
      <c r="B291" s="6"/>
      <c r="C291" s="6"/>
      <c r="D291" s="6"/>
      <c r="E291" s="6"/>
      <c r="F291" s="6"/>
      <c r="G291" s="6"/>
    </row>
  </sheetData>
  <sheetProtection algorithmName="SHA-512" hashValue="qUCayGxyBqkbuo5SBgahdUaaymDBzflMBrbvhbF3Ei9VLoXLTWCFNXDAzkcK+pFxUv/QGimrckmHUJHCT597MA==" saltValue="It80nNL4yJzKachnE7vFzQ==" spinCount="100000" sheet="1" objects="1" scenarios="1"/>
  <phoneticPr fontId="0" type="noConversion"/>
  <dataValidations count="5">
    <dataValidation type="list" allowBlank="1" showInputMessage="1" showErrorMessage="1" sqref="B14">
      <formula1>$G$148:$G$149</formula1>
    </dataValidation>
    <dataValidation type="list" allowBlank="1" showInputMessage="1" showErrorMessage="1" sqref="B15">
      <formula1>$H$148:$H$149</formula1>
    </dataValidation>
    <dataValidation type="list" allowBlank="1" showInputMessage="1" showErrorMessage="1" sqref="B12">
      <formula1>$F$148:$F$149</formula1>
    </dataValidation>
    <dataValidation type="list" allowBlank="1" showInputMessage="1" showErrorMessage="1" sqref="B7">
      <formula1>$K$148:$K$149</formula1>
    </dataValidation>
    <dataValidation type="list" allowBlank="1" showInputMessage="1" showErrorMessage="1" sqref="B16">
      <formula1>$F$148:$F$149</formula1>
    </dataValidation>
  </dataValidations>
  <hyperlinks>
    <hyperlink ref="C104" r:id="rId1"/>
    <hyperlink ref="C102" r:id="rId2"/>
    <hyperlink ref="B102" r:id="rId3"/>
    <hyperlink ref="B106" r:id="rId4"/>
    <hyperlink ref="B10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VKVBTWBREYNEPWHV</vt:lpstr>
      <vt:lpstr>VKVBTWBREYNEPWHV!_1._Zegels_Minuut_Brevet</vt:lpstr>
      <vt:lpstr>VKVBTWBREYNEPWHV!_2._Registratie_Minuut_Brevet</vt:lpstr>
      <vt:lpstr>VKVBTWBREYNEPWHV!_3._Registratie_aanhangsel</vt:lpstr>
      <vt:lpstr>VKVBTWBREYNEPWHV!Aard</vt:lpstr>
      <vt:lpstr>VKVBTWBREYNEPWHV!Afdrukbereik</vt:lpstr>
      <vt:lpstr>VKVBTWBREYNEPWHV!Datum</vt:lpstr>
      <vt:lpstr>VKVBTWBREYNEPWHV!KOSTENFICHE</vt:lpstr>
      <vt:lpstr>VKVBTWBREYNEPWHV!Rep.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2014-11-15T16:54:04Z</dcterms:modified>
</cp:coreProperties>
</file>