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PWHV" sheetId="1" r:id="rId1"/>
  </sheets>
  <definedNames>
    <definedName name="_1._Zegels_Minuut_Brevet" localSheetId="0">VKVPWHV!$A$17:$J$17</definedName>
    <definedName name="_1._Zegels_Minuut_Brevet">#REF!</definedName>
    <definedName name="_10._Tweede_getuigschrift" localSheetId="0">VKVPWHV!#REF!</definedName>
    <definedName name="_10._Tweede_getuigschrift">#REF!</definedName>
    <definedName name="_11._Kadaster_uittreksel" localSheetId="0">VKVPWHV!#REF!</definedName>
    <definedName name="_11._Kadaster_uittreksel">#REF!</definedName>
    <definedName name="_12._Getuigen" localSheetId="0">VKVPWHV!#REF!</definedName>
    <definedName name="_12._Getuigen">#REF!</definedName>
    <definedName name="_13._Allerlei_uitgaven" localSheetId="0">VKVPWHV!#REF!</definedName>
    <definedName name="_13._Allerlei_uitgaven">#REF!</definedName>
    <definedName name="_14." localSheetId="0">VKVPWHV!#REF!</definedName>
    <definedName name="_14.">#REF!</definedName>
    <definedName name="_15." localSheetId="0">VKVPWHV!#REF!</definedName>
    <definedName name="_15.">#REF!</definedName>
    <definedName name="_2._Registratie_Minuut_Brevet" localSheetId="0">VKVPWHV!$B$23:$K$23</definedName>
    <definedName name="_2._Registratie_Minuut_Brevet">#REF!</definedName>
    <definedName name="_3._Registratie_aanhangsel" localSheetId="0">VKVPWHV!$I$24:$K$24</definedName>
    <definedName name="_3._Registratie_aanhangsel">#REF!</definedName>
    <definedName name="_4.Zegels_afschrift_grosse" localSheetId="0">VKVPWHV!#REF!</definedName>
    <definedName name="_4.Zegels_afschrift_grosse">#REF!</definedName>
    <definedName name="_5._Hypotheek__inschr._overschr._doorh." localSheetId="0">VKVPWHV!#REF!</definedName>
    <definedName name="_5._Hypotheek__inschr._overschr._doorh.">#REF!</definedName>
    <definedName name="_6._Loon_pandbewaarder" localSheetId="0">VKVPWHV!#REF!</definedName>
    <definedName name="_6._Loon_pandbewaarder">#REF!</definedName>
    <definedName name="_7._Zegels__bord._aanh." localSheetId="0">VKVPWHV!#REF!</definedName>
    <definedName name="_7._Zegels__bord._aanh.">#REF!</definedName>
    <definedName name="_8._Opzoekingen" localSheetId="0">VKVPWHV!#REF!</definedName>
    <definedName name="_8._Opzoekingen">#REF!</definedName>
    <definedName name="_9._Hypothecair_getuigschrift" localSheetId="0">VKVPWHV!#REF!</definedName>
    <definedName name="_9._Hypothecair_getuigschrift">#REF!</definedName>
    <definedName name="Aard" localSheetId="0">VKVPWHV!$B$4:$J$4</definedName>
    <definedName name="Aard">#REF!</definedName>
    <definedName name="_xlnm.Print_Area" localSheetId="0">VKVPWHV!$A$1:$I$43</definedName>
    <definedName name="Datum" localSheetId="0">VKVPWHV!$B$4:$K$40</definedName>
    <definedName name="Datum">#REF!</definedName>
    <definedName name="gemeentelijke_info">#REF!</definedName>
    <definedName name="Kantoor_van_Notaris_J._SIMONART_te_Leuven" localSheetId="0">VKVPWHV!#REF!</definedName>
    <definedName name="Kantoor_van_Notaris_J._SIMONART_te_Leuven">#REF!</definedName>
    <definedName name="KOSTENFICHE" localSheetId="0">VKVPWHV!$A$1:$K$40</definedName>
    <definedName name="KOSTENFICHE">#REF!</definedName>
    <definedName name="Last_Row">IF(Values_Entered,Header_Row+Number_of_Payments,Header_Row)</definedName>
    <definedName name="Naam" localSheetId="0">VKVPWHV!$B$9:$J$9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VKVPWHV!$J$4:$J$42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VKVPWHV!#REF!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VKVPWHV!$A$3:$K$40</definedName>
  </definedNames>
  <calcPr calcId="152511"/>
</workbook>
</file>

<file path=xl/calcChain.xml><?xml version="1.0" encoding="utf-8"?>
<calcChain xmlns="http://schemas.openxmlformats.org/spreadsheetml/2006/main">
  <c r="G37" i="1" l="1"/>
  <c r="G40" i="1" s="1"/>
  <c r="H145" i="1"/>
  <c r="G22" i="1"/>
  <c r="C145" i="1"/>
  <c r="B145" i="1"/>
  <c r="F144" i="1"/>
  <c r="F145" i="1"/>
  <c r="G145" i="1" s="1"/>
  <c r="H144" i="1" s="1"/>
  <c r="C144" i="1"/>
  <c r="C146" i="1"/>
  <c r="C148" i="1" s="1"/>
  <c r="D146" i="1" s="1"/>
  <c r="E146" i="1" s="1"/>
  <c r="G21" i="1" s="1"/>
  <c r="B144" i="1"/>
  <c r="B7" i="1"/>
  <c r="J162" i="1"/>
  <c r="G18" i="1"/>
  <c r="G19" i="1"/>
  <c r="G24" i="1"/>
  <c r="G39" i="1"/>
  <c r="C48" i="1"/>
  <c r="G228" i="1" s="1"/>
  <c r="C52" i="1"/>
  <c r="J217" i="1"/>
  <c r="I226" i="1" s="1"/>
  <c r="G54" i="1" s="1"/>
  <c r="C57" i="1"/>
  <c r="H191" i="1"/>
  <c r="H192" i="1" s="1"/>
  <c r="H193" i="1" s="1"/>
  <c r="H194" i="1" s="1"/>
  <c r="D60" i="1" s="1"/>
  <c r="C58" i="1"/>
  <c r="D62" i="1"/>
  <c r="A183" i="1" s="1"/>
  <c r="D68" i="1" s="1"/>
  <c r="G69" i="1" s="1"/>
  <c r="D64" i="1"/>
  <c r="D66" i="1"/>
  <c r="C79" i="1"/>
  <c r="I115" i="1"/>
  <c r="G106" i="1"/>
  <c r="G108" i="1" s="1"/>
  <c r="D86" i="1" s="1"/>
  <c r="H106" i="1"/>
  <c r="I106" i="1"/>
  <c r="I114" i="1"/>
  <c r="I122" i="1" s="1"/>
  <c r="I123" i="1" s="1"/>
  <c r="G83" i="1" s="1"/>
  <c r="G88" i="1" s="1"/>
  <c r="I116" i="1"/>
  <c r="I118" i="1"/>
  <c r="G120" i="1"/>
  <c r="B136" i="1"/>
  <c r="G136" i="1"/>
  <c r="B137" i="1"/>
  <c r="G137" i="1"/>
  <c r="G179" i="1"/>
  <c r="H179" i="1"/>
  <c r="J218" i="1"/>
  <c r="J220" i="1"/>
  <c r="J221" i="1"/>
  <c r="G223" i="1"/>
  <c r="J223" i="1"/>
  <c r="G224" i="1"/>
  <c r="G235" i="1"/>
  <c r="G241" i="1"/>
  <c r="J244" i="1"/>
  <c r="J245" i="1"/>
  <c r="G248" i="1"/>
  <c r="J248" i="1"/>
  <c r="J257" i="1"/>
  <c r="G261" i="1"/>
  <c r="J260" i="1"/>
  <c r="J256" i="1"/>
  <c r="J230" i="1"/>
  <c r="I120" i="1"/>
  <c r="I117" i="1"/>
  <c r="G112" i="1"/>
  <c r="G262" i="1"/>
  <c r="J255" i="1"/>
  <c r="G236" i="1"/>
  <c r="I236" i="1"/>
  <c r="J233" i="1"/>
  <c r="J229" i="1"/>
  <c r="J261" i="1"/>
  <c r="G254" i="1"/>
  <c r="J235" i="1"/>
  <c r="J232" i="1"/>
  <c r="I119" i="1"/>
  <c r="G168" i="1"/>
  <c r="J167" i="1"/>
  <c r="J164" i="1"/>
  <c r="J163" i="1"/>
  <c r="J166" i="1"/>
  <c r="J168" i="1"/>
  <c r="J165" i="1"/>
  <c r="J170" i="1" s="1"/>
  <c r="G17" i="1" s="1"/>
  <c r="G28" i="1" s="1"/>
  <c r="J234" i="1"/>
  <c r="I262" i="1"/>
  <c r="K175" i="1"/>
  <c r="K177" i="1" s="1"/>
  <c r="K179" i="1" s="1"/>
  <c r="D55" i="1" s="1"/>
  <c r="C59" i="1"/>
  <c r="G249" i="1"/>
  <c r="J246" i="1"/>
  <c r="J242" i="1"/>
  <c r="I251" i="1" s="1"/>
  <c r="I224" i="1"/>
  <c r="J222" i="1"/>
  <c r="G216" i="1"/>
  <c r="I249" i="1"/>
  <c r="J247" i="1"/>
  <c r="J243" i="1"/>
  <c r="J219" i="1"/>
  <c r="G20" i="1"/>
  <c r="G27" i="1" s="1"/>
  <c r="G30" i="1" l="1"/>
  <c r="G55" i="1"/>
  <c r="G72" i="1" s="1"/>
  <c r="G68" i="1"/>
  <c r="G70" i="1" s="1"/>
  <c r="G92" i="1"/>
  <c r="D88" i="1"/>
  <c r="G89" i="1"/>
  <c r="G90" i="1" s="1"/>
  <c r="G94" i="1" s="1"/>
  <c r="J258" i="1"/>
  <c r="J259" i="1"/>
  <c r="I264" i="1" s="1"/>
  <c r="J231" i="1"/>
  <c r="I238" i="1" s="1"/>
  <c r="G42" i="1"/>
  <c r="G74" i="1" l="1"/>
</calcChain>
</file>

<file path=xl/comments1.xml><?xml version="1.0" encoding="utf-8"?>
<comments xmlns="http://schemas.openxmlformats.org/spreadsheetml/2006/main">
  <authors>
    <author>licentie</author>
  </authors>
  <commentList>
    <comment ref="D56" authorId="0" shapeId="0">
      <text>
        <r>
          <rPr>
            <b/>
            <sz val="10"/>
            <color indexed="81"/>
            <rFont val="Tahoma"/>
            <family val="2"/>
          </rPr>
          <t>Hier vul je het werkelijk bedrag van registratie bijlagen in.</t>
        </r>
      </text>
    </comment>
  </commentList>
</comments>
</file>

<file path=xl/sharedStrings.xml><?xml version="1.0" encoding="utf-8"?>
<sst xmlns="http://schemas.openxmlformats.org/spreadsheetml/2006/main" count="136" uniqueCount="85">
  <si>
    <t>Dossier</t>
  </si>
  <si>
    <t>Cliënt</t>
  </si>
  <si>
    <t>Prijs</t>
  </si>
  <si>
    <t>Lasten:</t>
  </si>
  <si>
    <t>Basis</t>
  </si>
  <si>
    <t>Betaald voorschot</t>
  </si>
  <si>
    <t>Meeneembaarheid? (bedrag invullen)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</si>
  <si>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</si>
  <si>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</si>
  <si>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</si>
  <si>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</si>
  <si>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Klein beschrijf</t>
  </si>
  <si>
    <t>Meeneembaarheid</t>
  </si>
  <si>
    <t>Abattement</t>
  </si>
  <si>
    <t>Verhoogd abattement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</si>
  <si>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</si>
  <si>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</si>
  <si>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</si>
  <si>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</si>
  <si>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</si>
  <si>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</si>
  <si>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</si>
  <si>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</si>
  <si>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</si>
  <si>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</si>
  <si>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Bodemattesten</t>
  </si>
  <si>
    <t>Andere</t>
  </si>
  <si>
    <t>Totaal uitgaven voor verkoper:</t>
  </si>
  <si>
    <t>Algemeen totaal verkoper: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</si>
  <si>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</si>
  <si>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</si>
  <si>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</si>
  <si>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</si>
  <si>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</si>
  <si>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</si>
  <si>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</si>
  <si>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</si>
  <si>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</si>
  <si>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ja</t>
  </si>
  <si>
    <t>neen</t>
  </si>
  <si>
    <t>Klein beschrijf?</t>
  </si>
  <si>
    <t>Abattement?</t>
  </si>
  <si>
    <t>Verhoogd abattement?</t>
  </si>
  <si>
    <t>Sociaal krediet voor minstens 50%?</t>
  </si>
  <si>
    <t>Oude inschrijving</t>
  </si>
  <si>
    <t>Hoofdsom</t>
  </si>
  <si>
    <t>Aanhor.</t>
  </si>
  <si>
    <t>Nieuwe inschrijving</t>
  </si>
  <si>
    <t>1. Registratie Minuut-Brevet</t>
  </si>
  <si>
    <t>(BTW)</t>
  </si>
  <si>
    <t>2. Registratie bijlagen</t>
  </si>
  <si>
    <t xml:space="preserve">           Hypotheekloon inschrijving</t>
  </si>
  <si>
    <t xml:space="preserve">           Hypotheekloon doorhaling</t>
  </si>
  <si>
    <t xml:space="preserve">           Inschrijvingsrecht</t>
  </si>
  <si>
    <t>3. Provisie hypotheekkosten</t>
  </si>
  <si>
    <t>4. Recht op geschriften</t>
  </si>
  <si>
    <t>5. Allerlei uitgaven</t>
  </si>
  <si>
    <t>6. Stedenbouwkundige info of uittreksel</t>
  </si>
  <si>
    <t>Totaal uitgaven</t>
  </si>
  <si>
    <t>Totaal</t>
  </si>
  <si>
    <t>Tot. Uitg.</t>
  </si>
  <si>
    <t>Samen</t>
  </si>
  <si>
    <t>plus BTW</t>
  </si>
  <si>
    <t>Totaal:</t>
  </si>
  <si>
    <t>PANDWISSEL BIJ AANKOOP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</si>
  <si>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</si>
  <si>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</si>
  <si>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</si>
  <si>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</si>
  <si>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</si>
  <si>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</si>
  <si>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</si>
  <si>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Loon hypotheekbewaarder doorhaling</t>
  </si>
  <si>
    <t>Boekje</t>
  </si>
  <si>
    <t>HYPOTHECAIRE VOLMACHT KOPER</t>
  </si>
  <si>
    <t>Hoeveel hypotheekkantoren?</t>
  </si>
  <si>
    <t>Recht op geschriften</t>
  </si>
  <si>
    <t>Registratierecht akte</t>
  </si>
  <si>
    <t>Registratierecht bijlagen</t>
  </si>
  <si>
    <t>Tarief</t>
  </si>
  <si>
    <t>Ereloon G</t>
  </si>
  <si>
    <t>Lening</t>
  </si>
  <si>
    <t>Hypothecaire volmacht</t>
  </si>
  <si>
    <t>Aandeel basisakte of verkavelingsakte</t>
  </si>
  <si>
    <t>VERKOOP ONROEREND GOED VLAANDEREN MET HYPOTHEEKRUIL EN HYPOTHECAIRE VOLMACHT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</si>
</sst>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_-* #,##0.00\ [$EUR]_-;\-* #,##0.00\ [$EUR]_-;_-* &quot;-&quot;??\ [$EUR]_-;_-@_-"/>
    <numFmt numFmtId="168" formatCode="#,##0.00\ [$EUR]"/>
    <numFmt numFmtId="169" formatCode="#,##0&quot; BF&quot;;\-#,##0&quot; BF&quot;"/>
    <numFmt numFmtId="170" formatCode="0.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  <numFmt numFmtId="179" formatCode="#,##0&quot; Fr&quot;;\-#,##0&quot; Fr&quot;"/>
    <numFmt numFmtId="180" formatCode="0.0000%"/>
    <numFmt numFmtId="181" formatCode="#,##0.00\ &quot;BF&quot;;\-#,##0.00\ &quot;BF&quot;"/>
  </numFmts>
  <fonts count="19" x14ac:knownFonts="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u/>
      <sz val="10"/>
      <name val="Arial"/>
      <family val="2"/>
    </font>
    <font>
      <sz val="9"/>
      <color indexed="9"/>
      <name val="Arial"/>
      <family val="2"/>
    </font>
    <font>
      <b/>
      <sz val="10"/>
      <color indexed="81"/>
      <name val="Tahoma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6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0"/>
      </patternFill>
    </fill>
    <fill>
      <patternFill patternType="solid">
        <fgColor rgb="FF0000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2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1" fontId="7" fillId="0" borderId="0">
      <protection locked="0"/>
    </xf>
    <xf numFmtId="172" fontId="1" fillId="0" borderId="0" applyFont="0" applyFill="0" applyBorder="0" applyAlignment="0" applyProtection="0"/>
    <xf numFmtId="173" fontId="7" fillId="0" borderId="0">
      <protection locked="0"/>
    </xf>
    <xf numFmtId="174" fontId="1" fillId="0" borderId="0" applyFont="0" applyFill="0" applyBorder="0" applyAlignment="0" applyProtection="0"/>
    <xf numFmtId="175" fontId="7" fillId="0" borderId="0">
      <protection locked="0"/>
    </xf>
    <xf numFmtId="176" fontId="7" fillId="0" borderId="0">
      <protection locked="0"/>
    </xf>
    <xf numFmtId="177" fontId="8" fillId="0" borderId="0">
      <protection locked="0"/>
    </xf>
    <xf numFmtId="177" fontId="8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8" fontId="7" fillId="0" borderId="0">
      <protection locked="0"/>
    </xf>
    <xf numFmtId="0" fontId="9" fillId="0" borderId="0"/>
    <xf numFmtId="0" fontId="14" fillId="0" borderId="0"/>
    <xf numFmtId="0" fontId="1" fillId="0" borderId="0"/>
    <xf numFmtId="0" fontId="14" fillId="0" borderId="0"/>
    <xf numFmtId="177" fontId="7" fillId="0" borderId="1">
      <protection locked="0"/>
    </xf>
    <xf numFmtId="0" fontId="18" fillId="0" borderId="16" applyNumberFormat="0" applyFill="0" applyAlignment="0" applyProtection="0"/>
  </cellStyleXfs>
  <cellXfs count="130">
    <xf numFmtId="0" fontId="0" fillId="0" borderId="0" xfId="0"/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protection hidden="1"/>
    </xf>
    <xf numFmtId="0" fontId="2" fillId="2" borderId="0" xfId="13" applyNumberFormat="1" applyFont="1" applyFill="1" applyBorder="1" applyAlignment="1" applyProtection="1">
      <alignment horizontal="left"/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7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center"/>
      <protection hidden="1"/>
    </xf>
    <xf numFmtId="167" fontId="1" fillId="2" borderId="0" xfId="13" applyNumberFormat="1" applyFont="1" applyFill="1" applyBorder="1" applyAlignment="1" applyProtection="1">
      <alignment horizontal="left"/>
      <protection hidden="1"/>
    </xf>
    <xf numFmtId="166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2" borderId="2" xfId="13" applyFont="1" applyFill="1" applyBorder="1" applyAlignment="1" applyProtection="1">
      <alignment horizontal="left"/>
      <protection hidden="1"/>
    </xf>
    <xf numFmtId="166" fontId="1" fillId="2" borderId="3" xfId="13" applyNumberFormat="1" applyFont="1" applyFill="1" applyBorder="1" applyAlignment="1" applyProtection="1">
      <alignment horizontal="left"/>
      <protection hidden="1"/>
    </xf>
    <xf numFmtId="167" fontId="1" fillId="2" borderId="0" xfId="13" applyNumberFormat="1" applyFill="1" applyBorder="1" applyAlignment="1" applyProtection="1">
      <alignment horizontal="left"/>
      <protection hidden="1"/>
    </xf>
    <xf numFmtId="0" fontId="1" fillId="2" borderId="0" xfId="13" applyFill="1" applyBorder="1" applyAlignment="1" applyProtection="1">
      <alignment horizontal="center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3" xfId="13" applyFont="1" applyFill="1" applyBorder="1" applyAlignment="1" applyProtection="1">
      <alignment horizontal="left"/>
      <protection hidden="1"/>
    </xf>
    <xf numFmtId="0" fontId="1" fillId="2" borderId="3" xfId="13" applyFont="1" applyFill="1" applyBorder="1" applyProtection="1"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7" fontId="1" fillId="2" borderId="0" xfId="13" applyNumberFormat="1" applyFill="1" applyBorder="1" applyProtection="1">
      <protection hidden="1"/>
    </xf>
    <xf numFmtId="0" fontId="1" fillId="2" borderId="4" xfId="13" applyFont="1" applyFill="1" applyBorder="1" applyAlignment="1" applyProtection="1">
      <alignment horizontal="left"/>
      <protection hidden="1"/>
    </xf>
    <xf numFmtId="0" fontId="1" fillId="2" borderId="2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7" fontId="1" fillId="2" borderId="0" xfId="13" applyNumberFormat="1" applyFill="1" applyProtection="1">
      <protection hidden="1"/>
    </xf>
    <xf numFmtId="0" fontId="1" fillId="2" borderId="5" xfId="13" applyFill="1" applyBorder="1" applyAlignment="1" applyProtection="1">
      <alignment horizontal="left"/>
      <protection hidden="1"/>
    </xf>
    <xf numFmtId="0" fontId="1" fillId="2" borderId="6" xfId="13" applyFill="1" applyBorder="1" applyAlignment="1" applyProtection="1">
      <alignment horizontal="left"/>
      <protection hidden="1"/>
    </xf>
    <xf numFmtId="0" fontId="1" fillId="2" borderId="7" xfId="13" applyFont="1" applyFill="1" applyBorder="1" applyProtection="1">
      <protection hidden="1"/>
    </xf>
    <xf numFmtId="0" fontId="1" fillId="2" borderId="8" xfId="13" applyFont="1" applyFill="1" applyBorder="1" applyAlignment="1" applyProtection="1">
      <alignment horizontal="left"/>
      <protection hidden="1"/>
    </xf>
    <xf numFmtId="0" fontId="1" fillId="2" borderId="9" xfId="13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>
      <protection hidden="1"/>
    </xf>
    <xf numFmtId="3" fontId="1" fillId="2" borderId="0" xfId="13" applyNumberFormat="1" applyFont="1" applyFill="1" applyProtection="1">
      <protection hidden="1"/>
    </xf>
    <xf numFmtId="167" fontId="1" fillId="2" borderId="0" xfId="13" applyNumberFormat="1" applyFont="1" applyFill="1" applyProtection="1">
      <protection hidden="1"/>
    </xf>
    <xf numFmtId="3" fontId="1" fillId="2" borderId="0" xfId="13" applyNumberFormat="1" applyFont="1" applyFill="1"/>
    <xf numFmtId="0" fontId="1" fillId="2" borderId="0" xfId="13" applyFill="1" applyBorder="1" applyProtection="1"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3" fontId="1" fillId="2" borderId="0" xfId="13" applyNumberFormat="1" applyFont="1" applyFill="1" applyProtection="1"/>
    <xf numFmtId="164" fontId="1" fillId="2" borderId="0" xfId="13" applyNumberFormat="1" applyFill="1" applyBorder="1" applyAlignment="1" applyProtection="1">
      <protection hidden="1"/>
    </xf>
    <xf numFmtId="1" fontId="1" fillId="2" borderId="0" xfId="13" applyNumberFormat="1" applyFill="1" applyBorder="1" applyAlignment="1" applyProtection="1">
      <alignment horizontal="right"/>
      <protection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3" fontId="3" fillId="2" borderId="0" xfId="9" applyNumberFormat="1" applyFill="1" applyAlignment="1" applyProtection="1"/>
    <xf numFmtId="0" fontId="4" fillId="2" borderId="10" xfId="13" applyFont="1" applyFill="1" applyBorder="1" applyAlignment="1" applyProtection="1">
      <alignment horizontal="left"/>
      <protection hidden="1"/>
    </xf>
    <xf numFmtId="179" fontId="5" fillId="2" borderId="10" xfId="13" applyNumberFormat="1" applyFont="1" applyFill="1" applyBorder="1" applyProtection="1">
      <protection hidden="1"/>
    </xf>
    <xf numFmtId="169" fontId="5" fillId="2" borderId="0" xfId="13" applyNumberFormat="1" applyFont="1" applyFill="1" applyProtection="1">
      <protection hidden="1"/>
    </xf>
    <xf numFmtId="0" fontId="5" fillId="2" borderId="0" xfId="13" applyFont="1" applyFill="1" applyProtection="1">
      <protection hidden="1"/>
    </xf>
    <xf numFmtId="169" fontId="4" fillId="2" borderId="10" xfId="13" applyNumberFormat="1" applyFont="1" applyFill="1" applyBorder="1" applyAlignment="1" applyProtection="1">
      <alignment horizontal="center"/>
      <protection hidden="1"/>
    </xf>
    <xf numFmtId="0" fontId="4" fillId="2" borderId="10" xfId="13" applyFont="1" applyFill="1" applyBorder="1" applyAlignment="1" applyProtection="1">
      <alignment horizontal="center"/>
      <protection hidden="1"/>
    </xf>
    <xf numFmtId="170" fontId="5" fillId="2" borderId="10" xfId="13" applyNumberFormat="1" applyFont="1" applyFill="1" applyBorder="1" applyProtection="1">
      <protection hidden="1"/>
    </xf>
    <xf numFmtId="180" fontId="5" fillId="2" borderId="10" xfId="13" applyNumberFormat="1" applyFont="1" applyFill="1" applyBorder="1" applyProtection="1">
      <protection hidden="1"/>
    </xf>
    <xf numFmtId="169" fontId="4" fillId="2" borderId="0" xfId="13" applyNumberFormat="1" applyFont="1" applyFill="1" applyBorder="1" applyAlignment="1" applyProtection="1">
      <alignment horizontal="center"/>
      <protection hidden="1"/>
    </xf>
    <xf numFmtId="179" fontId="4" fillId="2" borderId="10" xfId="13" applyNumberFormat="1" applyFont="1" applyFill="1" applyBorder="1" applyProtection="1">
      <protection hidden="1"/>
    </xf>
    <xf numFmtId="181" fontId="1" fillId="2" borderId="0" xfId="13" applyNumberFormat="1" applyFill="1" applyProtection="1">
      <protection hidden="1"/>
    </xf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11" xfId="13" applyNumberFormat="1" applyFont="1" applyFill="1" applyBorder="1" applyProtection="1">
      <protection hidden="1"/>
    </xf>
    <xf numFmtId="0" fontId="4" fillId="2" borderId="12" xfId="13" applyFont="1" applyFill="1" applyBorder="1" applyAlignment="1" applyProtection="1">
      <alignment horizontal="center"/>
      <protection hidden="1"/>
    </xf>
    <xf numFmtId="168" fontId="5" fillId="2" borderId="10" xfId="13" applyNumberFormat="1" applyFont="1" applyFill="1" applyBorder="1" applyProtection="1">
      <protection hidden="1"/>
    </xf>
    <xf numFmtId="169" fontId="5" fillId="2" borderId="10" xfId="13" applyNumberFormat="1" applyFont="1" applyFill="1" applyBorder="1" applyProtection="1">
      <protection hidden="1"/>
    </xf>
    <xf numFmtId="170" fontId="5" fillId="2" borderId="12" xfId="13" applyNumberFormat="1" applyFont="1" applyFill="1" applyBorder="1" applyProtection="1">
      <protection hidden="1"/>
    </xf>
    <xf numFmtId="0" fontId="5" fillId="2" borderId="13" xfId="13" applyFont="1" applyFill="1" applyBorder="1" applyProtection="1">
      <protection hidden="1"/>
    </xf>
    <xf numFmtId="0" fontId="5" fillId="2" borderId="0" xfId="13" applyFont="1" applyFill="1" applyBorder="1" applyProtection="1">
      <protection hidden="1"/>
    </xf>
    <xf numFmtId="0" fontId="6" fillId="2" borderId="14" xfId="13" applyFont="1" applyFill="1" applyBorder="1" applyProtection="1">
      <protection hidden="1"/>
    </xf>
    <xf numFmtId="0" fontId="5" fillId="2" borderId="14" xfId="13" applyFont="1" applyFill="1" applyBorder="1" applyProtection="1">
      <protection hidden="1"/>
    </xf>
    <xf numFmtId="168" fontId="4" fillId="2" borderId="10" xfId="13" applyNumberFormat="1" applyFont="1" applyFill="1" applyBorder="1" applyProtection="1">
      <protection hidden="1"/>
    </xf>
    <xf numFmtId="0" fontId="11" fillId="3" borderId="0" xfId="13" applyFont="1" applyFill="1" applyBorder="1" applyAlignment="1" applyProtection="1">
      <alignment horizontal="left"/>
      <protection hidden="1"/>
    </xf>
    <xf numFmtId="0" fontId="11" fillId="3" borderId="0" xfId="13" applyFont="1" applyFill="1" applyBorder="1" applyAlignment="1" applyProtection="1">
      <alignment horizontal="right"/>
      <protection hidden="1"/>
    </xf>
    <xf numFmtId="0" fontId="1" fillId="2" borderId="0" xfId="13" applyFill="1" applyBorder="1" applyAlignment="1" applyProtection="1">
      <protection hidden="1"/>
    </xf>
    <xf numFmtId="166" fontId="1" fillId="2" borderId="0" xfId="13" applyNumberFormat="1" applyFill="1" applyBorder="1" applyProtection="1">
      <protection hidden="1"/>
    </xf>
    <xf numFmtId="0" fontId="4" fillId="4" borderId="0" xfId="13" applyFont="1" applyFill="1" applyBorder="1" applyAlignment="1" applyProtection="1">
      <alignment horizontal="left"/>
      <protection hidden="1"/>
    </xf>
    <xf numFmtId="179" fontId="5" fillId="4" borderId="0" xfId="13" applyNumberFormat="1" applyFont="1" applyFill="1" applyBorder="1" applyProtection="1">
      <protection hidden="1"/>
    </xf>
    <xf numFmtId="169" fontId="5" fillId="4" borderId="0" xfId="13" applyNumberFormat="1" applyFont="1" applyFill="1" applyBorder="1" applyProtection="1">
      <protection hidden="1"/>
    </xf>
    <xf numFmtId="0" fontId="5" fillId="4" borderId="0" xfId="13" applyFont="1" applyFill="1" applyBorder="1" applyProtection="1">
      <protection hidden="1"/>
    </xf>
    <xf numFmtId="168" fontId="5" fillId="4" borderId="0" xfId="13" applyNumberFormat="1" applyFont="1" applyFill="1" applyBorder="1" applyProtection="1">
      <protection hidden="1"/>
    </xf>
    <xf numFmtId="170" fontId="5" fillId="4" borderId="0" xfId="13" applyNumberFormat="1" applyFont="1" applyFill="1" applyBorder="1" applyProtection="1">
      <protection hidden="1"/>
    </xf>
    <xf numFmtId="180" fontId="5" fillId="4" borderId="0" xfId="13" applyNumberFormat="1" applyFont="1" applyFill="1" applyBorder="1" applyProtection="1">
      <protection hidden="1"/>
    </xf>
    <xf numFmtId="169" fontId="4" fillId="4" borderId="0" xfId="13" applyNumberFormat="1" applyFont="1" applyFill="1" applyBorder="1" applyAlignment="1" applyProtection="1">
      <alignment horizontal="center"/>
      <protection hidden="1"/>
    </xf>
    <xf numFmtId="168" fontId="4" fillId="4" borderId="0" xfId="13" applyNumberFormat="1" applyFont="1" applyFill="1" applyBorder="1" applyProtection="1">
      <protection hidden="1"/>
    </xf>
    <xf numFmtId="0" fontId="15" fillId="5" borderId="15" xfId="13" applyFont="1" applyFill="1" applyBorder="1" applyAlignment="1" applyProtection="1">
      <alignment horizontal="left"/>
      <protection hidden="1"/>
    </xf>
    <xf numFmtId="0" fontId="16" fillId="5" borderId="15" xfId="13" applyFont="1" applyFill="1" applyBorder="1" applyAlignment="1" applyProtection="1">
      <alignment horizontal="left"/>
      <protection hidden="1"/>
    </xf>
    <xf numFmtId="0" fontId="17" fillId="5" borderId="15" xfId="13" applyNumberFormat="1" applyFont="1" applyFill="1" applyBorder="1" applyAlignment="1" applyProtection="1">
      <protection hidden="1"/>
    </xf>
    <xf numFmtId="0" fontId="1" fillId="6" borderId="0" xfId="13" applyFont="1" applyFill="1" applyBorder="1" applyAlignment="1" applyProtection="1">
      <alignment horizontal="left"/>
      <protection hidden="1"/>
    </xf>
    <xf numFmtId="0" fontId="1" fillId="7" borderId="0" xfId="13" applyFont="1" applyFill="1" applyBorder="1" applyAlignment="1" applyProtection="1">
      <alignment horizontal="center"/>
      <protection locked="0" hidden="1"/>
    </xf>
    <xf numFmtId="0" fontId="2" fillId="8" borderId="8" xfId="13" applyFont="1" applyFill="1" applyBorder="1" applyAlignment="1" applyProtection="1">
      <alignment horizontal="left"/>
      <protection hidden="1"/>
    </xf>
    <xf numFmtId="0" fontId="1" fillId="7" borderId="0" xfId="13" applyFill="1" applyBorder="1" applyAlignment="1" applyProtection="1">
      <alignment horizontal="center"/>
      <protection locked="0" hidden="1"/>
    </xf>
    <xf numFmtId="0" fontId="2" fillId="9" borderId="8" xfId="13" applyFont="1" applyFill="1" applyBorder="1" applyAlignment="1" applyProtection="1">
      <alignment horizontal="left"/>
      <protection hidden="1"/>
    </xf>
    <xf numFmtId="0" fontId="15" fillId="5" borderId="0" xfId="13" applyFont="1" applyFill="1" applyProtection="1">
      <protection hidden="1"/>
    </xf>
    <xf numFmtId="0" fontId="16" fillId="5" borderId="0" xfId="13" applyFont="1" applyFill="1" applyProtection="1">
      <protection hidden="1"/>
    </xf>
    <xf numFmtId="0" fontId="10" fillId="2" borderId="0" xfId="13" applyFont="1" applyFill="1" applyBorder="1" applyAlignment="1" applyProtection="1">
      <alignment horizontal="left"/>
      <protection hidden="1"/>
    </xf>
    <xf numFmtId="166" fontId="2" fillId="2" borderId="0" xfId="13" applyNumberFormat="1" applyFont="1" applyFill="1" applyBorder="1" applyAlignment="1" applyProtection="1">
      <protection hidden="1"/>
    </xf>
    <xf numFmtId="0" fontId="17" fillId="5" borderId="0" xfId="13" applyFont="1" applyFill="1" applyProtection="1">
      <protection hidden="1"/>
    </xf>
    <xf numFmtId="164" fontId="1" fillId="7" borderId="0" xfId="13" applyNumberFormat="1" applyFill="1" applyBorder="1" applyAlignment="1" applyProtection="1">
      <protection locked="0" hidden="1"/>
    </xf>
    <xf numFmtId="164" fontId="1" fillId="10" borderId="0" xfId="13" applyNumberFormat="1" applyFill="1" applyBorder="1" applyAlignment="1" applyProtection="1">
      <protection hidden="1"/>
    </xf>
    <xf numFmtId="1" fontId="1" fillId="7" borderId="0" xfId="13" applyNumberFormat="1" applyFill="1" applyBorder="1" applyAlignment="1" applyProtection="1">
      <alignment horizontal="center"/>
      <protection locked="0" hidden="1"/>
    </xf>
    <xf numFmtId="164" fontId="1" fillId="7" borderId="0" xfId="13" applyNumberFormat="1" applyFill="1" applyBorder="1" applyAlignment="1" applyProtection="1">
      <alignment horizontal="right"/>
      <protection locked="0" hidden="1"/>
    </xf>
    <xf numFmtId="164" fontId="1" fillId="2" borderId="0" xfId="13" applyNumberFormat="1" applyFill="1" applyBorder="1" applyProtection="1">
      <protection hidden="1"/>
    </xf>
    <xf numFmtId="164" fontId="1" fillId="2" borderId="0" xfId="13" applyNumberFormat="1" applyFont="1" applyFill="1" applyBorder="1" applyProtection="1">
      <protection hidden="1"/>
    </xf>
    <xf numFmtId="0" fontId="2" fillId="2" borderId="0" xfId="13" applyFont="1" applyFill="1" applyBorder="1" applyProtection="1">
      <protection hidden="1"/>
    </xf>
    <xf numFmtId="164" fontId="2" fillId="8" borderId="8" xfId="13" applyNumberFormat="1" applyFont="1" applyFill="1" applyBorder="1" applyProtection="1">
      <protection hidden="1"/>
    </xf>
    <xf numFmtId="0" fontId="1" fillId="2" borderId="2" xfId="13" applyFill="1" applyBorder="1"/>
    <xf numFmtId="0" fontId="2" fillId="7" borderId="0" xfId="13" applyNumberFormat="1" applyFont="1" applyFill="1" applyBorder="1" applyAlignment="1" applyProtection="1">
      <alignment horizontal="left"/>
      <protection locked="0"/>
    </xf>
    <xf numFmtId="0" fontId="1" fillId="6" borderId="0" xfId="13" applyFont="1" applyFill="1" applyBorder="1" applyAlignment="1" applyProtection="1">
      <alignment horizontal="left"/>
      <protection locked="0"/>
    </xf>
    <xf numFmtId="165" fontId="1" fillId="2" borderId="3" xfId="13" applyNumberFormat="1" applyFill="1" applyBorder="1" applyProtection="1">
      <protection hidden="1"/>
    </xf>
    <xf numFmtId="165" fontId="1" fillId="2" borderId="0" xfId="13" applyNumberFormat="1" applyFill="1" applyBorder="1" applyAlignment="1" applyProtection="1">
      <alignment horizontal="left"/>
      <protection hidden="1"/>
    </xf>
    <xf numFmtId="165" fontId="1" fillId="2" borderId="0" xfId="13" applyNumberFormat="1" applyFill="1"/>
    <xf numFmtId="165" fontId="1" fillId="7" borderId="0" xfId="13" applyNumberFormat="1" applyFill="1" applyBorder="1" applyAlignment="1" applyProtection="1">
      <alignment horizontal="left"/>
      <protection locked="0" hidden="1"/>
    </xf>
    <xf numFmtId="165" fontId="13" fillId="6" borderId="0" xfId="0" applyNumberFormat="1" applyFont="1" applyFill="1" applyBorder="1" applyAlignment="1" applyProtection="1">
      <alignment horizontal="left"/>
      <protection locked="0" hidden="1"/>
    </xf>
    <xf numFmtId="165" fontId="1" fillId="2" borderId="3" xfId="13" applyNumberFormat="1" applyFill="1" applyBorder="1" applyAlignment="1" applyProtection="1">
      <alignment horizontal="left"/>
      <protection hidden="1"/>
    </xf>
    <xf numFmtId="165" fontId="1" fillId="2" borderId="0" xfId="13" applyNumberFormat="1" applyFill="1" applyBorder="1" applyProtection="1">
      <protection hidden="1"/>
    </xf>
    <xf numFmtId="165" fontId="1" fillId="8" borderId="8" xfId="13" applyNumberFormat="1" applyFill="1" applyBorder="1" applyProtection="1">
      <protection hidden="1"/>
    </xf>
    <xf numFmtId="165" fontId="1" fillId="7" borderId="0" xfId="13" applyNumberFormat="1" applyFill="1" applyBorder="1" applyAlignment="1" applyProtection="1">
      <alignment horizontal="left"/>
      <protection hidden="1"/>
    </xf>
    <xf numFmtId="165" fontId="1" fillId="2" borderId="3" xfId="13" applyNumberFormat="1" applyFill="1" applyBorder="1" applyAlignment="1" applyProtection="1">
      <protection hidden="1"/>
    </xf>
    <xf numFmtId="165" fontId="1" fillId="2" borderId="0" xfId="13" applyNumberFormat="1" applyFill="1" applyBorder="1" applyAlignment="1" applyProtection="1">
      <protection hidden="1"/>
    </xf>
    <xf numFmtId="165" fontId="1" fillId="9" borderId="8" xfId="13" applyNumberFormat="1" applyFill="1" applyBorder="1" applyAlignment="1" applyProtection="1">
      <protection hidden="1"/>
    </xf>
    <xf numFmtId="49" fontId="1" fillId="2" borderId="0" xfId="13" applyNumberFormat="1" applyFont="1" applyFill="1" applyBorder="1" applyAlignment="1" applyProtection="1">
      <alignment horizontal="center"/>
      <protection hidden="1"/>
    </xf>
    <xf numFmtId="165" fontId="1" fillId="2" borderId="0" xfId="13" applyNumberFormat="1" applyFill="1" applyBorder="1" applyAlignment="1" applyProtection="1">
      <alignment horizontal="right"/>
      <protection hidden="1"/>
    </xf>
    <xf numFmtId="165" fontId="1" fillId="2" borderId="0" xfId="13" applyNumberFormat="1" applyFont="1" applyFill="1" applyBorder="1" applyAlignment="1" applyProtection="1">
      <alignment horizontal="left"/>
      <protection hidden="1"/>
    </xf>
    <xf numFmtId="165" fontId="2" fillId="8" borderId="8" xfId="13" applyNumberFormat="1" applyFont="1" applyFill="1" applyBorder="1" applyProtection="1">
      <protection hidden="1"/>
    </xf>
    <xf numFmtId="165" fontId="1" fillId="7" borderId="0" xfId="13" applyNumberFormat="1" applyFill="1" applyBorder="1" applyAlignment="1" applyProtection="1">
      <protection locked="0" hidden="1"/>
    </xf>
    <xf numFmtId="165" fontId="1" fillId="10" borderId="0" xfId="13" applyNumberFormat="1" applyFill="1" applyBorder="1" applyAlignment="1" applyProtection="1">
      <protection hidden="1"/>
    </xf>
    <xf numFmtId="165" fontId="1" fillId="11" borderId="0" xfId="13" applyNumberFormat="1" applyFill="1" applyBorder="1" applyAlignment="1" applyProtection="1">
      <protection locked="0" hidden="1"/>
    </xf>
    <xf numFmtId="165" fontId="1" fillId="11" borderId="0" xfId="13" applyNumberFormat="1" applyFont="1" applyFill="1" applyBorder="1" applyAlignment="1" applyProtection="1">
      <alignment horizontal="left"/>
      <protection locked="0" hidden="1"/>
    </xf>
    <xf numFmtId="165" fontId="1" fillId="6" borderId="0" xfId="13" applyNumberFormat="1" applyFill="1" applyBorder="1" applyAlignment="1" applyProtection="1">
      <protection locked="0" hidden="1"/>
    </xf>
    <xf numFmtId="165" fontId="1" fillId="12" borderId="0" xfId="13" applyNumberFormat="1" applyFill="1" applyBorder="1" applyAlignment="1" applyProtection="1">
      <protection hidden="1"/>
    </xf>
    <xf numFmtId="165" fontId="1" fillId="7" borderId="0" xfId="13" applyNumberFormat="1" applyFont="1" applyFill="1" applyBorder="1" applyAlignment="1" applyProtection="1">
      <alignment horizontal="left"/>
      <protection locked="0" hidden="1"/>
    </xf>
    <xf numFmtId="166" fontId="17" fillId="2" borderId="15" xfId="13" applyNumberFormat="1" applyFont="1" applyFill="1" applyBorder="1" applyAlignment="1" applyProtection="1">
      <protection hidden="1"/>
    </xf>
    <xf numFmtId="0" fontId="1" fillId="7" borderId="0" xfId="13" applyFill="1" applyBorder="1" applyAlignment="1" applyProtection="1">
      <alignment horizontal="center"/>
      <protection locked="0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VKVPWHVDAC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VKVPWHVAV.xlsx" TargetMode="External"/><Relationship Id="rId1" Type="http://schemas.openxmlformats.org/officeDocument/2006/relationships/hyperlink" Target="VKVPWHVAK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Boekje.xlsx" TargetMode="External"/><Relationship Id="rId4" Type="http://schemas.openxmlformats.org/officeDocument/2006/relationships/hyperlink" Target="VKVPWHV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269"/>
  <sheetViews>
    <sheetView tabSelected="1" zoomScaleNormal="100" workbookViewId="0">
      <selection activeCell="B3" sqref="B3"/>
    </sheetView>
  </sheetViews>
  <sheetFormatPr defaultRowHeight="12.75" x14ac:dyDescent="0.2"/>
  <cols>
    <col min="1" max="1" width="33.140625" style="1" customWidth="1"/>
    <col min="2" max="2" width="19.85546875" style="1" customWidth="1"/>
    <col min="3" max="3" width="18.7109375" style="1" customWidth="1"/>
    <col min="4" max="4" width="17.28515625" style="1" customWidth="1"/>
    <col min="5" max="5" width="7.140625" style="1" customWidth="1"/>
    <col min="6" max="6" width="10.42578125" style="1" customWidth="1"/>
    <col min="7" max="7" width="17.5703125" style="1" customWidth="1"/>
    <col min="8" max="8" width="15.42578125" style="1" customWidth="1"/>
    <col min="9" max="9" width="16.7109375" style="1" customWidth="1"/>
    <col min="10" max="10" width="12.28515625" style="1" customWidth="1"/>
    <col min="11" max="11" width="15.85546875" style="1" bestFit="1" customWidth="1"/>
    <col min="12" max="20" width="9.140625" style="1"/>
    <col min="21" max="21" width="12.140625" style="1" bestFit="1" customWidth="1"/>
    <col min="22" max="16384" width="9.140625" style="1"/>
  </cols>
  <sheetData>
    <row r="1" spans="1:11" ht="27.75" customHeight="1" thickTop="1" x14ac:dyDescent="0.3">
      <c r="A1" s="81" t="s">
        <v>84</v>
      </c>
      <c r="B1" s="82"/>
      <c r="C1" s="82"/>
      <c r="D1" s="82"/>
      <c r="E1" s="82"/>
      <c r="F1" s="82"/>
      <c r="G1" s="82"/>
      <c r="H1" s="82"/>
      <c r="I1" s="83"/>
      <c r="J1" s="128"/>
      <c r="K1" s="128"/>
    </row>
    <row r="2" spans="1:11" x14ac:dyDescent="0.2">
      <c r="A2" s="2"/>
      <c r="B2" s="2"/>
      <c r="C2" s="2"/>
      <c r="D2" s="2"/>
      <c r="E2" s="2"/>
      <c r="F2" s="2"/>
      <c r="G2" s="2"/>
      <c r="H2" s="2"/>
      <c r="I2" s="3"/>
      <c r="J2" s="3"/>
      <c r="K2" s="3"/>
    </row>
    <row r="3" spans="1:11" x14ac:dyDescent="0.2">
      <c r="A3" s="2" t="s">
        <v>0</v>
      </c>
      <c r="B3" s="103"/>
      <c r="C3" s="4"/>
      <c r="D3" s="4"/>
      <c r="E3" s="4"/>
      <c r="F3" s="4"/>
      <c r="G3" s="2"/>
      <c r="H3" s="2"/>
      <c r="I3" s="3"/>
      <c r="J3" s="3"/>
      <c r="K3" s="5"/>
    </row>
    <row r="4" spans="1:11" x14ac:dyDescent="0.2">
      <c r="A4" s="2" t="s">
        <v>1</v>
      </c>
      <c r="B4" s="104"/>
      <c r="C4" s="84"/>
      <c r="D4" s="84"/>
      <c r="E4" s="84"/>
      <c r="F4" s="6"/>
      <c r="G4" s="7"/>
      <c r="H4" s="8"/>
      <c r="I4" s="8"/>
      <c r="J4" s="3"/>
    </row>
    <row r="5" spans="1:11" x14ac:dyDescent="0.2">
      <c r="A5" s="3" t="s">
        <v>2</v>
      </c>
      <c r="B5" s="121">
        <v>0</v>
      </c>
      <c r="C5" s="9"/>
      <c r="D5" s="9"/>
      <c r="E5" s="9"/>
      <c r="F5" s="9"/>
      <c r="G5" s="7"/>
      <c r="H5" s="3"/>
      <c r="I5" s="9"/>
      <c r="J5" s="3"/>
    </row>
    <row r="6" spans="1:11" x14ac:dyDescent="0.2">
      <c r="A6" s="3" t="s">
        <v>3</v>
      </c>
      <c r="B6" s="121">
        <v>0</v>
      </c>
      <c r="C6" s="9"/>
      <c r="D6" s="9"/>
      <c r="E6" s="9"/>
      <c r="F6" s="9"/>
      <c r="G6" s="7"/>
      <c r="H6" s="3"/>
      <c r="I6" s="9"/>
      <c r="J6" s="3"/>
    </row>
    <row r="7" spans="1:11" x14ac:dyDescent="0.2">
      <c r="A7" s="12" t="s">
        <v>4</v>
      </c>
      <c r="B7" s="122">
        <f>B5+B6</f>
        <v>0</v>
      </c>
      <c r="C7" s="9"/>
      <c r="D7" s="9"/>
      <c r="E7" s="9"/>
      <c r="F7" s="9"/>
      <c r="G7" s="7"/>
      <c r="H7" s="3"/>
      <c r="I7" s="9"/>
      <c r="J7" s="3"/>
    </row>
    <row r="8" spans="1:11" x14ac:dyDescent="0.2">
      <c r="A8" s="6" t="s">
        <v>5</v>
      </c>
      <c r="B8" s="123">
        <v>0</v>
      </c>
      <c r="C8" s="9"/>
      <c r="D8" s="9"/>
      <c r="E8" s="9"/>
      <c r="F8" s="9"/>
      <c r="G8" s="7"/>
      <c r="H8" s="3"/>
      <c r="I8" s="9"/>
      <c r="J8" s="3"/>
    </row>
    <row r="9" spans="1:11" x14ac:dyDescent="0.2">
      <c r="A9" s="6" t="s">
        <v>40</v>
      </c>
      <c r="B9" s="85" t="s">
        <v>39</v>
      </c>
      <c r="C9" s="10"/>
      <c r="D9" s="10"/>
      <c r="E9" s="10"/>
      <c r="F9" s="10"/>
      <c r="G9" s="7"/>
      <c r="H9" s="8"/>
      <c r="I9" s="8"/>
      <c r="J9" s="3"/>
    </row>
    <row r="10" spans="1:11" x14ac:dyDescent="0.2">
      <c r="A10" s="6" t="s">
        <v>6</v>
      </c>
      <c r="B10" s="124">
        <v>0</v>
      </c>
      <c r="C10" s="11"/>
      <c r="D10" s="11"/>
      <c r="E10" s="11"/>
      <c r="F10" s="11"/>
      <c r="G10" s="7"/>
      <c r="H10" s="8"/>
      <c r="I10" s="8"/>
      <c r="J10" s="3"/>
    </row>
    <row r="11" spans="1:11" x14ac:dyDescent="0.2">
      <c r="A11" s="6" t="s">
        <v>41</v>
      </c>
      <c r="B11" s="85" t="s">
        <v>39</v>
      </c>
      <c r="C11" s="10"/>
      <c r="D11" s="10"/>
      <c r="E11" s="10"/>
      <c r="F11" s="10"/>
      <c r="G11" s="7"/>
      <c r="H11" s="7"/>
      <c r="I11" s="12"/>
      <c r="J11" s="3"/>
      <c r="K11" s="9"/>
    </row>
    <row r="12" spans="1:11" x14ac:dyDescent="0.2">
      <c r="A12" s="6" t="s">
        <v>42</v>
      </c>
      <c r="B12" s="85" t="s">
        <v>39</v>
      </c>
      <c r="C12" s="10"/>
      <c r="D12" s="10"/>
      <c r="E12" s="10"/>
      <c r="F12" s="10"/>
      <c r="G12" s="6"/>
      <c r="H12" s="8"/>
      <c r="I12" s="8"/>
      <c r="J12" s="3"/>
      <c r="K12" s="3"/>
    </row>
    <row r="13" spans="1:11" x14ac:dyDescent="0.2">
      <c r="A13" s="6" t="s">
        <v>43</v>
      </c>
      <c r="B13" s="85" t="s">
        <v>39</v>
      </c>
      <c r="C13" s="10"/>
      <c r="D13" s="10"/>
      <c r="E13" s="10"/>
      <c r="F13" s="10"/>
      <c r="G13" s="6"/>
      <c r="H13" s="2"/>
      <c r="I13" s="3"/>
      <c r="J13" s="3"/>
      <c r="K13" s="3"/>
    </row>
    <row r="14" spans="1:11" ht="13.5" thickBot="1" x14ac:dyDescent="0.25">
      <c r="A14" s="13" t="s">
        <v>7</v>
      </c>
      <c r="B14" s="2"/>
      <c r="C14" s="2"/>
      <c r="D14" s="2"/>
      <c r="E14" s="2"/>
      <c r="F14" s="2"/>
      <c r="G14" s="2"/>
      <c r="H14" s="2"/>
      <c r="I14" s="3"/>
      <c r="J14" s="3"/>
      <c r="K14" s="3"/>
    </row>
    <row r="15" spans="1:11" ht="14.25" thickTop="1" thickBot="1" x14ac:dyDescent="0.25">
      <c r="A15" s="86" t="s">
        <v>8</v>
      </c>
      <c r="B15" s="14"/>
      <c r="C15" s="2"/>
      <c r="D15" s="2"/>
      <c r="E15" s="2"/>
      <c r="F15" s="2"/>
      <c r="G15" s="2"/>
      <c r="H15" s="2"/>
      <c r="I15" s="3"/>
      <c r="J15" s="3"/>
      <c r="K15" s="3"/>
    </row>
    <row r="16" spans="1:11" ht="14.25" thickTop="1" thickBot="1" x14ac:dyDescent="0.25">
      <c r="A16" s="2"/>
      <c r="B16" s="2"/>
      <c r="C16" s="2"/>
      <c r="D16" s="2"/>
      <c r="E16" s="2"/>
      <c r="F16" s="2"/>
      <c r="G16" s="2"/>
      <c r="H16" s="2"/>
      <c r="I16" s="3"/>
      <c r="J16" s="3"/>
      <c r="K16" s="3"/>
    </row>
    <row r="17" spans="1:11" ht="14.25" thickTop="1" thickBot="1" x14ac:dyDescent="0.25">
      <c r="A17" s="15" t="s">
        <v>9</v>
      </c>
      <c r="B17" s="2"/>
      <c r="C17" s="2"/>
      <c r="D17" s="2"/>
      <c r="E17" s="2"/>
      <c r="F17" s="2"/>
      <c r="G17" s="105">
        <f>IF(AND(B9="ja",B13="ja"),J170-250,J170)</f>
        <v>0</v>
      </c>
      <c r="J17" s="8"/>
    </row>
    <row r="18" spans="1:11" ht="13.5" thickTop="1" x14ac:dyDescent="0.2">
      <c r="A18" s="6" t="s">
        <v>10</v>
      </c>
      <c r="B18" s="7"/>
      <c r="C18" s="7"/>
      <c r="D18" s="7"/>
      <c r="E18" s="7"/>
      <c r="F18" s="7"/>
      <c r="G18" s="106">
        <f>B7*10/100</f>
        <v>0</v>
      </c>
      <c r="I18" s="3"/>
      <c r="J18" s="12"/>
      <c r="K18" s="9"/>
    </row>
    <row r="19" spans="1:11" x14ac:dyDescent="0.2">
      <c r="A19" s="6"/>
      <c r="B19" s="6" t="s">
        <v>11</v>
      </c>
      <c r="C19" s="6"/>
      <c r="D19" s="6"/>
      <c r="E19" s="6"/>
      <c r="F19" s="7"/>
      <c r="G19" s="106">
        <f>IF(B9="ja",-G18/2,0)</f>
        <v>0</v>
      </c>
      <c r="I19" s="3"/>
      <c r="J19" s="12"/>
      <c r="K19" s="9"/>
    </row>
    <row r="20" spans="1:11" x14ac:dyDescent="0.2">
      <c r="A20" s="6"/>
      <c r="B20" s="6" t="s">
        <v>12</v>
      </c>
      <c r="C20" s="6"/>
      <c r="D20" s="6"/>
      <c r="E20" s="6"/>
      <c r="F20" s="7"/>
      <c r="G20" s="106">
        <f>IF(B10&gt;(G18+G19),-(G18+G19),-B10)</f>
        <v>0</v>
      </c>
      <c r="I20" s="3"/>
      <c r="J20" s="12"/>
      <c r="K20" s="9"/>
    </row>
    <row r="21" spans="1:11" x14ac:dyDescent="0.2">
      <c r="A21" s="6"/>
      <c r="B21" s="6" t="s">
        <v>13</v>
      </c>
      <c r="C21" s="6"/>
      <c r="D21" s="6"/>
      <c r="E21" s="6"/>
      <c r="F21" s="7"/>
      <c r="G21" s="107">
        <f>E146</f>
        <v>0</v>
      </c>
      <c r="I21" s="3"/>
      <c r="J21" s="12"/>
      <c r="K21" s="9"/>
    </row>
    <row r="22" spans="1:11" x14ac:dyDescent="0.2">
      <c r="A22" s="6"/>
      <c r="B22" s="6" t="s">
        <v>14</v>
      </c>
      <c r="C22" s="6"/>
      <c r="D22" s="6"/>
      <c r="E22" s="6"/>
      <c r="F22" s="7"/>
      <c r="G22" s="106">
        <f>H145</f>
        <v>0</v>
      </c>
      <c r="I22" s="3"/>
      <c r="J22" s="12"/>
      <c r="K22" s="9"/>
    </row>
    <row r="23" spans="1:11" x14ac:dyDescent="0.2">
      <c r="A23" s="7" t="s">
        <v>15</v>
      </c>
      <c r="B23" s="7"/>
      <c r="C23" s="7"/>
      <c r="D23" s="7"/>
      <c r="E23" s="7"/>
      <c r="F23" s="7"/>
      <c r="G23" s="108">
        <v>0</v>
      </c>
      <c r="I23" s="3"/>
      <c r="J23" s="3"/>
      <c r="K23" s="3"/>
    </row>
    <row r="24" spans="1:11" x14ac:dyDescent="0.2">
      <c r="A24" s="6" t="s">
        <v>16</v>
      </c>
      <c r="B24" s="87">
        <v>0</v>
      </c>
      <c r="C24" s="17"/>
      <c r="D24" s="17"/>
      <c r="E24" s="17"/>
      <c r="F24" s="7"/>
      <c r="G24" s="106">
        <f>B24*30</f>
        <v>0</v>
      </c>
      <c r="I24" s="3"/>
      <c r="J24" s="3"/>
      <c r="K24" s="3"/>
    </row>
    <row r="25" spans="1:11" x14ac:dyDescent="0.2">
      <c r="A25" s="6" t="s">
        <v>17</v>
      </c>
      <c r="B25" s="7"/>
      <c r="C25" s="7"/>
      <c r="D25" s="7"/>
      <c r="E25" s="7"/>
      <c r="F25" s="7"/>
      <c r="G25" s="108">
        <v>770</v>
      </c>
      <c r="I25" s="3"/>
      <c r="J25" s="3"/>
      <c r="K25" s="3"/>
    </row>
    <row r="26" spans="1:11" ht="15.75" thickBot="1" x14ac:dyDescent="0.3">
      <c r="A26" s="18" t="s">
        <v>83</v>
      </c>
      <c r="B26" s="19"/>
      <c r="C26" s="19"/>
      <c r="D26" s="19"/>
      <c r="E26" s="19"/>
      <c r="F26" s="19"/>
      <c r="G26" s="109">
        <v>0</v>
      </c>
      <c r="I26" s="3"/>
      <c r="J26" s="3"/>
      <c r="K26" s="3"/>
    </row>
    <row r="27" spans="1:11" ht="14.25" thickTop="1" thickBot="1" x14ac:dyDescent="0.25">
      <c r="A27" s="20" t="s">
        <v>18</v>
      </c>
      <c r="B27" s="7"/>
      <c r="C27" s="7"/>
      <c r="D27" s="7"/>
      <c r="E27" s="7"/>
      <c r="G27" s="110">
        <f>SUM(G18:G26)</f>
        <v>770</v>
      </c>
      <c r="J27" s="3"/>
      <c r="K27" s="3"/>
    </row>
    <row r="28" spans="1:11" ht="14.25" thickTop="1" thickBot="1" x14ac:dyDescent="0.25">
      <c r="B28" s="7"/>
      <c r="C28" s="7"/>
      <c r="D28" s="7"/>
      <c r="E28" s="7"/>
      <c r="F28" s="21" t="s">
        <v>19</v>
      </c>
      <c r="G28" s="105">
        <f>(G17+G25)*21%</f>
        <v>161.69999999999999</v>
      </c>
      <c r="J28" s="3"/>
      <c r="K28" s="3"/>
    </row>
    <row r="29" spans="1:11" ht="14.25" thickTop="1" thickBot="1" x14ac:dyDescent="0.25">
      <c r="A29" s="22"/>
      <c r="B29" s="7"/>
      <c r="C29" s="7"/>
      <c r="D29" s="7"/>
      <c r="E29" s="7"/>
      <c r="F29" s="23"/>
      <c r="G29" s="111"/>
      <c r="J29" s="3"/>
      <c r="K29" s="3"/>
    </row>
    <row r="30" spans="1:11" ht="14.25" thickTop="1" thickBot="1" x14ac:dyDescent="0.25">
      <c r="A30" s="25" t="s">
        <v>20</v>
      </c>
      <c r="B30" s="26"/>
      <c r="C30" s="7"/>
      <c r="D30" s="7"/>
      <c r="E30" s="7"/>
      <c r="F30" s="27"/>
      <c r="G30" s="112">
        <f>SUM(G17:G28)-G27</f>
        <v>931.7</v>
      </c>
      <c r="J30" s="3"/>
      <c r="K30" s="3"/>
    </row>
    <row r="31" spans="1:11" ht="14.25" thickTop="1" thickBot="1" x14ac:dyDescent="0.25">
      <c r="A31" s="6"/>
      <c r="B31" s="7"/>
      <c r="C31" s="7"/>
      <c r="D31" s="7"/>
      <c r="E31" s="7"/>
      <c r="F31" s="7"/>
      <c r="G31" s="27"/>
      <c r="I31" s="28"/>
      <c r="J31" s="3"/>
      <c r="K31" s="3"/>
    </row>
    <row r="32" spans="1:11" ht="14.25" thickTop="1" thickBot="1" x14ac:dyDescent="0.25">
      <c r="A32" s="88" t="s">
        <v>21</v>
      </c>
      <c r="B32" s="26"/>
      <c r="C32" s="7"/>
      <c r="D32" s="7"/>
      <c r="E32" s="7"/>
      <c r="F32" s="7"/>
      <c r="G32" s="16"/>
      <c r="I32" s="3"/>
      <c r="J32" s="3"/>
      <c r="K32" s="3"/>
    </row>
    <row r="33" spans="1:27" ht="13.5" thickTop="1" x14ac:dyDescent="0.2">
      <c r="A33" s="6"/>
      <c r="B33" s="7"/>
      <c r="C33" s="7"/>
      <c r="D33" s="7"/>
      <c r="E33" s="7"/>
      <c r="F33" s="7"/>
      <c r="G33" s="16"/>
      <c r="I33" s="3"/>
      <c r="J33" s="3"/>
      <c r="K33" s="3"/>
    </row>
    <row r="34" spans="1:27" x14ac:dyDescent="0.2">
      <c r="A34" s="6" t="s">
        <v>22</v>
      </c>
      <c r="B34" s="7"/>
      <c r="C34" s="7"/>
      <c r="D34" s="7"/>
      <c r="E34" s="7"/>
      <c r="F34" s="7"/>
      <c r="G34" s="108">
        <v>0</v>
      </c>
      <c r="I34" s="3"/>
      <c r="J34" s="3"/>
      <c r="K34" s="3"/>
    </row>
    <row r="35" spans="1:27" x14ac:dyDescent="0.2">
      <c r="A35" s="6" t="s">
        <v>23</v>
      </c>
      <c r="B35" s="7"/>
      <c r="C35" s="7"/>
      <c r="D35" s="7"/>
      <c r="E35" s="7"/>
      <c r="F35" s="7"/>
      <c r="G35" s="108">
        <v>0</v>
      </c>
      <c r="I35" s="3"/>
      <c r="J35" s="3"/>
      <c r="K35" s="3"/>
    </row>
    <row r="36" spans="1:27" x14ac:dyDescent="0.2">
      <c r="A36" s="6" t="s">
        <v>24</v>
      </c>
      <c r="B36" s="7"/>
      <c r="C36" s="7"/>
      <c r="D36" s="7"/>
      <c r="E36" s="7"/>
      <c r="F36" s="7"/>
      <c r="G36" s="108">
        <v>0</v>
      </c>
      <c r="I36" s="3"/>
      <c r="J36" s="3"/>
      <c r="K36" s="3"/>
    </row>
    <row r="37" spans="1:27" x14ac:dyDescent="0.2">
      <c r="A37" s="6" t="s">
        <v>25</v>
      </c>
      <c r="B37" s="117"/>
      <c r="C37" s="129">
        <v>0</v>
      </c>
      <c r="D37" s="117"/>
      <c r="E37" s="8"/>
      <c r="F37" s="7"/>
      <c r="G37" s="113">
        <f>C37*50</f>
        <v>0</v>
      </c>
      <c r="I37" s="3"/>
      <c r="J37" s="3"/>
      <c r="K37" s="3"/>
      <c r="L37" s="8"/>
      <c r="M37" s="8"/>
      <c r="N37" s="8"/>
      <c r="O37" s="8"/>
      <c r="P37" s="8"/>
      <c r="Q37" s="8"/>
      <c r="R37" s="8"/>
      <c r="S37" s="8"/>
    </row>
    <row r="38" spans="1:27" ht="13.5" thickBot="1" x14ac:dyDescent="0.25">
      <c r="A38" s="6" t="s">
        <v>26</v>
      </c>
      <c r="B38" s="7"/>
      <c r="C38" s="7"/>
      <c r="D38" s="7"/>
      <c r="E38" s="7"/>
      <c r="F38" s="7"/>
      <c r="G38" s="108">
        <v>0</v>
      </c>
      <c r="I38" s="3"/>
      <c r="J38" s="3"/>
      <c r="K38" s="3"/>
    </row>
    <row r="39" spans="1:27" ht="14.25" thickTop="1" thickBot="1" x14ac:dyDescent="0.25">
      <c r="A39" s="20" t="s">
        <v>27</v>
      </c>
      <c r="B39" s="7"/>
      <c r="C39" s="7"/>
      <c r="D39" s="7"/>
      <c r="E39" s="7"/>
      <c r="G39" s="110">
        <f>SUM(G34:G38)</f>
        <v>0</v>
      </c>
      <c r="J39" s="3"/>
      <c r="K39" s="9"/>
    </row>
    <row r="40" spans="1:27" ht="14.25" thickTop="1" thickBot="1" x14ac:dyDescent="0.25">
      <c r="A40" s="29"/>
      <c r="B40" s="7"/>
      <c r="C40" s="7"/>
      <c r="D40" s="7"/>
      <c r="E40" s="7"/>
      <c r="F40" s="21" t="s">
        <v>19</v>
      </c>
      <c r="G40" s="114">
        <f>(G34+G37+G38)*21%</f>
        <v>0</v>
      </c>
      <c r="J40" s="3"/>
      <c r="K40" s="9"/>
    </row>
    <row r="41" spans="1:27" ht="14.25" thickTop="1" thickBot="1" x14ac:dyDescent="0.25">
      <c r="A41" s="30"/>
      <c r="B41" s="7"/>
      <c r="C41" s="7"/>
      <c r="D41" s="7"/>
      <c r="E41" s="7"/>
      <c r="F41" s="31"/>
      <c r="G41" s="115"/>
      <c r="J41" s="3"/>
      <c r="K41" s="9"/>
    </row>
    <row r="42" spans="1:27" ht="14.25" thickTop="1" thickBot="1" x14ac:dyDescent="0.25">
      <c r="A42" s="32" t="s">
        <v>28</v>
      </c>
      <c r="B42" s="26"/>
      <c r="C42" s="7"/>
      <c r="D42" s="7"/>
      <c r="E42" s="7"/>
      <c r="F42" s="33"/>
      <c r="G42" s="116">
        <f>SUM(G39:G40)</f>
        <v>0</v>
      </c>
      <c r="H42" s="102"/>
      <c r="I42" s="22"/>
      <c r="J42" s="3"/>
      <c r="K42" s="9"/>
    </row>
    <row r="43" spans="1:27" ht="13.5" thickTop="1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27" ht="24.75" customHeight="1" x14ac:dyDescent="0.3">
      <c r="A44" s="89" t="s">
        <v>64</v>
      </c>
      <c r="B44" s="90"/>
      <c r="C44" s="8"/>
      <c r="D44" s="8"/>
      <c r="E44" s="8"/>
      <c r="F44" s="8"/>
      <c r="G44" s="34"/>
      <c r="H44" s="34"/>
      <c r="I44" s="8"/>
    </row>
    <row r="45" spans="1:27" x14ac:dyDescent="0.2">
      <c r="A45" s="8"/>
      <c r="B45" s="35"/>
      <c r="C45" s="35"/>
      <c r="D45" s="35"/>
      <c r="E45" s="35"/>
      <c r="F45" s="35"/>
      <c r="G45" s="35"/>
      <c r="H45" s="35"/>
      <c r="I45" s="8"/>
      <c r="J45" s="36"/>
      <c r="K45" s="35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</row>
    <row r="46" spans="1:27" x14ac:dyDescent="0.2">
      <c r="A46" s="91" t="s">
        <v>44</v>
      </c>
      <c r="B46" s="3" t="s">
        <v>45</v>
      </c>
      <c r="C46" s="121">
        <v>0</v>
      </c>
      <c r="D46" s="3"/>
      <c r="E46" s="3"/>
      <c r="F46" s="3"/>
      <c r="I46" s="3"/>
      <c r="J46" s="3"/>
      <c r="K46" s="3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</row>
    <row r="47" spans="1:27" x14ac:dyDescent="0.2">
      <c r="A47" s="7"/>
      <c r="B47" s="3" t="s">
        <v>46</v>
      </c>
      <c r="C47" s="121">
        <v>0</v>
      </c>
      <c r="D47" s="3"/>
      <c r="E47" s="3"/>
      <c r="F47" s="3"/>
      <c r="I47" s="38"/>
      <c r="J47" s="38"/>
      <c r="K47" s="38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</row>
    <row r="48" spans="1:27" x14ac:dyDescent="0.2">
      <c r="A48" s="7"/>
      <c r="B48" s="3" t="s">
        <v>4</v>
      </c>
      <c r="C48" s="122">
        <f>SUM(C46:C47)</f>
        <v>0</v>
      </c>
      <c r="D48" s="3"/>
      <c r="E48" s="3"/>
      <c r="F48" s="3"/>
      <c r="I48" s="38"/>
      <c r="J48" s="38"/>
      <c r="K48" s="38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</row>
    <row r="49" spans="1:27" x14ac:dyDescent="0.2">
      <c r="A49" s="7"/>
      <c r="B49" s="3"/>
      <c r="C49" s="115"/>
      <c r="D49" s="3"/>
      <c r="E49" s="3"/>
      <c r="F49" s="3"/>
      <c r="I49" s="38"/>
      <c r="J49" s="38"/>
      <c r="K49" s="38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7" x14ac:dyDescent="0.2">
      <c r="A50" s="91" t="s">
        <v>47</v>
      </c>
      <c r="B50" s="3" t="s">
        <v>45</v>
      </c>
      <c r="C50" s="125">
        <v>0</v>
      </c>
      <c r="D50" s="3"/>
      <c r="E50" s="3"/>
      <c r="F50" s="3"/>
      <c r="I50" s="38"/>
      <c r="J50" s="38"/>
      <c r="K50" s="38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7" x14ac:dyDescent="0.2">
      <c r="A51" s="91"/>
      <c r="B51" s="3" t="s">
        <v>46</v>
      </c>
      <c r="C51" s="125">
        <v>0</v>
      </c>
      <c r="D51" s="3"/>
      <c r="E51" s="3"/>
      <c r="F51" s="3"/>
      <c r="I51" s="38"/>
      <c r="J51" s="38"/>
      <c r="K51" s="38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7" x14ac:dyDescent="0.2">
      <c r="A52" s="91"/>
      <c r="B52" s="3" t="s">
        <v>4</v>
      </c>
      <c r="C52" s="126">
        <f>SUM(C50:C51)</f>
        <v>0</v>
      </c>
      <c r="D52" s="3"/>
      <c r="E52" s="3"/>
      <c r="F52" s="3"/>
      <c r="I52" s="38"/>
      <c r="J52" s="38"/>
      <c r="K52" s="38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7" x14ac:dyDescent="0.2">
      <c r="A53" s="13" t="s">
        <v>7</v>
      </c>
      <c r="B53" s="2"/>
      <c r="C53" s="2"/>
      <c r="D53" s="2"/>
      <c r="E53" s="2"/>
      <c r="F53" s="2"/>
      <c r="G53" s="2"/>
      <c r="H53" s="2"/>
      <c r="I53" s="3"/>
      <c r="J53" s="3"/>
      <c r="K53" s="3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7" x14ac:dyDescent="0.2">
      <c r="A54" s="7"/>
      <c r="C54" s="7"/>
      <c r="D54" s="39"/>
      <c r="E54" s="3"/>
      <c r="F54" s="3" t="s">
        <v>9</v>
      </c>
      <c r="G54" s="115">
        <f>IF(C52&gt;C48,I238+(I251-I264),I226)</f>
        <v>0</v>
      </c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7" x14ac:dyDescent="0.2">
      <c r="A55" s="6" t="s">
        <v>48</v>
      </c>
      <c r="C55" s="7"/>
      <c r="D55" s="106">
        <f>K179</f>
        <v>75</v>
      </c>
      <c r="E55" s="3"/>
      <c r="F55" s="12" t="s">
        <v>49</v>
      </c>
      <c r="G55" s="115">
        <f>G54*21/100</f>
        <v>0</v>
      </c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7" x14ac:dyDescent="0.2">
      <c r="A56" s="6" t="s">
        <v>50</v>
      </c>
      <c r="C56" s="7"/>
      <c r="D56" s="108">
        <v>0</v>
      </c>
      <c r="E56" s="3"/>
      <c r="F56" s="3"/>
      <c r="G56" s="115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7" x14ac:dyDescent="0.2">
      <c r="A57" s="6" t="s">
        <v>51</v>
      </c>
      <c r="C57" s="106">
        <f>(A173+ROUNDDOWN((C46+C47-1)/G174,0)*A174)</f>
        <v>67.31</v>
      </c>
      <c r="D57" s="111"/>
      <c r="E57" s="3"/>
      <c r="F57" s="3"/>
      <c r="G57" s="115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7" x14ac:dyDescent="0.2">
      <c r="A58" s="6" t="s">
        <v>52</v>
      </c>
      <c r="C58" s="106">
        <f>(A186+ROUNDDOWN((C50+C51-1)/G187,0)*A187)</f>
        <v>117.11</v>
      </c>
      <c r="D58" s="111"/>
      <c r="E58" s="3"/>
      <c r="F58" s="3"/>
      <c r="G58" s="115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</row>
    <row r="59" spans="1:27" x14ac:dyDescent="0.2">
      <c r="A59" s="6" t="s">
        <v>53</v>
      </c>
      <c r="C59" s="106">
        <f>IF(C52&gt;C48,(C52-C48)*0.3%,0)</f>
        <v>0</v>
      </c>
      <c r="D59" s="111"/>
      <c r="E59" s="3"/>
      <c r="F59" s="3"/>
      <c r="G59" s="115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</row>
    <row r="60" spans="1:27" x14ac:dyDescent="0.2">
      <c r="A60" s="6" t="s">
        <v>54</v>
      </c>
      <c r="C60" s="7"/>
      <c r="D60" s="106">
        <f>H194+C59</f>
        <v>220</v>
      </c>
      <c r="E60" s="3"/>
      <c r="F60" s="3"/>
      <c r="G60" s="115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</row>
    <row r="61" spans="1:27" x14ac:dyDescent="0.2">
      <c r="A61" s="6" t="s">
        <v>55</v>
      </c>
      <c r="C61" s="7"/>
      <c r="D61" s="118">
        <v>0</v>
      </c>
      <c r="E61" s="3"/>
      <c r="F61" s="3"/>
      <c r="G61" s="115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</row>
    <row r="62" spans="1:27" x14ac:dyDescent="0.2">
      <c r="A62" s="7"/>
      <c r="C62" s="6" t="s">
        <v>49</v>
      </c>
      <c r="D62" s="106">
        <f>D61*21/100</f>
        <v>0</v>
      </c>
      <c r="E62" s="3"/>
      <c r="F62" s="3"/>
      <c r="G62" s="115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</row>
    <row r="63" spans="1:27" x14ac:dyDescent="0.2">
      <c r="A63" s="6" t="s">
        <v>56</v>
      </c>
      <c r="C63" s="7"/>
      <c r="D63" s="127">
        <v>710</v>
      </c>
      <c r="E63" s="3"/>
      <c r="F63" s="3"/>
      <c r="G63" s="115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</row>
    <row r="64" spans="1:27" x14ac:dyDescent="0.2">
      <c r="A64" s="7"/>
      <c r="C64" s="6" t="s">
        <v>49</v>
      </c>
      <c r="D64" s="106">
        <f>D63*21/100</f>
        <v>149.1</v>
      </c>
      <c r="E64" s="3"/>
      <c r="F64" s="3"/>
      <c r="G64" s="115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</row>
    <row r="65" spans="1:27" x14ac:dyDescent="0.2">
      <c r="A65" s="6" t="s">
        <v>57</v>
      </c>
      <c r="C65" s="6"/>
      <c r="D65" s="108">
        <v>0</v>
      </c>
      <c r="E65" s="3"/>
      <c r="F65" s="3"/>
      <c r="G65" s="115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</row>
    <row r="66" spans="1:27" x14ac:dyDescent="0.2">
      <c r="A66" s="7"/>
      <c r="C66" s="6" t="s">
        <v>49</v>
      </c>
      <c r="D66" s="106">
        <f>D65*21/100</f>
        <v>0</v>
      </c>
      <c r="E66" s="3"/>
      <c r="F66" s="3"/>
      <c r="G66" s="115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</row>
    <row r="67" spans="1:27" x14ac:dyDescent="0.2">
      <c r="A67" s="7"/>
      <c r="C67" s="7"/>
      <c r="D67" s="106"/>
      <c r="E67" s="3"/>
      <c r="F67" s="3"/>
      <c r="G67" s="115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</row>
    <row r="68" spans="1:27" x14ac:dyDescent="0.2">
      <c r="A68" s="7"/>
      <c r="C68" s="7" t="s">
        <v>58</v>
      </c>
      <c r="D68" s="119">
        <f>A183</f>
        <v>1004.9999999999999</v>
      </c>
      <c r="E68" s="3"/>
      <c r="F68" s="3" t="s">
        <v>59</v>
      </c>
      <c r="G68" s="115">
        <f>G54</f>
        <v>0</v>
      </c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</row>
    <row r="69" spans="1:27" x14ac:dyDescent="0.2">
      <c r="A69" s="7"/>
      <c r="C69" s="7"/>
      <c r="D69" s="7"/>
      <c r="E69" s="3"/>
      <c r="F69" s="3" t="s">
        <v>60</v>
      </c>
      <c r="G69" s="115">
        <f>D68</f>
        <v>1004.9999999999999</v>
      </c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</row>
    <row r="70" spans="1:27" x14ac:dyDescent="0.2">
      <c r="A70" s="7"/>
      <c r="C70" s="7"/>
      <c r="D70" s="7"/>
      <c r="E70" s="3"/>
      <c r="F70" s="3" t="s">
        <v>61</v>
      </c>
      <c r="G70" s="115">
        <f>SUM(G68+D68)</f>
        <v>1004.9999999999999</v>
      </c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</row>
    <row r="71" spans="1:27" x14ac:dyDescent="0.2">
      <c r="A71" s="38"/>
      <c r="C71" s="38"/>
      <c r="D71" s="38"/>
      <c r="E71" s="38"/>
      <c r="F71" s="38"/>
      <c r="G71" s="111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</row>
    <row r="72" spans="1:27" x14ac:dyDescent="0.2">
      <c r="A72" s="38"/>
      <c r="C72" s="38"/>
      <c r="D72" s="38"/>
      <c r="E72" s="38"/>
      <c r="F72" s="12" t="s">
        <v>62</v>
      </c>
      <c r="G72" s="111">
        <f>D62+D64+D66+G55</f>
        <v>149.1</v>
      </c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</row>
    <row r="73" spans="1:27" ht="13.5" thickBot="1" x14ac:dyDescent="0.25">
      <c r="A73" s="38"/>
      <c r="C73" s="38"/>
      <c r="D73" s="38"/>
      <c r="E73" s="38"/>
      <c r="F73" s="38"/>
      <c r="G73" s="111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</row>
    <row r="74" spans="1:27" ht="14.25" thickTop="1" thickBot="1" x14ac:dyDescent="0.25">
      <c r="A74" s="38"/>
      <c r="C74" s="38"/>
      <c r="D74" s="38"/>
      <c r="E74" s="38"/>
      <c r="F74" s="92" t="s">
        <v>63</v>
      </c>
      <c r="G74" s="120">
        <f>SUM(G70:G72)</f>
        <v>1154.0999999999999</v>
      </c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</row>
    <row r="75" spans="1:27" ht="13.5" thickTop="1" x14ac:dyDescent="0.2"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37"/>
      <c r="Z75" s="37"/>
      <c r="AA75" s="37"/>
    </row>
    <row r="76" spans="1:27" ht="28.5" customHeight="1" x14ac:dyDescent="0.3">
      <c r="A76" s="89" t="s">
        <v>74</v>
      </c>
      <c r="B76" s="93"/>
      <c r="C76" s="8"/>
      <c r="D76" s="8"/>
      <c r="E76" s="8"/>
      <c r="F76" s="8"/>
      <c r="G76" s="8"/>
      <c r="H76" s="8"/>
      <c r="I76" s="8"/>
      <c r="J76" s="8"/>
      <c r="K76" s="8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37"/>
      <c r="Z76" s="37"/>
      <c r="AA76" s="37"/>
    </row>
    <row r="77" spans="1:27" x14ac:dyDescent="0.2">
      <c r="A77" s="3" t="s">
        <v>45</v>
      </c>
      <c r="B77" s="3"/>
      <c r="C77" s="94">
        <v>0</v>
      </c>
      <c r="D77" s="3"/>
      <c r="E77" s="3"/>
      <c r="F77" s="3"/>
      <c r="H77" s="22"/>
      <c r="I77" s="3"/>
      <c r="J77" s="3"/>
      <c r="K77" s="3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37"/>
      <c r="Z77" s="37"/>
      <c r="AA77" s="37"/>
    </row>
    <row r="78" spans="1:27" x14ac:dyDescent="0.2">
      <c r="A78" s="3" t="s">
        <v>46</v>
      </c>
      <c r="B78" s="3"/>
      <c r="C78" s="94">
        <v>0</v>
      </c>
      <c r="D78" s="3"/>
      <c r="E78" s="3"/>
      <c r="F78" s="3"/>
      <c r="H78" s="22"/>
      <c r="I78" s="22"/>
      <c r="J78" s="22"/>
      <c r="K78" s="22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37"/>
      <c r="Z78" s="37"/>
      <c r="AA78" s="37"/>
    </row>
    <row r="79" spans="1:27" x14ac:dyDescent="0.2">
      <c r="A79" s="3" t="s">
        <v>4</v>
      </c>
      <c r="B79" s="3"/>
      <c r="C79" s="95">
        <f>SUM(C77:C78)</f>
        <v>0</v>
      </c>
      <c r="D79" s="3"/>
      <c r="E79" s="3"/>
      <c r="F79" s="3"/>
      <c r="H79" s="22"/>
      <c r="I79" s="22"/>
      <c r="J79" s="22"/>
      <c r="K79" s="22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37"/>
      <c r="Z79" s="37"/>
      <c r="AA79" s="37"/>
    </row>
    <row r="80" spans="1:27" x14ac:dyDescent="0.2">
      <c r="A80" s="7"/>
      <c r="B80" s="42"/>
      <c r="C80" s="38"/>
      <c r="D80" s="42"/>
      <c r="E80" s="42"/>
      <c r="F80" s="42"/>
      <c r="H80" s="7"/>
      <c r="I80" s="22"/>
      <c r="J80" s="22"/>
      <c r="K80" s="22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37"/>
      <c r="Z80" s="37"/>
      <c r="AA80" s="37"/>
    </row>
    <row r="81" spans="1:27" x14ac:dyDescent="0.2">
      <c r="A81" s="6" t="s">
        <v>75</v>
      </c>
      <c r="B81" s="22"/>
      <c r="C81" s="96">
        <v>1</v>
      </c>
      <c r="D81" s="22"/>
      <c r="E81" s="22"/>
      <c r="F81" s="22"/>
      <c r="H81" s="22"/>
      <c r="I81" s="3"/>
      <c r="J81" s="3"/>
      <c r="K81" s="41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37"/>
      <c r="Z81" s="37"/>
      <c r="AA81" s="37"/>
    </row>
    <row r="82" spans="1:27" x14ac:dyDescent="0.2">
      <c r="A82" s="13" t="s">
        <v>7</v>
      </c>
      <c r="B82" s="2"/>
      <c r="C82" s="2"/>
      <c r="D82" s="2"/>
      <c r="E82" s="2"/>
      <c r="F82" s="2"/>
      <c r="G82" s="2"/>
      <c r="H82" s="2"/>
      <c r="I82" s="3"/>
      <c r="J82" s="3"/>
      <c r="K82" s="41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37"/>
      <c r="Z82" s="37"/>
      <c r="AA82" s="37"/>
    </row>
    <row r="83" spans="1:27" x14ac:dyDescent="0.2">
      <c r="A83" s="7" t="s">
        <v>76</v>
      </c>
      <c r="C83" s="7"/>
      <c r="D83" s="43">
        <v>50</v>
      </c>
      <c r="E83" s="3"/>
      <c r="F83" s="3" t="s">
        <v>9</v>
      </c>
      <c r="G83" s="41">
        <f>I123</f>
        <v>0</v>
      </c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37"/>
      <c r="Z83" s="37"/>
      <c r="AA83" s="37"/>
    </row>
    <row r="84" spans="1:27" x14ac:dyDescent="0.2">
      <c r="A84" s="7" t="s">
        <v>77</v>
      </c>
      <c r="C84" s="7"/>
      <c r="D84" s="43">
        <v>50</v>
      </c>
      <c r="E84" s="3"/>
      <c r="F84" s="3"/>
      <c r="G84" s="41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37"/>
      <c r="Z84" s="37"/>
      <c r="AA84" s="37"/>
    </row>
    <row r="85" spans="1:27" x14ac:dyDescent="0.2">
      <c r="A85" s="7" t="s">
        <v>78</v>
      </c>
      <c r="C85" s="7"/>
      <c r="D85" s="97">
        <v>0</v>
      </c>
      <c r="E85" s="3"/>
      <c r="F85" s="3"/>
      <c r="G85" s="41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37"/>
      <c r="Z85" s="37"/>
      <c r="AA85" s="37"/>
    </row>
    <row r="86" spans="1:27" x14ac:dyDescent="0.2">
      <c r="A86" s="6" t="s">
        <v>71</v>
      </c>
      <c r="C86" s="7"/>
      <c r="D86" s="97">
        <f>G108</f>
        <v>185</v>
      </c>
      <c r="E86" s="3"/>
      <c r="F86" s="3"/>
      <c r="G86" s="41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37"/>
      <c r="Z86" s="37"/>
      <c r="AA86" s="37"/>
    </row>
    <row r="87" spans="1:27" x14ac:dyDescent="0.2">
      <c r="A87" s="7"/>
      <c r="C87" s="7"/>
      <c r="D87" s="43"/>
      <c r="E87" s="3"/>
      <c r="F87" s="3"/>
      <c r="G87" s="41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37"/>
      <c r="Z87" s="37"/>
      <c r="AA87" s="37"/>
    </row>
    <row r="88" spans="1:27" x14ac:dyDescent="0.2">
      <c r="A88" s="7"/>
      <c r="C88" s="7" t="s">
        <v>58</v>
      </c>
      <c r="D88" s="43">
        <f>SUM(D83:D87)</f>
        <v>285</v>
      </c>
      <c r="E88" s="3"/>
      <c r="F88" s="3" t="s">
        <v>59</v>
      </c>
      <c r="G88" s="41">
        <f>G83</f>
        <v>0</v>
      </c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37"/>
      <c r="Z88" s="37"/>
      <c r="AA88" s="37"/>
    </row>
    <row r="89" spans="1:27" x14ac:dyDescent="0.2">
      <c r="A89" s="7"/>
      <c r="C89" s="7"/>
      <c r="D89" s="7"/>
      <c r="E89" s="3"/>
      <c r="F89" s="3" t="s">
        <v>60</v>
      </c>
      <c r="G89" s="41">
        <f>SUM(D83:D87)</f>
        <v>285</v>
      </c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37"/>
      <c r="Z89" s="37"/>
      <c r="AA89" s="37"/>
    </row>
    <row r="90" spans="1:27" x14ac:dyDescent="0.2">
      <c r="A90" s="7"/>
      <c r="C90" s="7"/>
      <c r="D90" s="7"/>
      <c r="E90" s="3"/>
      <c r="F90" s="3" t="s">
        <v>61</v>
      </c>
      <c r="G90" s="41">
        <f>SUM(G88:G89)</f>
        <v>285</v>
      </c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37"/>
      <c r="Z90" s="37"/>
      <c r="AA90" s="37"/>
    </row>
    <row r="91" spans="1:27" x14ac:dyDescent="0.2">
      <c r="A91" s="38"/>
      <c r="C91" s="38"/>
      <c r="D91" s="38"/>
      <c r="E91" s="38"/>
      <c r="F91" s="38"/>
      <c r="G91" s="98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37"/>
      <c r="Z91" s="37"/>
      <c r="AA91" s="37"/>
    </row>
    <row r="92" spans="1:27" x14ac:dyDescent="0.2">
      <c r="A92" s="38"/>
      <c r="C92" s="38"/>
      <c r="D92" s="38"/>
      <c r="E92" s="38"/>
      <c r="F92" s="23" t="s">
        <v>19</v>
      </c>
      <c r="G92" s="99">
        <f>(D83+D86+G83)*21%</f>
        <v>49.35</v>
      </c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37"/>
      <c r="Z92" s="37"/>
      <c r="AA92" s="37"/>
    </row>
    <row r="93" spans="1:27" ht="13.5" thickBot="1" x14ac:dyDescent="0.25">
      <c r="A93" s="38"/>
      <c r="C93" s="38"/>
      <c r="D93" s="38"/>
      <c r="E93" s="38"/>
      <c r="F93" s="38"/>
      <c r="G93" s="98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37"/>
      <c r="Z93" s="37"/>
      <c r="AA93" s="37"/>
    </row>
    <row r="94" spans="1:27" ht="14.25" thickTop="1" thickBot="1" x14ac:dyDescent="0.25">
      <c r="A94" s="38"/>
      <c r="C94" s="38"/>
      <c r="D94" s="38"/>
      <c r="E94" s="38"/>
      <c r="F94" s="100" t="s">
        <v>59</v>
      </c>
      <c r="G94" s="101">
        <f>SUM(G90:G92)</f>
        <v>334.35</v>
      </c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37"/>
      <c r="Z94" s="37"/>
      <c r="AA94" s="37"/>
    </row>
    <row r="95" spans="1:27" ht="13.5" thickTop="1" x14ac:dyDescent="0.2"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37"/>
      <c r="Z95" s="37"/>
      <c r="AA95" s="37"/>
    </row>
    <row r="96" spans="1:27" x14ac:dyDescent="0.2"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37"/>
      <c r="Z96" s="37"/>
      <c r="AA96" s="37"/>
    </row>
    <row r="97" spans="1:27" x14ac:dyDescent="0.2">
      <c r="B97" s="44" t="s">
        <v>29</v>
      </c>
      <c r="C97" s="44"/>
      <c r="D97" s="44" t="s">
        <v>30</v>
      </c>
      <c r="E97" s="44"/>
      <c r="F97" s="44"/>
      <c r="H97" s="37"/>
      <c r="I97" s="37"/>
      <c r="J97" s="37"/>
      <c r="K97" s="37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37"/>
      <c r="Z97" s="37"/>
      <c r="AA97" s="37"/>
    </row>
    <row r="98" spans="1:27" x14ac:dyDescent="0.2">
      <c r="B98" s="37"/>
      <c r="C98" s="37"/>
      <c r="D98" s="37"/>
      <c r="E98" s="37"/>
      <c r="F98" s="37"/>
      <c r="H98" s="37"/>
      <c r="I98" s="37"/>
      <c r="J98" s="37"/>
      <c r="K98" s="37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37"/>
      <c r="Z98" s="37"/>
      <c r="AA98" s="37"/>
    </row>
    <row r="99" spans="1:27" x14ac:dyDescent="0.2">
      <c r="B99" s="44" t="s">
        <v>31</v>
      </c>
      <c r="C99" s="44"/>
      <c r="D99" s="44" t="s">
        <v>32</v>
      </c>
      <c r="E99" s="44"/>
      <c r="F99" s="44"/>
      <c r="H99" s="37"/>
      <c r="I99" s="37"/>
      <c r="J99" s="37"/>
      <c r="K99" s="37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37"/>
      <c r="Z99" s="37"/>
      <c r="AA99" s="37"/>
    </row>
    <row r="100" spans="1:27" x14ac:dyDescent="0.2"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37"/>
      <c r="Z100" s="37"/>
      <c r="AA100" s="37"/>
    </row>
    <row r="101" spans="1:27" x14ac:dyDescent="0.2">
      <c r="B101" s="44" t="s">
        <v>73</v>
      </c>
      <c r="C101" s="44"/>
      <c r="D101" s="44"/>
      <c r="E101" s="44"/>
      <c r="F101" s="44"/>
      <c r="G101" s="37"/>
      <c r="H101" s="37"/>
      <c r="I101" s="37"/>
      <c r="J101" s="37"/>
      <c r="K101" s="37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37"/>
      <c r="Z101" s="37"/>
      <c r="AA101" s="37"/>
    </row>
    <row r="102" spans="1:27" x14ac:dyDescent="0.2"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37"/>
      <c r="Z102" s="37"/>
      <c r="AA102" s="37"/>
    </row>
    <row r="103" spans="1:27" hidden="1" x14ac:dyDescent="0.2"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37"/>
      <c r="Z103" s="37"/>
      <c r="AA103" s="37"/>
    </row>
    <row r="104" spans="1:27" hidden="1" x14ac:dyDescent="0.2"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37"/>
      <c r="Z104" s="37"/>
      <c r="AA104" s="37"/>
    </row>
    <row r="105" spans="1:27" hidden="1" x14ac:dyDescent="0.2"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37"/>
      <c r="Z105" s="37"/>
      <c r="AA105" s="37"/>
    </row>
    <row r="106" spans="1:27" hidden="1" x14ac:dyDescent="0.2">
      <c r="B106" s="37"/>
      <c r="C106" s="37"/>
      <c r="D106" s="37"/>
      <c r="E106" s="37"/>
      <c r="F106" s="37"/>
      <c r="G106" s="37">
        <f>IF(C81=1,185,0)</f>
        <v>185</v>
      </c>
      <c r="H106" s="37">
        <f>IF(C81=2,335,0)</f>
        <v>0</v>
      </c>
      <c r="I106" s="37">
        <f>IF(C81&gt;2,(335+(C81-2)*200),0)</f>
        <v>0</v>
      </c>
      <c r="J106" s="37"/>
      <c r="K106" s="37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37"/>
      <c r="Z106" s="37"/>
      <c r="AA106" s="37"/>
    </row>
    <row r="107" spans="1:27" hidden="1" x14ac:dyDescent="0.2"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37"/>
      <c r="Z107" s="37"/>
      <c r="AA107" s="37"/>
    </row>
    <row r="108" spans="1:27" hidden="1" x14ac:dyDescent="0.2">
      <c r="B108" s="37"/>
      <c r="C108" s="37"/>
      <c r="D108" s="37"/>
      <c r="E108" s="37"/>
      <c r="F108" s="37"/>
      <c r="G108" s="37">
        <f>SUM(G106:I106)</f>
        <v>185</v>
      </c>
      <c r="H108" s="37"/>
      <c r="I108" s="37"/>
      <c r="J108" s="37"/>
      <c r="K108" s="37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37"/>
      <c r="Z108" s="37"/>
      <c r="AA108" s="37"/>
    </row>
    <row r="109" spans="1:27" hidden="1" x14ac:dyDescent="0.2"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37"/>
      <c r="Z109" s="37"/>
      <c r="AA109" s="37"/>
    </row>
    <row r="110" spans="1:27" hidden="1" x14ac:dyDescent="0.2"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37"/>
      <c r="Z110" s="37"/>
      <c r="AA110" s="37"/>
    </row>
    <row r="111" spans="1:27" hidden="1" x14ac:dyDescent="0.2"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37"/>
      <c r="Z111" s="37"/>
      <c r="AA111" s="37"/>
    </row>
    <row r="112" spans="1:27" ht="15" hidden="1" x14ac:dyDescent="0.25">
      <c r="A112" s="45" t="s">
        <v>4</v>
      </c>
      <c r="B112" s="45"/>
      <c r="C112" s="45"/>
      <c r="D112" s="45"/>
      <c r="E112" s="45"/>
      <c r="F112" s="45"/>
      <c r="G112" s="46">
        <f>C79</f>
        <v>0</v>
      </c>
      <c r="H112" s="47"/>
      <c r="I112" s="48"/>
      <c r="J112" s="37"/>
      <c r="K112" s="37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37"/>
      <c r="Z112" s="37"/>
      <c r="AA112" s="37"/>
    </row>
    <row r="113" spans="1:27" ht="14.25" hidden="1" x14ac:dyDescent="0.2">
      <c r="A113" s="49" t="s">
        <v>35</v>
      </c>
      <c r="B113" s="49"/>
      <c r="C113" s="49"/>
      <c r="D113" s="49"/>
      <c r="E113" s="49"/>
      <c r="F113" s="49"/>
      <c r="G113" s="49" t="s">
        <v>35</v>
      </c>
      <c r="H113" s="50" t="s">
        <v>79</v>
      </c>
      <c r="I113" s="49" t="s">
        <v>80</v>
      </c>
      <c r="J113" s="37"/>
      <c r="K113" s="37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37"/>
      <c r="Z113" s="37"/>
      <c r="AA113" s="37"/>
    </row>
    <row r="114" spans="1:27" ht="15" hidden="1" x14ac:dyDescent="0.25">
      <c r="A114" s="46">
        <v>0</v>
      </c>
      <c r="B114" s="46"/>
      <c r="C114" s="46"/>
      <c r="D114" s="46"/>
      <c r="E114" s="46"/>
      <c r="F114" s="46"/>
      <c r="G114" s="46">
        <v>7500</v>
      </c>
      <c r="H114" s="51">
        <v>1.4250000000000001E-2</v>
      </c>
      <c r="I114" s="46">
        <f>IF(C79&lt;G114,C79*H114,G114*H114)</f>
        <v>0</v>
      </c>
      <c r="J114" s="37"/>
      <c r="K114" s="37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37"/>
      <c r="Z114" s="37"/>
      <c r="AA114" s="37"/>
    </row>
    <row r="115" spans="1:27" ht="15" hidden="1" x14ac:dyDescent="0.25">
      <c r="A115" s="46">
        <v>7500</v>
      </c>
      <c r="B115" s="46"/>
      <c r="C115" s="46"/>
      <c r="D115" s="46"/>
      <c r="E115" s="46"/>
      <c r="F115" s="46"/>
      <c r="G115" s="46">
        <v>17500</v>
      </c>
      <c r="H115" s="51">
        <v>1.14E-2</v>
      </c>
      <c r="I115" s="46" t="str">
        <f>IF(C79&lt;=A115," ",IF(C79&lt;G115,(C79-G114)*H115,(G115-A115)*H115))</f>
        <v xml:space="preserve"> </v>
      </c>
      <c r="J115" s="37"/>
      <c r="K115" s="37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37"/>
      <c r="Z115" s="37"/>
      <c r="AA115" s="37"/>
    </row>
    <row r="116" spans="1:27" ht="15" hidden="1" x14ac:dyDescent="0.25">
      <c r="A116" s="46">
        <v>17500</v>
      </c>
      <c r="B116" s="46"/>
      <c r="C116" s="46"/>
      <c r="D116" s="46"/>
      <c r="E116" s="46"/>
      <c r="F116" s="46"/>
      <c r="G116" s="46">
        <v>30000</v>
      </c>
      <c r="H116" s="51">
        <v>6.8399999999999997E-3</v>
      </c>
      <c r="I116" s="46" t="str">
        <f>IF(C79&lt;=A116," ",IF(C79&lt;G116,(C79-G115)*H116,(G116-A116)*H116))</f>
        <v xml:space="preserve"> </v>
      </c>
      <c r="J116" s="37"/>
      <c r="K116" s="37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37"/>
      <c r="Z116" s="37"/>
      <c r="AA116" s="37"/>
    </row>
    <row r="117" spans="1:27" ht="15" hidden="1" x14ac:dyDescent="0.25">
      <c r="A117" s="46">
        <v>30000</v>
      </c>
      <c r="B117" s="46"/>
      <c r="C117" s="46"/>
      <c r="D117" s="46"/>
      <c r="E117" s="46"/>
      <c r="F117" s="46"/>
      <c r="G117" s="46">
        <v>45495</v>
      </c>
      <c r="H117" s="51">
        <v>5.7000000000000002E-3</v>
      </c>
      <c r="I117" s="46" t="str">
        <f>IF(C79&lt;=A117," ",IF(C79&lt;G117,(C79-G116)*H117,(G117-A117)*H117))</f>
        <v xml:space="preserve"> </v>
      </c>
      <c r="J117" s="37"/>
      <c r="K117" s="37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37"/>
      <c r="Z117" s="37"/>
      <c r="AA117" s="37"/>
    </row>
    <row r="118" spans="1:27" ht="15" hidden="1" x14ac:dyDescent="0.25">
      <c r="A118" s="46">
        <v>45495</v>
      </c>
      <c r="B118" s="46"/>
      <c r="C118" s="46"/>
      <c r="D118" s="46"/>
      <c r="E118" s="46"/>
      <c r="F118" s="46"/>
      <c r="G118" s="46">
        <v>64095</v>
      </c>
      <c r="H118" s="51">
        <v>4.5599999999999998E-3</v>
      </c>
      <c r="I118" s="46" t="str">
        <f>IF(C79&lt;=A118," ",IF(C79&lt;G118,(C79-G117)*H118,(G118-A118)*H118))</f>
        <v xml:space="preserve"> </v>
      </c>
      <c r="J118" s="37"/>
      <c r="K118" s="37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37"/>
      <c r="Z118" s="37"/>
      <c r="AA118" s="37"/>
    </row>
    <row r="119" spans="1:27" ht="15" hidden="1" x14ac:dyDescent="0.25">
      <c r="A119" s="46">
        <v>64095</v>
      </c>
      <c r="B119" s="46"/>
      <c r="C119" s="46"/>
      <c r="D119" s="46"/>
      <c r="E119" s="46"/>
      <c r="F119" s="46"/>
      <c r="G119" s="46">
        <v>250095</v>
      </c>
      <c r="H119" s="51">
        <v>2.2799999999999999E-3</v>
      </c>
      <c r="I119" s="46" t="str">
        <f>IF(C79&lt;=A119," ",IF(C79&lt;G119,(C79-G118)*H119,(G119-A119)*H119))</f>
        <v xml:space="preserve"> </v>
      </c>
      <c r="J119" s="37"/>
      <c r="K119" s="37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37"/>
      <c r="Z119" s="37"/>
      <c r="AA119" s="37"/>
    </row>
    <row r="120" spans="1:27" ht="15" hidden="1" x14ac:dyDescent="0.25">
      <c r="A120" s="46">
        <v>250095</v>
      </c>
      <c r="B120" s="46"/>
      <c r="C120" s="46"/>
      <c r="D120" s="46"/>
      <c r="E120" s="46"/>
      <c r="F120" s="46"/>
      <c r="G120" s="46">
        <f>C79</f>
        <v>0</v>
      </c>
      <c r="H120" s="52">
        <v>4.5600000000000003E-4</v>
      </c>
      <c r="I120" s="46" t="str">
        <f>IF(C79&lt;=A120,"E90",IF(C79&lt;G120,(C79-G119)*H120,(G120-A120)*H120))</f>
        <v>E90</v>
      </c>
      <c r="J120" s="37"/>
      <c r="K120" s="37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37"/>
      <c r="Z120" s="37"/>
      <c r="AA120" s="37"/>
    </row>
    <row r="121" spans="1:27" ht="15" hidden="1" x14ac:dyDescent="0.25">
      <c r="A121" s="48"/>
      <c r="B121" s="48"/>
      <c r="C121" s="48"/>
      <c r="D121" s="48"/>
      <c r="E121" s="48"/>
      <c r="F121" s="48"/>
      <c r="G121" s="48"/>
      <c r="H121" s="48"/>
      <c r="I121" s="48"/>
      <c r="J121" s="37"/>
      <c r="K121" s="37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37"/>
      <c r="Z121" s="37"/>
      <c r="AA121" s="37"/>
    </row>
    <row r="122" spans="1:27" ht="15" hidden="1" x14ac:dyDescent="0.25">
      <c r="A122" s="49" t="s">
        <v>37</v>
      </c>
      <c r="B122" s="53"/>
      <c r="C122" s="53"/>
      <c r="D122" s="53"/>
      <c r="E122" s="53"/>
      <c r="F122" s="53"/>
      <c r="G122" s="48"/>
      <c r="H122" s="48" t="s">
        <v>81</v>
      </c>
      <c r="I122" s="54">
        <f>SUM(I114:I121)</f>
        <v>0</v>
      </c>
      <c r="J122" s="37"/>
      <c r="K122" s="37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37"/>
      <c r="Z122" s="37"/>
      <c r="AA122" s="37"/>
    </row>
    <row r="123" spans="1:27" hidden="1" x14ac:dyDescent="0.2">
      <c r="A123" s="8"/>
      <c r="B123" s="8"/>
      <c r="C123" s="8"/>
      <c r="D123" s="8"/>
      <c r="E123" s="8"/>
      <c r="F123" s="8"/>
      <c r="G123" s="8"/>
      <c r="H123" s="8" t="s">
        <v>82</v>
      </c>
      <c r="I123" s="55">
        <f>I122/4</f>
        <v>0</v>
      </c>
      <c r="J123" s="37"/>
      <c r="K123" s="37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37"/>
      <c r="Z123" s="37"/>
      <c r="AA123" s="37"/>
    </row>
    <row r="124" spans="1:27" hidden="1" x14ac:dyDescent="0.2"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37"/>
      <c r="Z124" s="37"/>
      <c r="AA124" s="37"/>
    </row>
    <row r="125" spans="1:27" hidden="1" x14ac:dyDescent="0.2"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37"/>
      <c r="Z125" s="37"/>
      <c r="AA125" s="37"/>
    </row>
    <row r="126" spans="1:27" hidden="1" x14ac:dyDescent="0.2"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37"/>
      <c r="Z126" s="37"/>
      <c r="AA126" s="37"/>
    </row>
    <row r="127" spans="1:27" hidden="1" x14ac:dyDescent="0.2"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37"/>
      <c r="Z127" s="37"/>
      <c r="AA127" s="37"/>
    </row>
    <row r="128" spans="1:27" hidden="1" x14ac:dyDescent="0.2"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37"/>
      <c r="Z128" s="37"/>
      <c r="AA128" s="37"/>
    </row>
    <row r="129" spans="1:27" hidden="1" x14ac:dyDescent="0.2"/>
    <row r="130" spans="1:27" hidden="1" x14ac:dyDescent="0.2"/>
    <row r="131" spans="1:27" hidden="1" x14ac:dyDescent="0.2"/>
    <row r="132" spans="1:27" hidden="1" x14ac:dyDescent="0.2"/>
    <row r="133" spans="1:27" hidden="1" x14ac:dyDescent="0.2"/>
    <row r="134" spans="1:27" hidden="1" x14ac:dyDescent="0.2"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37"/>
      <c r="Z134" s="37"/>
      <c r="AA134" s="37"/>
    </row>
    <row r="135" spans="1:27" hidden="1" x14ac:dyDescent="0.2">
      <c r="A135" s="56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37"/>
      <c r="Z135" s="37"/>
      <c r="AA135" s="37"/>
    </row>
    <row r="136" spans="1:27" hidden="1" x14ac:dyDescent="0.2">
      <c r="A136" s="56"/>
      <c r="B136" s="16">
        <f>IF(B11="ja",-1500,0)</f>
        <v>0</v>
      </c>
      <c r="C136" s="16"/>
      <c r="D136" s="16"/>
      <c r="E136" s="16"/>
      <c r="F136" s="16"/>
      <c r="G136" s="40">
        <f>IF(AND(B9="ja",B11="ja"),-750,0)</f>
        <v>0</v>
      </c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37"/>
      <c r="Z136" s="37"/>
      <c r="AA136" s="37"/>
    </row>
    <row r="137" spans="1:27" hidden="1" x14ac:dyDescent="0.2">
      <c r="A137" s="56"/>
      <c r="B137" s="16">
        <f>IF(B11="ja",-750,0)</f>
        <v>0</v>
      </c>
      <c r="C137" s="16"/>
      <c r="D137" s="16"/>
      <c r="E137" s="16"/>
      <c r="F137" s="16"/>
      <c r="G137" s="40">
        <f>IF(AND(B9="neen",B11="ja"),-1500,0)</f>
        <v>0</v>
      </c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37"/>
      <c r="Z137" s="37"/>
      <c r="AA137" s="37"/>
    </row>
    <row r="138" spans="1:27" hidden="1" x14ac:dyDescent="0.2">
      <c r="A138" s="56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37"/>
      <c r="Z138" s="37"/>
      <c r="AA138" s="37"/>
    </row>
    <row r="139" spans="1:27" hidden="1" x14ac:dyDescent="0.2">
      <c r="A139" s="56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37"/>
      <c r="Z139" s="37"/>
      <c r="AA139" s="37"/>
    </row>
    <row r="140" spans="1:27" hidden="1" x14ac:dyDescent="0.2">
      <c r="A140" s="56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37"/>
      <c r="Z140" s="37"/>
      <c r="AA140" s="37"/>
    </row>
    <row r="141" spans="1:27" hidden="1" x14ac:dyDescent="0.2">
      <c r="A141" s="56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37"/>
      <c r="Z141" s="37"/>
      <c r="AA141" s="37"/>
    </row>
    <row r="142" spans="1:27" hidden="1" x14ac:dyDescent="0.2">
      <c r="A142" s="56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37"/>
      <c r="Z142" s="37"/>
      <c r="AA142" s="37"/>
    </row>
    <row r="143" spans="1:27" hidden="1" x14ac:dyDescent="0.2">
      <c r="A143" s="56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37"/>
      <c r="Z143" s="37"/>
      <c r="AA143" s="37"/>
    </row>
    <row r="144" spans="1:27" hidden="1" x14ac:dyDescent="0.2">
      <c r="A144" s="56"/>
      <c r="B144" s="16">
        <f>IF(B11="ja",-1500,0)</f>
        <v>0</v>
      </c>
      <c r="C144" s="40">
        <f>IF(AND(B9="ja",B11="ja"),-750,0)</f>
        <v>0</v>
      </c>
      <c r="D144" s="40"/>
      <c r="E144" s="40"/>
      <c r="F144" s="40">
        <f>IF(AND(B11="ja",B12="ja"),-1000,0)</f>
        <v>0</v>
      </c>
      <c r="G144" s="40"/>
      <c r="H144" s="40">
        <f>IF(G145=50,0,G145)</f>
        <v>0</v>
      </c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37"/>
      <c r="Z144" s="37"/>
      <c r="AA144" s="37"/>
    </row>
    <row r="145" spans="1:27" hidden="1" x14ac:dyDescent="0.2">
      <c r="A145" s="56"/>
      <c r="B145" s="16">
        <f>IF(B11="ja",-750,0)</f>
        <v>0</v>
      </c>
      <c r="C145" s="40">
        <f>IF(AND(B9="neen",B11="ja"),-1500,0)</f>
        <v>0</v>
      </c>
      <c r="D145" s="40"/>
      <c r="E145" s="40"/>
      <c r="F145" s="40">
        <f>-F144</f>
        <v>0</v>
      </c>
      <c r="G145" s="40">
        <f>IF(F145&gt;(G18+G19+G21-50),-(G18+G19+G21-50),F144)</f>
        <v>50</v>
      </c>
      <c r="H145" s="40">
        <f>IF(B12="neen",0,H144)</f>
        <v>0</v>
      </c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37"/>
      <c r="Z145" s="37"/>
      <c r="AA145" s="37"/>
    </row>
    <row r="146" spans="1:27" hidden="1" x14ac:dyDescent="0.2">
      <c r="A146" s="56"/>
      <c r="B146" s="40"/>
      <c r="C146" s="40">
        <f>SUM(C144:C145)</f>
        <v>0</v>
      </c>
      <c r="D146" s="40">
        <f>IF(C148&gt;(G18+G19-50),-(G18+G19-50),C146)</f>
        <v>50</v>
      </c>
      <c r="E146" s="40">
        <f>IF(D146=50,0,D146)</f>
        <v>0</v>
      </c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37"/>
      <c r="Z146" s="37"/>
      <c r="AA146" s="37"/>
    </row>
    <row r="147" spans="1:27" hidden="1" x14ac:dyDescent="0.2">
      <c r="A147" s="56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37"/>
      <c r="Z147" s="37"/>
      <c r="AA147" s="37"/>
    </row>
    <row r="148" spans="1:27" hidden="1" x14ac:dyDescent="0.2">
      <c r="A148" s="56"/>
      <c r="B148" s="40"/>
      <c r="C148" s="40">
        <f>-C146</f>
        <v>0</v>
      </c>
      <c r="D148" s="40"/>
      <c r="E148" s="40"/>
      <c r="F148" s="40"/>
      <c r="G148" s="40"/>
      <c r="H148" s="35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37"/>
      <c r="Z148" s="37"/>
      <c r="AA148" s="37"/>
    </row>
    <row r="149" spans="1:27" ht="13.5" hidden="1" thickBot="1" x14ac:dyDescent="0.25">
      <c r="A149" s="56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</row>
    <row r="150" spans="1:27" ht="13.5" hidden="1" thickBot="1" x14ac:dyDescent="0.25">
      <c r="A150" s="8"/>
      <c r="B150" s="57"/>
      <c r="C150" s="57"/>
      <c r="D150" s="57"/>
      <c r="E150" s="57"/>
      <c r="F150" s="57"/>
      <c r="G150" s="35"/>
      <c r="H150" s="35"/>
      <c r="I150" s="35"/>
      <c r="J150" s="35"/>
      <c r="K150" s="35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8"/>
      <c r="W150" s="58"/>
      <c r="X150" s="58"/>
      <c r="Y150" s="58"/>
      <c r="Z150" s="58"/>
      <c r="AA150" s="58"/>
    </row>
    <row r="151" spans="1:27" ht="13.5" hidden="1" thickBot="1" x14ac:dyDescent="0.25">
      <c r="A151" s="8"/>
      <c r="B151" s="8"/>
      <c r="C151" s="8"/>
      <c r="D151" s="8"/>
      <c r="E151" s="8"/>
      <c r="F151" s="8"/>
      <c r="G151" s="8"/>
      <c r="H151" s="8"/>
      <c r="I151" s="58"/>
      <c r="J151" s="58"/>
      <c r="K151" s="5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</row>
    <row r="152" spans="1:27" hidden="1" x14ac:dyDescent="0.2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</row>
    <row r="153" spans="1:27" hidden="1" x14ac:dyDescent="0.2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</row>
    <row r="154" spans="1:27" hidden="1" x14ac:dyDescent="0.2">
      <c r="A154" s="8" t="s">
        <v>2</v>
      </c>
      <c r="B154" s="8"/>
      <c r="C154" s="8"/>
      <c r="D154" s="8"/>
      <c r="E154" s="8"/>
      <c r="F154" s="8"/>
      <c r="G154" s="8" t="s">
        <v>33</v>
      </c>
      <c r="H154" s="8" t="s">
        <v>34</v>
      </c>
      <c r="I154" s="8"/>
      <c r="J154" s="27" t="s">
        <v>38</v>
      </c>
      <c r="K154" s="27" t="s">
        <v>38</v>
      </c>
      <c r="L154" s="27" t="s">
        <v>38</v>
      </c>
      <c r="M154" s="27" t="s">
        <v>38</v>
      </c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</row>
    <row r="155" spans="1:27" hidden="1" x14ac:dyDescent="0.2">
      <c r="A155" s="8"/>
      <c r="B155" s="8"/>
      <c r="C155" s="8"/>
      <c r="D155" s="8"/>
      <c r="E155" s="8"/>
      <c r="F155" s="8"/>
      <c r="G155" s="8"/>
      <c r="H155" s="8">
        <v>525</v>
      </c>
      <c r="I155" s="8"/>
      <c r="J155" s="27" t="s">
        <v>39</v>
      </c>
      <c r="K155" s="27" t="s">
        <v>39</v>
      </c>
      <c r="L155" s="27" t="s">
        <v>39</v>
      </c>
      <c r="M155" s="27" t="s">
        <v>39</v>
      </c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</row>
    <row r="156" spans="1:27" hidden="1" x14ac:dyDescent="0.2">
      <c r="A156" s="8"/>
      <c r="B156" s="8"/>
      <c r="C156" s="8"/>
      <c r="D156" s="8"/>
      <c r="E156" s="8"/>
      <c r="F156" s="8"/>
      <c r="G156" s="8"/>
      <c r="H156" s="8">
        <v>100</v>
      </c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</row>
    <row r="157" spans="1:27" hidden="1" x14ac:dyDescent="0.2">
      <c r="A157" s="8"/>
      <c r="B157" s="8"/>
      <c r="C157" s="8"/>
      <c r="D157" s="8"/>
      <c r="E157" s="8"/>
      <c r="F157" s="8"/>
      <c r="G157" s="8"/>
      <c r="H157" s="8">
        <v>675</v>
      </c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</row>
    <row r="158" spans="1:27" hidden="1" x14ac:dyDescent="0.2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</row>
    <row r="159" spans="1:27" hidden="1" x14ac:dyDescent="0.2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</row>
    <row r="160" spans="1:27" hidden="1" x14ac:dyDescent="0.2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</row>
    <row r="161" spans="1:27" ht="14.25" hidden="1" x14ac:dyDescent="0.2">
      <c r="A161" s="49" t="s">
        <v>35</v>
      </c>
      <c r="B161" s="49"/>
      <c r="C161" s="49"/>
      <c r="D161" s="49"/>
      <c r="E161" s="49"/>
      <c r="F161" s="49"/>
      <c r="G161" s="49" t="s">
        <v>35</v>
      </c>
      <c r="H161" s="50" t="s">
        <v>36</v>
      </c>
      <c r="I161" s="59"/>
      <c r="J161" s="49" t="s">
        <v>9</v>
      </c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</row>
    <row r="162" spans="1:27" ht="15" hidden="1" x14ac:dyDescent="0.25">
      <c r="A162" s="60">
        <v>0</v>
      </c>
      <c r="B162" s="61"/>
      <c r="C162" s="61"/>
      <c r="D162" s="61"/>
      <c r="E162" s="61"/>
      <c r="F162" s="61"/>
      <c r="G162" s="60">
        <v>7500</v>
      </c>
      <c r="H162" s="51">
        <v>4.5600000000000002E-2</v>
      </c>
      <c r="I162" s="62"/>
      <c r="J162" s="60">
        <f>IF($B$7&lt;G162,$B$7*H162,G162*H162)</f>
        <v>0</v>
      </c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</row>
    <row r="163" spans="1:27" ht="15" hidden="1" x14ac:dyDescent="0.25">
      <c r="A163" s="60">
        <v>7500</v>
      </c>
      <c r="B163" s="61"/>
      <c r="C163" s="61"/>
      <c r="D163" s="61"/>
      <c r="E163" s="61"/>
      <c r="F163" s="61"/>
      <c r="G163" s="60">
        <v>17500</v>
      </c>
      <c r="H163" s="51">
        <v>2.8500000000000001E-2</v>
      </c>
      <c r="I163" s="62"/>
      <c r="J163" s="61" t="str">
        <f t="shared" ref="J163:J168" si="0">IF($B$7&lt;=A163," ",IF($B$7&lt;G163,($B$7-G162)*H163,(G163-A163)*H163))</f>
        <v xml:space="preserve"> </v>
      </c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</row>
    <row r="164" spans="1:27" ht="15" hidden="1" x14ac:dyDescent="0.25">
      <c r="A164" s="60">
        <v>17500</v>
      </c>
      <c r="B164" s="61"/>
      <c r="C164" s="61"/>
      <c r="D164" s="61"/>
      <c r="E164" s="61"/>
      <c r="F164" s="61"/>
      <c r="G164" s="60">
        <v>30000</v>
      </c>
      <c r="H164" s="51">
        <v>2.2800000000000001E-2</v>
      </c>
      <c r="I164" s="62"/>
      <c r="J164" s="61" t="str">
        <f t="shared" si="0"/>
        <v xml:space="preserve"> </v>
      </c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</row>
    <row r="165" spans="1:27" ht="15" hidden="1" x14ac:dyDescent="0.25">
      <c r="A165" s="60">
        <v>30000</v>
      </c>
      <c r="B165" s="61"/>
      <c r="C165" s="61"/>
      <c r="D165" s="61"/>
      <c r="E165" s="61"/>
      <c r="F165" s="61"/>
      <c r="G165" s="60">
        <v>45495</v>
      </c>
      <c r="H165" s="51">
        <v>1.7100000000000001E-2</v>
      </c>
      <c r="I165" s="62"/>
      <c r="J165" s="61" t="str">
        <f t="shared" si="0"/>
        <v xml:space="preserve"> </v>
      </c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</row>
    <row r="166" spans="1:27" ht="15" hidden="1" x14ac:dyDescent="0.25">
      <c r="A166" s="60">
        <v>45495</v>
      </c>
      <c r="B166" s="61"/>
      <c r="C166" s="61"/>
      <c r="D166" s="61"/>
      <c r="E166" s="61"/>
      <c r="F166" s="61"/>
      <c r="G166" s="60">
        <v>64095</v>
      </c>
      <c r="H166" s="51">
        <v>1.14E-2</v>
      </c>
      <c r="I166" s="62"/>
      <c r="J166" s="61" t="str">
        <f t="shared" si="0"/>
        <v xml:space="preserve"> </v>
      </c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</row>
    <row r="167" spans="1:27" ht="15" hidden="1" x14ac:dyDescent="0.25">
      <c r="A167" s="60">
        <v>64095</v>
      </c>
      <c r="B167" s="61"/>
      <c r="C167" s="61"/>
      <c r="D167" s="61"/>
      <c r="E167" s="61"/>
      <c r="F167" s="61"/>
      <c r="G167" s="60">
        <v>250095</v>
      </c>
      <c r="H167" s="51">
        <v>5.7000000000000002E-3</v>
      </c>
      <c r="I167" s="62"/>
      <c r="J167" s="61" t="str">
        <f t="shared" si="0"/>
        <v xml:space="preserve"> </v>
      </c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</row>
    <row r="168" spans="1:27" ht="15" hidden="1" x14ac:dyDescent="0.25">
      <c r="A168" s="60">
        <v>250095</v>
      </c>
      <c r="B168" s="61"/>
      <c r="C168" s="61"/>
      <c r="D168" s="61"/>
      <c r="E168" s="61"/>
      <c r="F168" s="61"/>
      <c r="G168" s="60">
        <f>$B$7</f>
        <v>0</v>
      </c>
      <c r="H168" s="51">
        <v>5.6999999999999998E-4</v>
      </c>
      <c r="I168" s="62"/>
      <c r="J168" s="61" t="str">
        <f t="shared" si="0"/>
        <v xml:space="preserve"> </v>
      </c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</row>
    <row r="169" spans="1:27" ht="15" hidden="1" x14ac:dyDescent="0.25">
      <c r="A169" s="63"/>
      <c r="B169" s="64"/>
      <c r="C169" s="64"/>
      <c r="D169" s="64"/>
      <c r="E169" s="64"/>
      <c r="F169" s="64"/>
      <c r="G169" s="64"/>
      <c r="H169" s="65"/>
      <c r="I169" s="48"/>
      <c r="J169" s="4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</row>
    <row r="170" spans="1:27" ht="15" hidden="1" x14ac:dyDescent="0.25">
      <c r="A170" s="49" t="s">
        <v>37</v>
      </c>
      <c r="B170" s="53"/>
      <c r="C170" s="53"/>
      <c r="D170" s="53"/>
      <c r="E170" s="53"/>
      <c r="F170" s="53"/>
      <c r="G170" s="64"/>
      <c r="H170" s="66"/>
      <c r="I170" s="48"/>
      <c r="J170" s="67">
        <f>SUM(J162:J169)</f>
        <v>0</v>
      </c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</row>
    <row r="171" spans="1:27" hidden="1" x14ac:dyDescent="0.2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</row>
    <row r="172" spans="1:27" hidden="1" x14ac:dyDescent="0.2">
      <c r="A172" s="68" t="s">
        <v>65</v>
      </c>
      <c r="B172" s="69"/>
      <c r="C172" s="69"/>
      <c r="D172" s="69"/>
      <c r="E172" s="69"/>
      <c r="F172" s="69"/>
      <c r="G172" s="69"/>
      <c r="H172" s="69"/>
      <c r="I172" s="38"/>
      <c r="J172" s="38" t="s">
        <v>66</v>
      </c>
      <c r="K172" s="3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</row>
    <row r="173" spans="1:27" hidden="1" x14ac:dyDescent="0.2">
      <c r="A173" s="70">
        <v>67.31</v>
      </c>
      <c r="B173" s="70" t="s">
        <v>67</v>
      </c>
      <c r="C173" s="70"/>
      <c r="D173" s="70"/>
      <c r="E173" s="70"/>
      <c r="F173" s="70"/>
      <c r="G173" s="70">
        <v>25000</v>
      </c>
      <c r="H173" s="70"/>
      <c r="I173" s="38"/>
      <c r="J173" s="38"/>
      <c r="K173" s="3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</row>
    <row r="174" spans="1:27" hidden="1" x14ac:dyDescent="0.2">
      <c r="A174" s="70">
        <v>23.56</v>
      </c>
      <c r="B174" s="70" t="s">
        <v>68</v>
      </c>
      <c r="C174" s="70"/>
      <c r="D174" s="70"/>
      <c r="E174" s="70"/>
      <c r="F174" s="70"/>
      <c r="G174" s="70">
        <v>25000</v>
      </c>
      <c r="H174" s="70" t="s">
        <v>69</v>
      </c>
      <c r="I174" s="38"/>
      <c r="J174" s="38"/>
      <c r="K174" s="3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</row>
    <row r="175" spans="1:27" hidden="1" x14ac:dyDescent="0.2">
      <c r="A175" s="38"/>
      <c r="B175" s="38"/>
      <c r="C175" s="38"/>
      <c r="D175" s="38"/>
      <c r="E175" s="38"/>
      <c r="F175" s="38"/>
      <c r="G175" s="38"/>
      <c r="H175" s="38"/>
      <c r="I175" s="38"/>
      <c r="J175" s="38"/>
      <c r="K175" s="24">
        <f>C52-C48</f>
        <v>0</v>
      </c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</row>
    <row r="176" spans="1:27" hidden="1" x14ac:dyDescent="0.2">
      <c r="A176" s="38"/>
      <c r="B176" s="38"/>
      <c r="C176" s="38"/>
      <c r="D176" s="38"/>
      <c r="E176" s="38"/>
      <c r="F176" s="38"/>
      <c r="G176" s="38"/>
      <c r="H176" s="38"/>
      <c r="I176" s="38"/>
      <c r="J176" s="38"/>
      <c r="K176" s="3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</row>
    <row r="177" spans="1:27" hidden="1" x14ac:dyDescent="0.2">
      <c r="A177" s="38"/>
      <c r="B177" s="38"/>
      <c r="C177" s="38"/>
      <c r="D177" s="38"/>
      <c r="E177" s="38"/>
      <c r="F177" s="38"/>
      <c r="G177" s="38"/>
      <c r="H177" s="38"/>
      <c r="I177" s="38"/>
      <c r="J177" s="38"/>
      <c r="K177" s="38">
        <f>IF(K175&gt;0,K175*0.01,75)</f>
        <v>75</v>
      </c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</row>
    <row r="178" spans="1:27" hidden="1" x14ac:dyDescent="0.2">
      <c r="A178" s="38" t="s">
        <v>70</v>
      </c>
      <c r="B178" s="38"/>
      <c r="C178" s="38"/>
      <c r="D178" s="38"/>
      <c r="E178" s="38"/>
      <c r="F178" s="38"/>
      <c r="G178" s="38" t="s">
        <v>35</v>
      </c>
      <c r="H178" s="38" t="s">
        <v>71</v>
      </c>
      <c r="I178" s="38"/>
      <c r="J178" s="38"/>
      <c r="K178" s="3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</row>
    <row r="179" spans="1:27" hidden="1" x14ac:dyDescent="0.2">
      <c r="A179" s="38"/>
      <c r="B179" s="38"/>
      <c r="C179" s="38"/>
      <c r="D179" s="38"/>
      <c r="E179" s="38"/>
      <c r="F179" s="38"/>
      <c r="G179" s="24">
        <f>D56</f>
        <v>0</v>
      </c>
      <c r="H179" s="38">
        <f>IF(D56=0,575,550)</f>
        <v>575</v>
      </c>
      <c r="I179" s="38"/>
      <c r="J179" s="38"/>
      <c r="K179" s="38">
        <f>IF(K177&lt;75,75,K177)</f>
        <v>75</v>
      </c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</row>
    <row r="180" spans="1:27" hidden="1" x14ac:dyDescent="0.2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</row>
    <row r="181" spans="1:27" hidden="1" x14ac:dyDescent="0.2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</row>
    <row r="182" spans="1:27" hidden="1" x14ac:dyDescent="0.2">
      <c r="A182" s="38"/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</row>
    <row r="183" spans="1:27" hidden="1" x14ac:dyDescent="0.2">
      <c r="A183" s="71">
        <f>SUM(D54:D66)-D62-D64-D66</f>
        <v>1004.9999999999999</v>
      </c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</row>
    <row r="184" spans="1:27" hidden="1" x14ac:dyDescent="0.2">
      <c r="A184" s="38"/>
      <c r="B184" s="38"/>
      <c r="C184" s="38"/>
      <c r="D184" s="38"/>
      <c r="E184" s="38"/>
      <c r="F184" s="38"/>
      <c r="G184" s="38"/>
      <c r="H184" s="38"/>
      <c r="I184" s="38"/>
      <c r="J184" s="38"/>
      <c r="K184" s="3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</row>
    <row r="185" spans="1:27" hidden="1" x14ac:dyDescent="0.2">
      <c r="A185" s="68" t="s">
        <v>72</v>
      </c>
      <c r="B185" s="69"/>
      <c r="C185" s="69"/>
      <c r="D185" s="69"/>
      <c r="E185" s="69"/>
      <c r="F185" s="69"/>
      <c r="G185" s="69"/>
      <c r="H185" s="69"/>
      <c r="I185" s="38"/>
      <c r="J185" s="38"/>
      <c r="K185" s="3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</row>
    <row r="186" spans="1:27" hidden="1" x14ac:dyDescent="0.2">
      <c r="A186" s="70">
        <v>117.11</v>
      </c>
      <c r="B186" s="70" t="s">
        <v>67</v>
      </c>
      <c r="C186" s="70"/>
      <c r="D186" s="70"/>
      <c r="E186" s="70"/>
      <c r="F186" s="70"/>
      <c r="G186" s="70">
        <v>25000</v>
      </c>
      <c r="H186" s="70"/>
      <c r="I186" s="38"/>
      <c r="J186" s="38"/>
      <c r="K186" s="3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</row>
    <row r="187" spans="1:27" hidden="1" x14ac:dyDescent="0.2">
      <c r="A187" s="70">
        <v>23.56</v>
      </c>
      <c r="B187" s="70" t="s">
        <v>68</v>
      </c>
      <c r="C187" s="70"/>
      <c r="D187" s="70"/>
      <c r="E187" s="70"/>
      <c r="F187" s="70"/>
      <c r="G187" s="70">
        <v>25000</v>
      </c>
      <c r="H187" s="70" t="s">
        <v>69</v>
      </c>
      <c r="I187" s="38"/>
      <c r="J187" s="38"/>
      <c r="K187" s="3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</row>
    <row r="188" spans="1:27" hidden="1" x14ac:dyDescent="0.2">
      <c r="A188" s="38"/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</row>
    <row r="189" spans="1:27" hidden="1" x14ac:dyDescent="0.2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</row>
    <row r="190" spans="1:27" hidden="1" x14ac:dyDescent="0.2">
      <c r="A190" s="38"/>
      <c r="B190" s="38"/>
      <c r="C190" s="38"/>
      <c r="D190" s="38"/>
      <c r="E190" s="38"/>
      <c r="F190" s="38"/>
      <c r="G190" s="38"/>
      <c r="H190" s="38"/>
      <c r="I190" s="38"/>
      <c r="J190" s="38"/>
      <c r="K190" s="3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</row>
    <row r="191" spans="1:27" hidden="1" x14ac:dyDescent="0.2">
      <c r="A191" s="38"/>
      <c r="B191" s="38"/>
      <c r="C191" s="38"/>
      <c r="D191" s="38"/>
      <c r="E191" s="38"/>
      <c r="F191" s="38"/>
      <c r="G191" s="38"/>
      <c r="H191" s="24">
        <f>ROUNDUP(C57+C58,-2)</f>
        <v>200</v>
      </c>
      <c r="I191" s="38"/>
      <c r="J191" s="38"/>
      <c r="K191" s="3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</row>
    <row r="192" spans="1:27" hidden="1" x14ac:dyDescent="0.2">
      <c r="A192" s="38"/>
      <c r="B192" s="38"/>
      <c r="C192" s="38"/>
      <c r="D192" s="38"/>
      <c r="E192" s="38"/>
      <c r="F192" s="38"/>
      <c r="G192" s="38"/>
      <c r="H192" s="38">
        <f>IF((H191-C57-C58)&gt;90,H191-50,H191)</f>
        <v>200</v>
      </c>
      <c r="I192" s="38"/>
      <c r="J192" s="38"/>
      <c r="K192" s="3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</row>
    <row r="193" spans="1:27" hidden="1" x14ac:dyDescent="0.2">
      <c r="A193" s="38"/>
      <c r="B193" s="38"/>
      <c r="C193" s="38"/>
      <c r="D193" s="38"/>
      <c r="E193" s="38"/>
      <c r="F193" s="38"/>
      <c r="G193" s="38"/>
      <c r="H193" s="38">
        <f>IF((H192-C57-C58)&lt;30,(C57+C58+30),H192)</f>
        <v>214.42000000000002</v>
      </c>
      <c r="I193" s="38"/>
      <c r="J193" s="38"/>
      <c r="K193" s="3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</row>
    <row r="194" spans="1:27" hidden="1" x14ac:dyDescent="0.2">
      <c r="A194" s="38"/>
      <c r="B194" s="38"/>
      <c r="C194" s="38"/>
      <c r="D194" s="38"/>
      <c r="E194" s="38"/>
      <c r="F194" s="38"/>
      <c r="G194" s="38"/>
      <c r="H194" s="38">
        <f>ROUNDUP(H193,-1)</f>
        <v>220</v>
      </c>
      <c r="I194" s="38"/>
      <c r="J194" s="38"/>
      <c r="K194" s="3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</row>
    <row r="195" spans="1:27" hidden="1" x14ac:dyDescent="0.2">
      <c r="A195" s="38"/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</row>
    <row r="196" spans="1:27" hidden="1" x14ac:dyDescent="0.2">
      <c r="A196" s="38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</row>
    <row r="197" spans="1:27" hidden="1" x14ac:dyDescent="0.2">
      <c r="A197" s="38"/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</row>
    <row r="198" spans="1:27" hidden="1" x14ac:dyDescent="0.2">
      <c r="A198" s="38"/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</row>
    <row r="199" spans="1:27" hidden="1" x14ac:dyDescent="0.2">
      <c r="A199" s="38"/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</row>
    <row r="200" spans="1:27" hidden="1" x14ac:dyDescent="0.2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</row>
    <row r="201" spans="1:27" hidden="1" x14ac:dyDescent="0.2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</row>
    <row r="202" spans="1:27" hidden="1" x14ac:dyDescent="0.2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</row>
    <row r="203" spans="1:27" hidden="1" x14ac:dyDescent="0.2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</row>
    <row r="204" spans="1:27" hidden="1" x14ac:dyDescent="0.2">
      <c r="A204" s="38"/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</row>
    <row r="205" spans="1:27" hidden="1" x14ac:dyDescent="0.2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</row>
    <row r="206" spans="1:27" hidden="1" x14ac:dyDescent="0.2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</row>
    <row r="207" spans="1:27" hidden="1" x14ac:dyDescent="0.2">
      <c r="A207" s="38"/>
      <c r="B207" s="38"/>
      <c r="C207" s="38"/>
      <c r="D207" s="38"/>
      <c r="E207" s="38"/>
      <c r="F207" s="38"/>
      <c r="G207" s="38"/>
      <c r="H207" s="38"/>
      <c r="I207" s="38"/>
      <c r="J207" s="38"/>
      <c r="K207" s="3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</row>
    <row r="208" spans="1:27" hidden="1" x14ac:dyDescent="0.2">
      <c r="A208" s="38"/>
      <c r="B208" s="38"/>
      <c r="C208" s="38"/>
      <c r="D208" s="38"/>
      <c r="E208" s="38"/>
      <c r="F208" s="38"/>
      <c r="G208" s="38"/>
      <c r="H208" s="38"/>
      <c r="I208" s="38"/>
      <c r="J208" s="38"/>
      <c r="K208" s="3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</row>
    <row r="209" spans="1:27" hidden="1" x14ac:dyDescent="0.2">
      <c r="A209" s="38"/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</row>
    <row r="210" spans="1:27" hidden="1" x14ac:dyDescent="0.2">
      <c r="A210" s="38"/>
      <c r="B210" s="38"/>
      <c r="C210" s="38"/>
      <c r="D210" s="38"/>
      <c r="E210" s="38"/>
      <c r="F210" s="38"/>
      <c r="G210" s="38"/>
      <c r="H210" s="38"/>
      <c r="I210" s="38"/>
      <c r="J210" s="38"/>
      <c r="K210" s="3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</row>
    <row r="211" spans="1:27" hidden="1" x14ac:dyDescent="0.2">
      <c r="A211" s="38"/>
      <c r="B211" s="38"/>
      <c r="C211" s="38"/>
      <c r="D211" s="38"/>
      <c r="E211" s="38"/>
      <c r="F211" s="38"/>
      <c r="G211" s="38"/>
      <c r="H211" s="38"/>
      <c r="I211" s="38"/>
      <c r="J211" s="38"/>
      <c r="K211" s="3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</row>
    <row r="212" spans="1:27" hidden="1" x14ac:dyDescent="0.2">
      <c r="A212" s="38"/>
      <c r="B212" s="38"/>
      <c r="C212" s="38"/>
      <c r="D212" s="38"/>
      <c r="E212" s="38"/>
      <c r="F212" s="38"/>
      <c r="G212" s="38"/>
      <c r="H212" s="38"/>
      <c r="I212" s="38"/>
      <c r="J212" s="38"/>
      <c r="K212" s="3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</row>
    <row r="213" spans="1:27" hidden="1" x14ac:dyDescent="0.2">
      <c r="A213" s="38"/>
      <c r="B213" s="38"/>
      <c r="C213" s="38"/>
      <c r="D213" s="38"/>
      <c r="E213" s="38"/>
      <c r="F213" s="38"/>
      <c r="G213" s="38"/>
      <c r="H213" s="38"/>
      <c r="I213" s="38"/>
      <c r="J213" s="38"/>
      <c r="K213" s="3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</row>
    <row r="214" spans="1:27" hidden="1" x14ac:dyDescent="0.2">
      <c r="A214" s="38"/>
      <c r="B214" s="38"/>
      <c r="C214" s="38"/>
      <c r="D214" s="38"/>
      <c r="E214" s="38"/>
      <c r="F214" s="38"/>
      <c r="G214" s="38"/>
      <c r="H214" s="38"/>
      <c r="I214" s="38"/>
      <c r="J214" s="38"/>
      <c r="K214" s="3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</row>
    <row r="215" spans="1:27" hidden="1" x14ac:dyDescent="0.2">
      <c r="A215" s="38"/>
      <c r="B215" s="38"/>
      <c r="C215" s="38"/>
      <c r="D215" s="38"/>
      <c r="E215" s="38"/>
      <c r="F215" s="38"/>
      <c r="G215" s="38"/>
      <c r="H215" s="38"/>
      <c r="I215" s="38"/>
      <c r="J215" s="38"/>
      <c r="K215" s="3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</row>
    <row r="216" spans="1:27" ht="15" hidden="1" x14ac:dyDescent="0.25">
      <c r="A216" s="72" t="s">
        <v>4</v>
      </c>
      <c r="B216" s="72"/>
      <c r="C216" s="72"/>
      <c r="D216" s="72"/>
      <c r="E216" s="72"/>
      <c r="F216" s="72"/>
      <c r="G216" s="73">
        <f>C52</f>
        <v>0</v>
      </c>
      <c r="H216" s="74"/>
      <c r="I216" s="75"/>
      <c r="J216" s="38"/>
      <c r="K216" s="3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</row>
    <row r="217" spans="1:27" ht="15" hidden="1" x14ac:dyDescent="0.25">
      <c r="A217" s="76">
        <v>0</v>
      </c>
      <c r="B217" s="74"/>
      <c r="C217" s="74"/>
      <c r="D217" s="74"/>
      <c r="E217" s="74"/>
      <c r="F217" s="74"/>
      <c r="G217" s="76">
        <v>7500</v>
      </c>
      <c r="H217" s="77">
        <v>8.5500000000000003E-3</v>
      </c>
      <c r="I217" s="77"/>
      <c r="J217" s="76">
        <f>IF(C52&lt;G217,C52*H217,G217*H217)</f>
        <v>0</v>
      </c>
      <c r="K217" s="3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</row>
    <row r="218" spans="1:27" ht="15" hidden="1" x14ac:dyDescent="0.25">
      <c r="A218" s="76">
        <v>7500</v>
      </c>
      <c r="B218" s="74"/>
      <c r="C218" s="74"/>
      <c r="D218" s="74"/>
      <c r="E218" s="74"/>
      <c r="F218" s="74"/>
      <c r="G218" s="76">
        <v>17500</v>
      </c>
      <c r="H218" s="77">
        <v>6.8399999999999997E-3</v>
      </c>
      <c r="I218" s="77"/>
      <c r="J218" s="74" t="str">
        <f>IF(C52&lt;=A218," ",IF(C52&lt;G218,(C52-G217)*H218,(G218-A218)*H218))</f>
        <v xml:space="preserve"> </v>
      </c>
      <c r="K218" s="3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</row>
    <row r="219" spans="1:27" ht="15" hidden="1" x14ac:dyDescent="0.25">
      <c r="A219" s="76">
        <v>17500</v>
      </c>
      <c r="B219" s="74"/>
      <c r="C219" s="74"/>
      <c r="D219" s="74"/>
      <c r="E219" s="74"/>
      <c r="F219" s="74"/>
      <c r="G219" s="76">
        <v>30000</v>
      </c>
      <c r="H219" s="77">
        <v>4.5599999999999998E-3</v>
      </c>
      <c r="I219" s="77"/>
      <c r="J219" s="74" t="str">
        <f>IF(C52&lt;=A219," ",IF(C52&lt;G219,(C52-G218)*H219,(G219-A219)*H219))</f>
        <v xml:space="preserve"> </v>
      </c>
      <c r="K219" s="3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</row>
    <row r="220" spans="1:27" ht="15" hidden="1" x14ac:dyDescent="0.25">
      <c r="A220" s="76">
        <v>30000</v>
      </c>
      <c r="B220" s="74"/>
      <c r="C220" s="74"/>
      <c r="D220" s="74"/>
      <c r="E220" s="74"/>
      <c r="F220" s="74"/>
      <c r="G220" s="76">
        <v>45495</v>
      </c>
      <c r="H220" s="77">
        <v>3.4199999999999999E-3</v>
      </c>
      <c r="I220" s="77"/>
      <c r="J220" s="74" t="str">
        <f>IF(C52&lt;=A220," ",IF(C52&lt;G220,(C52-G219)*H220,(G220-A220)*H220))</f>
        <v xml:space="preserve"> </v>
      </c>
      <c r="K220" s="3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</row>
    <row r="221" spans="1:27" ht="15" hidden="1" x14ac:dyDescent="0.25">
      <c r="A221" s="76">
        <v>45495</v>
      </c>
      <c r="B221" s="74"/>
      <c r="C221" s="74"/>
      <c r="D221" s="74"/>
      <c r="E221" s="74"/>
      <c r="F221" s="74"/>
      <c r="G221" s="76">
        <v>64095</v>
      </c>
      <c r="H221" s="77">
        <v>2.2799999999999999E-3</v>
      </c>
      <c r="I221" s="77"/>
      <c r="J221" s="74" t="str">
        <f>IF(C52&lt;=A221," ",IF(C52&lt;G221,(C52-G220)*H221,(G221-A221)*H221))</f>
        <v xml:space="preserve"> </v>
      </c>
      <c r="K221" s="3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</row>
    <row r="222" spans="1:27" ht="15" hidden="1" x14ac:dyDescent="0.25">
      <c r="A222" s="76">
        <v>64095</v>
      </c>
      <c r="B222" s="74"/>
      <c r="C222" s="74"/>
      <c r="D222" s="74"/>
      <c r="E222" s="74"/>
      <c r="F222" s="74"/>
      <c r="G222" s="76">
        <v>250095</v>
      </c>
      <c r="H222" s="77">
        <v>1.14E-3</v>
      </c>
      <c r="I222" s="77"/>
      <c r="J222" s="74" t="str">
        <f>IF(C52&lt;=A222," ",IF(C52&lt;G222,(C52-G221)*H222,(G222-A222)*H222))</f>
        <v xml:space="preserve"> </v>
      </c>
      <c r="K222" s="3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</row>
    <row r="223" spans="1:27" ht="15" hidden="1" x14ac:dyDescent="0.25">
      <c r="A223" s="76">
        <v>250095</v>
      </c>
      <c r="B223" s="74"/>
      <c r="C223" s="74"/>
      <c r="D223" s="74"/>
      <c r="E223" s="74"/>
      <c r="F223" s="74"/>
      <c r="G223" s="76">
        <f>$H$8</f>
        <v>0</v>
      </c>
      <c r="H223" s="78">
        <v>3.4200000000000002E-4</v>
      </c>
      <c r="I223" s="77"/>
      <c r="J223" s="74" t="str">
        <f>IF(C52&lt;=A223," ",IF(C52&lt;G223,(C52-G222)*H223,(G223-A223)*H223))</f>
        <v xml:space="preserve"> </v>
      </c>
      <c r="K223" s="3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</row>
    <row r="224" spans="1:27" ht="15" hidden="1" x14ac:dyDescent="0.25">
      <c r="A224" s="73">
        <v>10075000</v>
      </c>
      <c r="B224" s="73"/>
      <c r="C224" s="73"/>
      <c r="D224" s="73"/>
      <c r="E224" s="73"/>
      <c r="F224" s="73"/>
      <c r="G224" s="73">
        <f>C52</f>
        <v>0</v>
      </c>
      <c r="H224" s="78">
        <v>4.5600000000000003E-4</v>
      </c>
      <c r="I224" s="73" t="str">
        <f>IF(C52&lt;=A224," E90",IF(C52&lt;G224,(C52-G223)*H224,(G224-A224)*H224))</f>
        <v xml:space="preserve"> E90</v>
      </c>
      <c r="J224" s="38"/>
      <c r="K224" s="3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</row>
    <row r="225" spans="1:27" ht="15" hidden="1" x14ac:dyDescent="0.25">
      <c r="A225" s="75"/>
      <c r="B225" s="75"/>
      <c r="C225" s="75"/>
      <c r="D225" s="75"/>
      <c r="E225" s="75"/>
      <c r="F225" s="75"/>
      <c r="G225" s="75"/>
      <c r="H225" s="75"/>
      <c r="I225" s="75"/>
      <c r="J225" s="38"/>
      <c r="K225" s="3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</row>
    <row r="226" spans="1:27" ht="15" hidden="1" x14ac:dyDescent="0.25">
      <c r="A226" s="79" t="s">
        <v>37</v>
      </c>
      <c r="B226" s="79"/>
      <c r="C226" s="79"/>
      <c r="D226" s="79"/>
      <c r="E226" s="79"/>
      <c r="F226" s="79"/>
      <c r="G226" s="75"/>
      <c r="H226" s="75"/>
      <c r="I226" s="80">
        <f>SUM(J217:J224)</f>
        <v>0</v>
      </c>
      <c r="J226" s="38"/>
      <c r="K226" s="3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</row>
    <row r="227" spans="1:27" ht="15" hidden="1" x14ac:dyDescent="0.25">
      <c r="A227" s="79"/>
      <c r="B227" s="79"/>
      <c r="C227" s="79"/>
      <c r="D227" s="79"/>
      <c r="E227" s="79"/>
      <c r="F227" s="79"/>
      <c r="G227" s="75"/>
      <c r="H227" s="75"/>
      <c r="I227" s="80"/>
      <c r="J227" s="38"/>
      <c r="K227" s="3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</row>
    <row r="228" spans="1:27" ht="15" hidden="1" x14ac:dyDescent="0.25">
      <c r="A228" s="72" t="s">
        <v>4</v>
      </c>
      <c r="B228" s="72"/>
      <c r="C228" s="72"/>
      <c r="D228" s="72"/>
      <c r="E228" s="72"/>
      <c r="F228" s="72"/>
      <c r="G228" s="73">
        <f>C48</f>
        <v>0</v>
      </c>
      <c r="H228" s="74"/>
      <c r="I228" s="75"/>
      <c r="J228" s="38"/>
      <c r="K228" s="3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</row>
    <row r="229" spans="1:27" ht="15" hidden="1" x14ac:dyDescent="0.25">
      <c r="A229" s="76">
        <v>0</v>
      </c>
      <c r="B229" s="74"/>
      <c r="C229" s="74"/>
      <c r="D229" s="74"/>
      <c r="E229" s="74"/>
      <c r="F229" s="74"/>
      <c r="G229" s="76">
        <v>7500</v>
      </c>
      <c r="H229" s="77">
        <v>8.5500000000000003E-3</v>
      </c>
      <c r="I229" s="77"/>
      <c r="J229" s="76">
        <f>IF(C48&lt;G229,C48*H229,G229*H229)</f>
        <v>0</v>
      </c>
      <c r="K229" s="3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</row>
    <row r="230" spans="1:27" ht="15" hidden="1" x14ac:dyDescent="0.25">
      <c r="A230" s="76">
        <v>7500</v>
      </c>
      <c r="B230" s="74"/>
      <c r="C230" s="74"/>
      <c r="D230" s="74"/>
      <c r="E230" s="74"/>
      <c r="F230" s="74"/>
      <c r="G230" s="76">
        <v>17500</v>
      </c>
      <c r="H230" s="77">
        <v>6.8399999999999997E-3</v>
      </c>
      <c r="I230" s="77"/>
      <c r="J230" s="74" t="str">
        <f>IF(C48&lt;=A230," ",IF(C48&lt;G230,(C48-G229)*H230,(G230-A230)*H230))</f>
        <v xml:space="preserve"> </v>
      </c>
      <c r="K230" s="3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</row>
    <row r="231" spans="1:27" ht="15" hidden="1" x14ac:dyDescent="0.25">
      <c r="A231" s="76">
        <v>17500</v>
      </c>
      <c r="B231" s="74"/>
      <c r="C231" s="74"/>
      <c r="D231" s="74"/>
      <c r="E231" s="74"/>
      <c r="F231" s="74"/>
      <c r="G231" s="76">
        <v>30000</v>
      </c>
      <c r="H231" s="77">
        <v>4.5599999999999998E-3</v>
      </c>
      <c r="I231" s="77"/>
      <c r="J231" s="74" t="str">
        <f>IF(C48&lt;=A231," ",IF(C48&lt;G231,(C48-G230)*H231,(G231-A231)*H231))</f>
        <v xml:space="preserve"> </v>
      </c>
      <c r="K231" s="3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</row>
    <row r="232" spans="1:27" ht="15" hidden="1" x14ac:dyDescent="0.25">
      <c r="A232" s="76">
        <v>30000</v>
      </c>
      <c r="B232" s="74"/>
      <c r="C232" s="74"/>
      <c r="D232" s="74"/>
      <c r="E232" s="74"/>
      <c r="F232" s="74"/>
      <c r="G232" s="76">
        <v>45495</v>
      </c>
      <c r="H232" s="77">
        <v>3.4199999999999999E-3</v>
      </c>
      <c r="I232" s="77"/>
      <c r="J232" s="74" t="str">
        <f>IF(C48&lt;=A232," ",IF(C48&lt;G232,(C48-G231)*H232,(G232-A232)*H232))</f>
        <v xml:space="preserve"> </v>
      </c>
      <c r="K232" s="3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</row>
    <row r="233" spans="1:27" ht="15" hidden="1" x14ac:dyDescent="0.25">
      <c r="A233" s="76">
        <v>45495</v>
      </c>
      <c r="B233" s="74"/>
      <c r="C233" s="74"/>
      <c r="D233" s="74"/>
      <c r="E233" s="74"/>
      <c r="F233" s="74"/>
      <c r="G233" s="76">
        <v>64095</v>
      </c>
      <c r="H233" s="77">
        <v>2.2799999999999999E-3</v>
      </c>
      <c r="I233" s="77"/>
      <c r="J233" s="74" t="str">
        <f>IF(C48&lt;=A233," ",IF(C48&lt;G233,(C48-G232)*H233,(G233-A233)*H233))</f>
        <v xml:space="preserve"> </v>
      </c>
      <c r="K233" s="3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</row>
    <row r="234" spans="1:27" ht="15" hidden="1" x14ac:dyDescent="0.25">
      <c r="A234" s="76">
        <v>64095</v>
      </c>
      <c r="B234" s="74"/>
      <c r="C234" s="74"/>
      <c r="D234" s="74"/>
      <c r="E234" s="74"/>
      <c r="F234" s="74"/>
      <c r="G234" s="76">
        <v>250095</v>
      </c>
      <c r="H234" s="77">
        <v>1.14E-3</v>
      </c>
      <c r="I234" s="77"/>
      <c r="J234" s="74" t="str">
        <f>IF(C48&lt;=A234," ",IF(C48&lt;G234,(C48-G233)*H234,(G234-A234)*H234))</f>
        <v xml:space="preserve"> </v>
      </c>
      <c r="K234" s="3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</row>
    <row r="235" spans="1:27" ht="15" hidden="1" x14ac:dyDescent="0.25">
      <c r="A235" s="76">
        <v>250095</v>
      </c>
      <c r="B235" s="74"/>
      <c r="C235" s="74"/>
      <c r="D235" s="74"/>
      <c r="E235" s="74"/>
      <c r="F235" s="74"/>
      <c r="G235" s="76">
        <f>$H$8</f>
        <v>0</v>
      </c>
      <c r="H235" s="78">
        <v>3.4200000000000002E-4</v>
      </c>
      <c r="I235" s="77"/>
      <c r="J235" s="74" t="str">
        <f>IF(C48&lt;=A235," ",IF(C48&lt;G235,(C48-G234)*H235,(G235-A235)*H235))</f>
        <v xml:space="preserve"> </v>
      </c>
      <c r="K235" s="3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</row>
    <row r="236" spans="1:27" ht="15" hidden="1" x14ac:dyDescent="0.25">
      <c r="A236" s="73">
        <v>10075000</v>
      </c>
      <c r="B236" s="73"/>
      <c r="C236" s="73"/>
      <c r="D236" s="73"/>
      <c r="E236" s="73"/>
      <c r="F236" s="73"/>
      <c r="G236" s="73">
        <f>C48</f>
        <v>0</v>
      </c>
      <c r="H236" s="78">
        <v>4.5600000000000003E-4</v>
      </c>
      <c r="I236" s="73" t="str">
        <f>IF(C48&lt;=A236," E90",IF(C48&lt;G236,(C48-G235)*H236,(G236-A236)*H236))</f>
        <v xml:space="preserve"> E90</v>
      </c>
      <c r="J236" s="38"/>
      <c r="K236" s="3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</row>
    <row r="237" spans="1:27" ht="15" hidden="1" x14ac:dyDescent="0.25">
      <c r="A237" s="75"/>
      <c r="B237" s="75"/>
      <c r="C237" s="75"/>
      <c r="D237" s="75"/>
      <c r="E237" s="75"/>
      <c r="F237" s="75"/>
      <c r="G237" s="75"/>
      <c r="H237" s="75"/>
      <c r="I237" s="75"/>
      <c r="J237" s="38"/>
      <c r="K237" s="3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</row>
    <row r="238" spans="1:27" ht="15" hidden="1" x14ac:dyDescent="0.25">
      <c r="A238" s="79" t="s">
        <v>37</v>
      </c>
      <c r="B238" s="79"/>
      <c r="C238" s="79"/>
      <c r="D238" s="79"/>
      <c r="E238" s="79"/>
      <c r="F238" s="79"/>
      <c r="G238" s="75"/>
      <c r="H238" s="75"/>
      <c r="I238" s="80">
        <f>SUM(J229:J236)</f>
        <v>0</v>
      </c>
      <c r="J238" s="38"/>
      <c r="K238" s="3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</row>
    <row r="239" spans="1:27" hidden="1" x14ac:dyDescent="0.2">
      <c r="A239" s="38"/>
      <c r="B239" s="38"/>
      <c r="C239" s="38"/>
      <c r="D239" s="38"/>
      <c r="E239" s="38"/>
      <c r="F239" s="38"/>
      <c r="G239" s="38"/>
      <c r="H239" s="38"/>
      <c r="I239" s="38"/>
      <c r="J239" s="38"/>
      <c r="K239" s="3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</row>
    <row r="240" spans="1:27" hidden="1" x14ac:dyDescent="0.2">
      <c r="A240" s="38"/>
      <c r="B240" s="38"/>
      <c r="C240" s="38"/>
      <c r="D240" s="38"/>
      <c r="E240" s="38"/>
      <c r="F240" s="38"/>
      <c r="G240" s="38"/>
      <c r="H240" s="38"/>
      <c r="I240" s="38"/>
      <c r="J240" s="38"/>
      <c r="K240" s="3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</row>
    <row r="241" spans="1:27" ht="15" hidden="1" x14ac:dyDescent="0.25">
      <c r="A241" s="72" t="s">
        <v>4</v>
      </c>
      <c r="B241" s="72"/>
      <c r="C241" s="72"/>
      <c r="D241" s="72"/>
      <c r="E241" s="72"/>
      <c r="F241" s="72"/>
      <c r="G241" s="73">
        <f>C52</f>
        <v>0</v>
      </c>
      <c r="H241" s="74"/>
      <c r="I241" s="75"/>
      <c r="J241" s="38"/>
      <c r="K241" s="3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</row>
    <row r="242" spans="1:27" ht="15" hidden="1" x14ac:dyDescent="0.25">
      <c r="A242" s="76">
        <v>0</v>
      </c>
      <c r="B242" s="74"/>
      <c r="C242" s="74"/>
      <c r="D242" s="74"/>
      <c r="E242" s="74"/>
      <c r="F242" s="74"/>
      <c r="G242" s="76">
        <v>7500</v>
      </c>
      <c r="H242" s="77">
        <v>1.7100000000000001E-2</v>
      </c>
      <c r="I242" s="77"/>
      <c r="J242" s="76">
        <f>IF(C52&lt;G242,C52*H242,G242*H242)</f>
        <v>0</v>
      </c>
      <c r="K242" s="3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</row>
    <row r="243" spans="1:27" ht="15" hidden="1" x14ac:dyDescent="0.25">
      <c r="A243" s="76">
        <v>7500</v>
      </c>
      <c r="B243" s="74"/>
      <c r="C243" s="74"/>
      <c r="D243" s="74"/>
      <c r="E243" s="74"/>
      <c r="F243" s="74"/>
      <c r="G243" s="76">
        <v>17500</v>
      </c>
      <c r="H243" s="77">
        <v>1.3679999999999999E-2</v>
      </c>
      <c r="I243" s="77"/>
      <c r="J243" s="74" t="str">
        <f>IF(C52&lt;=A243," ",IF(C52&lt;G243,(C52-G242)*H243,(G243-A243)*H243))</f>
        <v xml:space="preserve"> </v>
      </c>
      <c r="K243" s="3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</row>
    <row r="244" spans="1:27" ht="15" hidden="1" x14ac:dyDescent="0.25">
      <c r="A244" s="76">
        <v>17500</v>
      </c>
      <c r="B244" s="74"/>
      <c r="C244" s="74"/>
      <c r="D244" s="74"/>
      <c r="E244" s="74"/>
      <c r="F244" s="74"/>
      <c r="G244" s="76">
        <v>30000</v>
      </c>
      <c r="H244" s="77">
        <v>9.1199999999999996E-3</v>
      </c>
      <c r="I244" s="77"/>
      <c r="J244" s="74" t="str">
        <f>IF(C52&lt;=A244," ",IF(C52&lt;G244,(C52-G243)*H244,(G244-A244)*H244))</f>
        <v xml:space="preserve"> </v>
      </c>
      <c r="K244" s="3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</row>
    <row r="245" spans="1:27" ht="15" hidden="1" x14ac:dyDescent="0.25">
      <c r="A245" s="76">
        <v>30000</v>
      </c>
      <c r="B245" s="74"/>
      <c r="C245" s="74"/>
      <c r="D245" s="74"/>
      <c r="E245" s="74"/>
      <c r="F245" s="74"/>
      <c r="G245" s="76">
        <v>45495</v>
      </c>
      <c r="H245" s="77">
        <v>6.8399999999999997E-3</v>
      </c>
      <c r="I245" s="77"/>
      <c r="J245" s="74" t="str">
        <f>IF(C52&lt;=A245," ",IF(C52&lt;G245,(C52-G244)*H245,(G245-A245)*H245))</f>
        <v xml:space="preserve"> </v>
      </c>
      <c r="K245" s="3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</row>
    <row r="246" spans="1:27" ht="15" hidden="1" x14ac:dyDescent="0.25">
      <c r="A246" s="76">
        <v>45495</v>
      </c>
      <c r="B246" s="74"/>
      <c r="C246" s="74"/>
      <c r="D246" s="74"/>
      <c r="E246" s="74"/>
      <c r="F246" s="74"/>
      <c r="G246" s="76">
        <v>64095</v>
      </c>
      <c r="H246" s="77">
        <v>4.5599999999999998E-3</v>
      </c>
      <c r="I246" s="77"/>
      <c r="J246" s="74" t="str">
        <f>IF(C52&lt;=A246," ",IF(C52&lt;G246,(C52-G245)*H246,(G246-A246)*H246))</f>
        <v xml:space="preserve"> </v>
      </c>
      <c r="K246" s="3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</row>
    <row r="247" spans="1:27" ht="15" hidden="1" x14ac:dyDescent="0.25">
      <c r="A247" s="76">
        <v>64095</v>
      </c>
      <c r="B247" s="74"/>
      <c r="C247" s="74"/>
      <c r="D247" s="74"/>
      <c r="E247" s="74"/>
      <c r="F247" s="74"/>
      <c r="G247" s="76">
        <v>250095</v>
      </c>
      <c r="H247" s="77">
        <v>2.2799999999999999E-3</v>
      </c>
      <c r="I247" s="77"/>
      <c r="J247" s="74" t="str">
        <f>IF(C52&lt;=A247," ",IF(C52&lt;G247,(C52-G246)*H247,(G247-A247)*H247))</f>
        <v xml:space="preserve"> </v>
      </c>
      <c r="K247" s="3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</row>
    <row r="248" spans="1:27" ht="15" hidden="1" x14ac:dyDescent="0.25">
      <c r="A248" s="76">
        <v>250095</v>
      </c>
      <c r="B248" s="74"/>
      <c r="C248" s="74"/>
      <c r="D248" s="74"/>
      <c r="E248" s="74"/>
      <c r="F248" s="74"/>
      <c r="G248" s="76">
        <f>$H$8</f>
        <v>0</v>
      </c>
      <c r="H248" s="78">
        <v>4.5600000000000003E-4</v>
      </c>
      <c r="I248" s="77"/>
      <c r="J248" s="74" t="str">
        <f>IF(C52&lt;=A248," ",IF(C52&lt;G248,(C52-G247)*H248,(G248-A248)*H248))</f>
        <v xml:space="preserve"> </v>
      </c>
      <c r="K248" s="3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</row>
    <row r="249" spans="1:27" ht="15" hidden="1" x14ac:dyDescent="0.25">
      <c r="A249" s="73">
        <v>10075000</v>
      </c>
      <c r="B249" s="73"/>
      <c r="C249" s="73"/>
      <c r="D249" s="73"/>
      <c r="E249" s="73"/>
      <c r="F249" s="73"/>
      <c r="G249" s="73">
        <f>C52</f>
        <v>0</v>
      </c>
      <c r="H249" s="78">
        <v>4.5600000000000003E-4</v>
      </c>
      <c r="I249" s="73" t="str">
        <f>IF(C52&lt;=A249," E90",IF(C52&lt;G249,(C52-G248)*H249,(G249-A249)*H249))</f>
        <v xml:space="preserve"> E90</v>
      </c>
      <c r="J249" s="38"/>
      <c r="K249" s="3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</row>
    <row r="250" spans="1:27" ht="15" hidden="1" x14ac:dyDescent="0.25">
      <c r="A250" s="75"/>
      <c r="B250" s="75"/>
      <c r="C250" s="75"/>
      <c r="D250" s="75"/>
      <c r="E250" s="75"/>
      <c r="F250" s="75"/>
      <c r="G250" s="75"/>
      <c r="H250" s="75"/>
      <c r="I250" s="75"/>
      <c r="J250" s="38"/>
      <c r="K250" s="3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</row>
    <row r="251" spans="1:27" ht="15" hidden="1" x14ac:dyDescent="0.25">
      <c r="A251" s="79" t="s">
        <v>37</v>
      </c>
      <c r="B251" s="79"/>
      <c r="C251" s="79"/>
      <c r="D251" s="79"/>
      <c r="E251" s="79"/>
      <c r="F251" s="79"/>
      <c r="G251" s="75"/>
      <c r="H251" s="75"/>
      <c r="I251" s="80">
        <f>SUM(J242:J249)</f>
        <v>0</v>
      </c>
      <c r="J251" s="38"/>
      <c r="K251" s="3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</row>
    <row r="252" spans="1:27" hidden="1" x14ac:dyDescent="0.2">
      <c r="A252" s="38"/>
      <c r="B252" s="38"/>
      <c r="C252" s="38"/>
      <c r="D252" s="38"/>
      <c r="E252" s="38"/>
      <c r="F252" s="38"/>
      <c r="G252" s="38"/>
      <c r="H252" s="38"/>
      <c r="I252" s="38"/>
      <c r="J252" s="38"/>
      <c r="K252" s="3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</row>
    <row r="253" spans="1:27" hidden="1" x14ac:dyDescent="0.2">
      <c r="A253" s="38"/>
      <c r="B253" s="38"/>
      <c r="C253" s="38"/>
      <c r="D253" s="38"/>
      <c r="E253" s="38"/>
      <c r="F253" s="38"/>
      <c r="G253" s="38"/>
      <c r="H253" s="38"/>
      <c r="I253" s="38"/>
      <c r="J253" s="38"/>
      <c r="K253" s="3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</row>
    <row r="254" spans="1:27" ht="15" hidden="1" x14ac:dyDescent="0.25">
      <c r="A254" s="72" t="s">
        <v>4</v>
      </c>
      <c r="B254" s="72"/>
      <c r="C254" s="72"/>
      <c r="D254" s="72"/>
      <c r="E254" s="72"/>
      <c r="F254" s="72"/>
      <c r="G254" s="73">
        <f>C48</f>
        <v>0</v>
      </c>
      <c r="H254" s="74"/>
      <c r="I254" s="75"/>
      <c r="J254" s="38"/>
      <c r="K254" s="3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</row>
    <row r="255" spans="1:27" ht="15" hidden="1" x14ac:dyDescent="0.25">
      <c r="A255" s="76">
        <v>0</v>
      </c>
      <c r="B255" s="74"/>
      <c r="C255" s="74"/>
      <c r="D255" s="74"/>
      <c r="E255" s="74"/>
      <c r="F255" s="74"/>
      <c r="G255" s="76">
        <v>7500</v>
      </c>
      <c r="H255" s="77">
        <v>1.7100000000000001E-2</v>
      </c>
      <c r="I255" s="77"/>
      <c r="J255" s="76">
        <f>IF(C48&lt;G255,C48*H255,G255*H255)</f>
        <v>0</v>
      </c>
      <c r="K255" s="3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</row>
    <row r="256" spans="1:27" ht="15" hidden="1" x14ac:dyDescent="0.25">
      <c r="A256" s="76">
        <v>7500</v>
      </c>
      <c r="B256" s="74"/>
      <c r="C256" s="74"/>
      <c r="D256" s="74"/>
      <c r="E256" s="74"/>
      <c r="F256" s="74"/>
      <c r="G256" s="76">
        <v>17500</v>
      </c>
      <c r="H256" s="77">
        <v>1.3679999999999999E-2</v>
      </c>
      <c r="I256" s="77"/>
      <c r="J256" s="74" t="str">
        <f>IF(C48&lt;=A256," ",IF(C48&lt;G256,(C48-G255)*H256,(G256-A256)*H256))</f>
        <v xml:space="preserve"> </v>
      </c>
      <c r="K256" s="3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</row>
    <row r="257" spans="1:27" ht="15" hidden="1" x14ac:dyDescent="0.25">
      <c r="A257" s="76">
        <v>17500</v>
      </c>
      <c r="B257" s="74"/>
      <c r="C257" s="74"/>
      <c r="D257" s="74"/>
      <c r="E257" s="74"/>
      <c r="F257" s="74"/>
      <c r="G257" s="76">
        <v>30000</v>
      </c>
      <c r="H257" s="77">
        <v>9.1199999999999996E-3</v>
      </c>
      <c r="I257" s="77"/>
      <c r="J257" s="74" t="str">
        <f>IF(C48&lt;=A257," ",IF(C48&lt;G257,(C48-G256)*H257,(G257-A257)*H257))</f>
        <v xml:space="preserve"> </v>
      </c>
      <c r="K257" s="3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</row>
    <row r="258" spans="1:27" ht="15" hidden="1" x14ac:dyDescent="0.25">
      <c r="A258" s="76">
        <v>30000</v>
      </c>
      <c r="B258" s="74"/>
      <c r="C258" s="74"/>
      <c r="D258" s="74"/>
      <c r="E258" s="74"/>
      <c r="F258" s="74"/>
      <c r="G258" s="76">
        <v>45495</v>
      </c>
      <c r="H258" s="77">
        <v>6.8399999999999997E-3</v>
      </c>
      <c r="I258" s="77"/>
      <c r="J258" s="74" t="str">
        <f>IF(C48&lt;=A258," ",IF(C48&lt;G258,(C48-G257)*H258,(G258-A258)*H258))</f>
        <v xml:space="preserve"> </v>
      </c>
      <c r="K258" s="3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</row>
    <row r="259" spans="1:27" ht="15" hidden="1" x14ac:dyDescent="0.25">
      <c r="A259" s="76">
        <v>45495</v>
      </c>
      <c r="B259" s="74"/>
      <c r="C259" s="74"/>
      <c r="D259" s="74"/>
      <c r="E259" s="74"/>
      <c r="F259" s="74"/>
      <c r="G259" s="76">
        <v>64095</v>
      </c>
      <c r="H259" s="77">
        <v>4.5599999999999998E-3</v>
      </c>
      <c r="I259" s="77"/>
      <c r="J259" s="74" t="str">
        <f>IF(C48&lt;=A259," ",IF(C48&lt;G259,(C48-G258)*H259,(G259-A259)*H259))</f>
        <v xml:space="preserve"> </v>
      </c>
      <c r="K259" s="3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</row>
    <row r="260" spans="1:27" ht="15" hidden="1" x14ac:dyDescent="0.25">
      <c r="A260" s="76">
        <v>64095</v>
      </c>
      <c r="B260" s="74"/>
      <c r="C260" s="74"/>
      <c r="D260" s="74"/>
      <c r="E260" s="74"/>
      <c r="F260" s="74"/>
      <c r="G260" s="76">
        <v>250095</v>
      </c>
      <c r="H260" s="77">
        <v>2.2799999999999999E-3</v>
      </c>
      <c r="I260" s="77"/>
      <c r="J260" s="74" t="str">
        <f>IF(C48&lt;=A260," ",IF(C48&lt;G260,(C48-G259)*H260,(G260-A260)*H260))</f>
        <v xml:space="preserve"> </v>
      </c>
      <c r="K260" s="3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</row>
    <row r="261" spans="1:27" ht="15" hidden="1" x14ac:dyDescent="0.25">
      <c r="A261" s="76">
        <v>250095</v>
      </c>
      <c r="B261" s="74"/>
      <c r="C261" s="74"/>
      <c r="D261" s="74"/>
      <c r="E261" s="74"/>
      <c r="F261" s="74"/>
      <c r="G261" s="76">
        <f>$H$8</f>
        <v>0</v>
      </c>
      <c r="H261" s="78">
        <v>4.5600000000000003E-4</v>
      </c>
      <c r="I261" s="77"/>
      <c r="J261" s="74" t="str">
        <f>IF(C48&lt;=A261," ",IF(C48&lt;G261,(C48-G260)*H261,(G261-A261)*H261))</f>
        <v xml:space="preserve"> </v>
      </c>
      <c r="K261" s="3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</row>
    <row r="262" spans="1:27" ht="15" hidden="1" x14ac:dyDescent="0.25">
      <c r="A262" s="73">
        <v>10075000</v>
      </c>
      <c r="B262" s="73"/>
      <c r="C262" s="73"/>
      <c r="D262" s="73"/>
      <c r="E262" s="73"/>
      <c r="F262" s="73"/>
      <c r="G262" s="73">
        <f>C48</f>
        <v>0</v>
      </c>
      <c r="H262" s="78">
        <v>4.5600000000000003E-4</v>
      </c>
      <c r="I262" s="73" t="str">
        <f>IF(C48&lt;=A262," E90",IF(C48&lt;G262,(C48-G261)*H262,(G262-A262)*H262))</f>
        <v xml:space="preserve"> E90</v>
      </c>
      <c r="J262" s="38"/>
      <c r="K262" s="3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</row>
    <row r="263" spans="1:27" ht="15" hidden="1" x14ac:dyDescent="0.25">
      <c r="A263" s="75"/>
      <c r="B263" s="75"/>
      <c r="C263" s="75"/>
      <c r="D263" s="75"/>
      <c r="E263" s="75"/>
      <c r="F263" s="75"/>
      <c r="G263" s="75"/>
      <c r="H263" s="75"/>
      <c r="I263" s="75"/>
      <c r="J263" s="38"/>
      <c r="K263" s="3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</row>
    <row r="264" spans="1:27" ht="15" hidden="1" x14ac:dyDescent="0.25">
      <c r="A264" s="79" t="s">
        <v>37</v>
      </c>
      <c r="B264" s="79"/>
      <c r="C264" s="79"/>
      <c r="D264" s="79"/>
      <c r="E264" s="79"/>
      <c r="F264" s="79"/>
      <c r="G264" s="75"/>
      <c r="H264" s="75"/>
      <c r="I264" s="80">
        <f>SUM(J255:J262)</f>
        <v>0</v>
      </c>
      <c r="J264" s="38"/>
      <c r="K264" s="3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</row>
    <row r="265" spans="1:27" hidden="1" x14ac:dyDescent="0.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</row>
    <row r="266" spans="1:27" hidden="1" x14ac:dyDescent="0.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</row>
    <row r="267" spans="1:27" hidden="1" x14ac:dyDescent="0.2"/>
    <row r="268" spans="1:27" hidden="1" x14ac:dyDescent="0.2"/>
    <row r="269" spans="1:27" hidden="1" x14ac:dyDescent="0.2"/>
  </sheetData>
  <sheetProtection algorithmName="SHA-512" hashValue="t0Q+Kp5Qk2zcZfNLCOBc4kUEtqcX5XKbieHty5nmkTQSgVuOaQR0SXUq3y1+QiHe8fsG8C+MwD9VU9JyoiSegA==" saltValue="U7geRllPhdio8kk8Hwmm4Q==" spinCount="100000" sheet="1" objects="1" scenarios="1"/>
  <phoneticPr fontId="0" type="noConversion"/>
  <dataValidations count="4">
    <dataValidation type="list" allowBlank="1" showInputMessage="1" showErrorMessage="1" sqref="B9:F9">
      <formula1>$J$154:$J$155</formula1>
    </dataValidation>
    <dataValidation type="list" allowBlank="1" showInputMessage="1" showErrorMessage="1" sqref="B11:F11">
      <formula1>$K$154:$K$155</formula1>
    </dataValidation>
    <dataValidation type="list" allowBlank="1" showInputMessage="1" showErrorMessage="1" sqref="B12:F12">
      <formula1>$L$154:$L$155</formula1>
    </dataValidation>
    <dataValidation type="list" allowBlank="1" showInputMessage="1" showErrorMessage="1" sqref="B13:F13">
      <formula1>$M$154:$M$155</formula1>
    </dataValidation>
  </dataValidations>
  <hyperlinks>
    <hyperlink ref="B97" r:id="rId1"/>
    <hyperlink ref="D97" r:id="rId2"/>
    <hyperlink ref="B99" r:id="rId3"/>
    <hyperlink ref="D99" r:id="rId4"/>
    <hyperlink ref="B101" r:id="rId5"/>
  </hyperlinks>
  <pageMargins left="0.75" right="0.75" top="1" bottom="1" header="0.5" footer="0.5"/>
  <pageSetup paperSize="9" scale="93" orientation="landscape" horizontalDpi="300" verticalDpi="300" r:id="rId6"/>
  <headerFooter alignWithMargins="0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VKVPWHV</vt:lpstr>
      <vt:lpstr>VKVPWHV!_1._Zegels_Minuut_Brevet</vt:lpstr>
      <vt:lpstr>VKVPWHV!_2._Registratie_Minuut_Brevet</vt:lpstr>
      <vt:lpstr>VKVPWHV!_3._Registratie_aanhangsel</vt:lpstr>
      <vt:lpstr>VKVPWHV!Aard</vt:lpstr>
      <vt:lpstr>VKVPWHV!Afdrukbereik</vt:lpstr>
      <vt:lpstr>VKVPWHV!Datum</vt:lpstr>
      <vt:lpstr>VKVPWHV!KOSTENFICHE</vt:lpstr>
      <vt:lpstr>VKVPWHV!Naam</vt:lpstr>
      <vt:lpstr>VKVPWHV!Rep.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2014-11-15T16:14:31Z</dcterms:modified>
</cp:coreProperties>
</file>