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KRO" sheetId="1" r:id="rId1"/>
  </sheets>
  <definedNames>
    <definedName name="_1._Zegels_Minuut_Brevet" localSheetId="0">VKWBTWBREYNEKRO!$A$19:$F$19</definedName>
    <definedName name="_1._Zegels_Minuut_Brevet">#REF!</definedName>
    <definedName name="_10._Tweede_getuigschrift" localSheetId="0">VKWBTWBREYNEKRO!#REF!</definedName>
    <definedName name="_10._Tweede_getuigschrift">#REF!</definedName>
    <definedName name="_11._Kadaster_uittreksel" localSheetId="0">VKWBTWBREYNEKRO!#REF!</definedName>
    <definedName name="_11._Kadaster_uittreksel">#REF!</definedName>
    <definedName name="_12._Getuigen" localSheetId="0">VKWBTWBREYNEKRO!#REF!</definedName>
    <definedName name="_12._Getuigen">#REF!</definedName>
    <definedName name="_13._Allerlei_uitgaven" localSheetId="0">VKWBTWBREYNEKRO!#REF!</definedName>
    <definedName name="_13._Allerlei_uitgaven">#REF!</definedName>
    <definedName name="_14." localSheetId="0">VKWBTWBREYNEKRO!#REF!</definedName>
    <definedName name="_14.">#REF!</definedName>
    <definedName name="_15." localSheetId="0">VKWBTWBREYNEKRO!#REF!</definedName>
    <definedName name="_15.">#REF!</definedName>
    <definedName name="_2._Registratie_Minuut_Brevet" localSheetId="0">VKWBTWBREYNEKRO!$B$22:$G$22</definedName>
    <definedName name="_2._Registratie_Minuut_Brevet">#REF!</definedName>
    <definedName name="_3._Registratie_aanhangsel" localSheetId="0">VKWBTWBREYNEKRO!$E$23:$G$23</definedName>
    <definedName name="_3._Registratie_aanhangsel">#REF!</definedName>
    <definedName name="_4.Zegels_afschrift_grosse" localSheetId="0">VKWBTWBREYNEKRO!#REF!</definedName>
    <definedName name="_4.Zegels_afschrift_grosse">#REF!</definedName>
    <definedName name="_5._Hypotheek__inschr._overschr._doorh." localSheetId="0">VKWBTWBREYNEKRO!#REF!</definedName>
    <definedName name="_5._Hypotheek__inschr._overschr._doorh.">#REF!</definedName>
    <definedName name="_6._Loon_pandbewaarder" localSheetId="0">VKWBTWBREYNEKRO!#REF!</definedName>
    <definedName name="_6._Loon_pandbewaarder">#REF!</definedName>
    <definedName name="_7._Zegels__bord._aanh." localSheetId="0">VKWBTWBREYNEKRO!#REF!</definedName>
    <definedName name="_7._Zegels__bord._aanh.">#REF!</definedName>
    <definedName name="_8._Opzoekingen" localSheetId="0">VKWBTWBREYNEKRO!#REF!</definedName>
    <definedName name="_8._Opzoekingen">#REF!</definedName>
    <definedName name="_9._Hypothecair_getuigschrift" localSheetId="0">VKWBTWBREYNEKRO!#REF!</definedName>
    <definedName name="_9._Hypothecair_getuigschrift">#REF!</definedName>
    <definedName name="Aard" localSheetId="0">VKWBTWBREYNEKRO!$B$4:$F$4</definedName>
    <definedName name="Aard">#REF!</definedName>
    <definedName name="_xlnm.Print_Area" localSheetId="0">VKWBTWBREYNEKRO!$A$1:$E$85</definedName>
    <definedName name="Datum" localSheetId="0">VKWBTWBREYNEKRO!$B$4:$G$39</definedName>
    <definedName name="Datum">#REF!</definedName>
    <definedName name="gemeentelijke_info">#REF!</definedName>
    <definedName name="Kantoor_van_Notaris_J._SIMONART_te_Leuven" localSheetId="0">VKWBTWBREYNEKRO!#REF!</definedName>
    <definedName name="Kantoor_van_Notaris_J._SIMONART_te_Leuven">#REF!</definedName>
    <definedName name="KOSTENFICHE" localSheetId="0">VKWBTWBREYNEKRO!$A$1:$G$39</definedName>
    <definedName name="KOSTENFICHE">#REF!</definedName>
    <definedName name="Last_Row">IF(Values_Entered,Header_Row+Number_of_Payments,Header_Row)</definedName>
    <definedName name="Naam" localSheetId="0">VKWBTWBREYNEKRO!#REF!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VKWBTWBREYNEKRO!$F$4:$F$41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VKWBTWBREYNEKRO!#REF!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VKWBTWBREYNEKRO!$A$3:$G$39</definedName>
  </definedNames>
  <calcPr calcId="152511"/>
</workbook>
</file>

<file path=xl/calcChain.xml><?xml version="1.0" encoding="utf-8"?>
<calcChain xmlns="http://schemas.openxmlformats.org/spreadsheetml/2006/main">
  <c r="B10" i="1" l="1"/>
  <c r="F176" i="1" s="1"/>
  <c r="D21" i="1"/>
  <c r="D23" i="1"/>
  <c r="C56" i="1"/>
  <c r="C64" i="1" s="1"/>
  <c r="C71" i="1"/>
  <c r="C73" i="1"/>
  <c r="E115" i="1"/>
  <c r="E119" i="1" s="1"/>
  <c r="D42" i="1" s="1"/>
  <c r="F115" i="1"/>
  <c r="E116" i="1"/>
  <c r="F116" i="1"/>
  <c r="E117" i="1"/>
  <c r="F117" i="1"/>
  <c r="E118" i="1"/>
  <c r="F118" i="1"/>
  <c r="D43" i="1" s="1"/>
  <c r="E121" i="1"/>
  <c r="E122" i="1"/>
  <c r="E125" i="1" s="1"/>
  <c r="D45" i="1" s="1"/>
  <c r="D50" i="1" s="1"/>
  <c r="F122" i="1"/>
  <c r="F125" i="1" s="1"/>
  <c r="D46" i="1" s="1"/>
  <c r="E123" i="1"/>
  <c r="F123" i="1"/>
  <c r="E124" i="1"/>
  <c r="F124" i="1"/>
  <c r="A132" i="1"/>
  <c r="B68" i="1"/>
  <c r="C136" i="1"/>
  <c r="C137" i="1"/>
  <c r="C138" i="1"/>
  <c r="D138" i="1"/>
  <c r="F138" i="1"/>
  <c r="C139" i="1"/>
  <c r="D139" i="1"/>
  <c r="F139" i="1"/>
  <c r="F140" i="1"/>
  <c r="F141" i="1"/>
  <c r="F145" i="1" s="1"/>
  <c r="D20" i="1" s="1"/>
  <c r="D26" i="1" s="1"/>
  <c r="F142" i="1"/>
  <c r="F143" i="1"/>
  <c r="D215" i="1"/>
  <c r="D216" i="1"/>
  <c r="D217" i="1"/>
  <c r="J229" i="1"/>
  <c r="I238" i="1" s="1"/>
  <c r="E63" i="1" s="1"/>
  <c r="J230" i="1"/>
  <c r="J231" i="1"/>
  <c r="J232" i="1"/>
  <c r="J233" i="1"/>
  <c r="J234" i="1"/>
  <c r="J235" i="1"/>
  <c r="I236" i="1"/>
  <c r="B67" i="1"/>
  <c r="H224" i="1" s="1"/>
  <c r="C69" i="1" s="1"/>
  <c r="F181" i="1" l="1"/>
  <c r="F180" i="1"/>
  <c r="F179" i="1"/>
  <c r="F272" i="1"/>
  <c r="F271" i="1"/>
  <c r="F270" i="1"/>
  <c r="F269" i="1"/>
  <c r="F268" i="1"/>
  <c r="F175" i="1"/>
  <c r="F267" i="1"/>
  <c r="F275" i="1" s="1"/>
  <c r="D19" i="1" s="1"/>
  <c r="D27" i="1" s="1"/>
  <c r="C273" i="1"/>
  <c r="F273" i="1"/>
  <c r="F178" i="1"/>
  <c r="F177" i="1"/>
  <c r="E77" i="1"/>
  <c r="D214" i="1"/>
  <c r="E81" i="1" s="1"/>
  <c r="C77" i="1"/>
  <c r="E78" i="1" s="1"/>
  <c r="F183" i="1" l="1"/>
  <c r="D29" i="1"/>
  <c r="D48" i="1" s="1"/>
  <c r="E79" i="1"/>
  <c r="E83" i="1" s="1"/>
</calcChain>
</file>

<file path=xl/sharedStrings.xml><?xml version="1.0" encoding="utf-8"?>
<sst xmlns="http://schemas.openxmlformats.org/spreadsheetml/2006/main" count="172" uniqueCount="118">
  <si>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</si>
  <si>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</si>
  <si>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</si>
  <si>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</si>
  <si>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</si>
  <si>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</si>
  <si>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</si>
  <si>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</si>
  <si>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</si>
  <si>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</si>
  <si>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</si>
  <si>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</si>
  <si>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</si>
  <si>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</si>
  <si>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</si>
  <si>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</si>
  <si>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</si>
  <si>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</si>
  <si>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</si>
  <si>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</si>
  <si>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</si>
  <si>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</si>
  <si>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</si>
  <si>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</si>
  <si>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</si>
  <si>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</si>
  <si>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</si>
  <si>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</si>
  <si>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</si>
  <si>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</si>
  <si>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</si>
  <si>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</si>
  <si>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</si>
  <si>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</si>
  <si>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</si>
  <si>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</si>
  <si>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</si>
  <si>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</si>
  <si>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</si>
  <si>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</si>
  <si>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</si>
  <si>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</si>
  <si>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</si>
  <si>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</si>
  <si>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</si>
  <si>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</si>
  <si>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</si>
  <si>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</si>
  <si>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</si>
  <si>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</si>
  <si>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</si>
  <si>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</si>
  <si>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</si>
  <si>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</si>
  <si>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</si>
  <si>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</si>
  <si>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</si>
  <si>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</si>
  <si>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</si>
  <si>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</si>
  <si>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</si>
  <si>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</si>
  <si>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</si>
  <si>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</si>
  <si>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</si>
  <si>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</si>
  <si>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</si>
  <si>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</si>
  <si>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</si>
  <si>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</si>
  <si>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</si>
  <si>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</si>
  <si>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</si>
  <si>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</si>
  <si>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</si>
  <si>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</si>
  <si>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</si>
  <si>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</si>
  <si>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</si>
  <si>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</si>
  <si>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</si>
  <si>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</si>
  <si>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</si>
  <si>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</si>
  <si>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KREDIETAKTE KOPER</t>
  </si>
  <si>
    <t>Basis registratie</t>
  </si>
  <si>
    <t>Hoofdsom</t>
  </si>
  <si>
    <t>Aanhor.</t>
  </si>
  <si>
    <t>Basis ereloon</t>
  </si>
  <si>
    <t>Krediet sociaal tarief?</t>
  </si>
  <si>
    <t>Registratie Minuut-Brevet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</si>
  <si>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</si>
  <si>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</si>
  <si>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</si>
  <si>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</si>
  <si>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</si>
  <si>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</si>
  <si>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</si>
  <si>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</si>
  <si>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</si>
  <si>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</si>
  <si>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</si>
  <si>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</si>
  <si>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</si>
  <si>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</si>
  <si>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</si>
  <si>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</si>
  <si>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</si>
  <si>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</si>
  <si>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</si>
  <si>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koper</t>
  </si>
  <si>
    <t>verkoper</t>
  </si>
  <si>
    <t>Kosten ten laste van de verkoper of de koper (maak de keuze)</t>
  </si>
  <si>
    <t>Andere</t>
  </si>
  <si>
    <t>Totaal bijkomende kosten koper</t>
  </si>
  <si>
    <t>Totaal bijkomende kosten verkoper:</t>
  </si>
  <si>
    <t>Algemeen totaal koper:</t>
  </si>
  <si>
    <t>VERKOOP ONROEREND GOED WET BREYNE - WALLONIE + KREDIET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</si>
</sst>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3DE00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7" fontId="8" fillId="0" borderId="1">
      <protection locked="0"/>
    </xf>
    <xf numFmtId="0" fontId="18" fillId="0" borderId="12" applyNumberFormat="0" applyFill="0" applyAlignment="0" applyProtection="0"/>
  </cellStyleXfs>
  <cellXfs count="134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4" xfId="13" applyNumberFormat="1" applyFont="1" applyFill="1" applyBorder="1" applyProtection="1">
      <protection hidden="1"/>
    </xf>
    <xf numFmtId="169" fontId="5" fillId="2" borderId="5" xfId="13" applyNumberFormat="1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68" fontId="6" fillId="2" borderId="5" xfId="13" applyNumberFormat="1" applyFont="1" applyFill="1" applyBorder="1" applyProtection="1">
      <protection hidden="1"/>
    </xf>
    <xf numFmtId="169" fontId="6" fillId="2" borderId="5" xfId="13" applyNumberFormat="1" applyFont="1" applyFill="1" applyBorder="1" applyProtection="1">
      <protection hidden="1"/>
    </xf>
    <xf numFmtId="170" fontId="6" fillId="2" borderId="5" xfId="13" applyNumberFormat="1" applyFont="1" applyFill="1" applyBorder="1" applyProtection="1">
      <protection hidden="1"/>
    </xf>
    <xf numFmtId="170" fontId="6" fillId="2" borderId="6" xfId="13" applyNumberFormat="1" applyFont="1" applyFill="1" applyBorder="1" applyProtection="1">
      <protection hidden="1"/>
    </xf>
    <xf numFmtId="0" fontId="6" fillId="2" borderId="7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8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8" xfId="13" applyFont="1" applyFill="1" applyBorder="1" applyProtection="1">
      <protection hidden="1"/>
    </xf>
    <xf numFmtId="168" fontId="5" fillId="2" borderId="5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168" fontId="6" fillId="2" borderId="5" xfId="0" applyNumberFormat="1" applyFont="1" applyFill="1" applyBorder="1" applyProtection="1">
      <protection hidden="1"/>
    </xf>
    <xf numFmtId="169" fontId="6" fillId="2" borderId="5" xfId="0" applyNumberFormat="1" applyFont="1" applyFill="1" applyBorder="1" applyProtection="1">
      <protection hidden="1"/>
    </xf>
    <xf numFmtId="170" fontId="6" fillId="2" borderId="5" xfId="0" applyNumberFormat="1" applyFont="1" applyFill="1" applyBorder="1" applyProtection="1">
      <protection hidden="1"/>
    </xf>
    <xf numFmtId="170" fontId="6" fillId="2" borderId="6" xfId="0" applyNumberFormat="1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8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8" xfId="0" applyFont="1" applyFill="1" applyBorder="1" applyProtection="1">
      <protection hidden="1"/>
    </xf>
    <xf numFmtId="168" fontId="5" fillId="2" borderId="5" xfId="0" applyNumberFormat="1" applyFont="1" applyFill="1" applyBorder="1" applyProtection="1">
      <protection hidden="1"/>
    </xf>
    <xf numFmtId="168" fontId="5" fillId="2" borderId="0" xfId="0" applyNumberFormat="1" applyFon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6" borderId="0" xfId="13" applyNumberFormat="1" applyFont="1" applyFill="1" applyBorder="1" applyAlignment="1" applyProtection="1">
      <alignment horizontal="right"/>
      <protection hidden="1"/>
    </xf>
    <xf numFmtId="165" fontId="11" fillId="7" borderId="0" xfId="0" applyNumberFormat="1" applyFont="1" applyFill="1" applyBorder="1" applyAlignment="1" applyProtection="1">
      <alignment horizontal="left"/>
      <protection locked="0"/>
    </xf>
    <xf numFmtId="165" fontId="1" fillId="2" borderId="0" xfId="13" applyNumberFormat="1" applyFill="1" applyBorder="1" applyProtection="1">
      <protection hidden="1"/>
    </xf>
    <xf numFmtId="165" fontId="1" fillId="5" borderId="9" xfId="13" applyNumberFormat="1" applyFill="1" applyBorder="1" applyProtection="1">
      <protection hidden="1"/>
    </xf>
    <xf numFmtId="0" fontId="1" fillId="8" borderId="0" xfId="0" applyFont="1" applyFill="1" applyProtection="1">
      <protection hidden="1"/>
    </xf>
    <xf numFmtId="0" fontId="15" fillId="8" borderId="0" xfId="0" applyFont="1" applyFill="1" applyProtection="1">
      <protection hidden="1"/>
    </xf>
    <xf numFmtId="3" fontId="1" fillId="9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179" fontId="2" fillId="5" borderId="9" xfId="0" applyNumberFormat="1" applyFont="1" applyFill="1" applyBorder="1" applyAlignment="1" applyProtection="1">
      <alignment horizontal="right"/>
      <protection hidden="1"/>
    </xf>
    <xf numFmtId="0" fontId="1" fillId="11" borderId="2" xfId="13" applyNumberFormat="1" applyFill="1" applyBorder="1" applyAlignment="1" applyProtection="1">
      <protection hidden="1"/>
    </xf>
    <xf numFmtId="0" fontId="1" fillId="12" borderId="0" xfId="13" applyFill="1" applyBorder="1" applyAlignment="1" applyProtection="1">
      <alignment horizontal="left"/>
      <protection hidden="1"/>
    </xf>
    <xf numFmtId="0" fontId="0" fillId="13" borderId="0" xfId="0" applyFill="1" applyBorder="1" applyAlignment="1" applyProtection="1">
      <alignment horizontal="center"/>
      <protection locked="0" hidden="1"/>
    </xf>
    <xf numFmtId="0" fontId="1" fillId="13" borderId="0" xfId="13" applyFont="1" applyFill="1" applyBorder="1" applyAlignment="1" applyProtection="1">
      <alignment horizontal="center"/>
      <protection locked="0" hidden="1"/>
    </xf>
    <xf numFmtId="166" fontId="1" fillId="14" borderId="10" xfId="13" applyNumberFormat="1" applyFont="1" applyFill="1" applyBorder="1" applyAlignment="1" applyProtection="1">
      <alignment horizontal="left"/>
      <protection hidden="1"/>
    </xf>
    <xf numFmtId="0" fontId="2" fillId="14" borderId="0" xfId="13" applyFont="1" applyFill="1" applyBorder="1" applyAlignment="1" applyProtection="1">
      <alignment horizontal="left"/>
      <protection hidden="1"/>
    </xf>
    <xf numFmtId="0" fontId="1" fillId="14" borderId="0" xfId="13" applyFill="1"/>
    <xf numFmtId="165" fontId="1" fillId="14" borderId="10" xfId="13" applyNumberFormat="1" applyFill="1" applyBorder="1" applyProtection="1">
      <protection hidden="1"/>
    </xf>
    <xf numFmtId="0" fontId="1" fillId="14" borderId="0" xfId="13" applyFont="1" applyFill="1" applyBorder="1" applyAlignment="1" applyProtection="1">
      <alignment horizontal="left"/>
      <protection hidden="1"/>
    </xf>
    <xf numFmtId="0" fontId="1" fillId="14" borderId="0" xfId="13" applyFill="1" applyBorder="1" applyAlignment="1" applyProtection="1">
      <alignment horizontal="left"/>
      <protection hidden="1"/>
    </xf>
    <xf numFmtId="165" fontId="1" fillId="14" borderId="0" xfId="13" applyNumberFormat="1" applyFill="1" applyBorder="1" applyAlignment="1" applyProtection="1">
      <alignment horizontal="left"/>
      <protection hidden="1"/>
    </xf>
    <xf numFmtId="165" fontId="1" fillId="14" borderId="0" xfId="13" applyNumberFormat="1" applyFill="1" applyBorder="1" applyAlignment="1" applyProtection="1">
      <protection hidden="1"/>
    </xf>
    <xf numFmtId="165" fontId="1" fillId="13" borderId="0" xfId="13" applyNumberFormat="1" applyFill="1" applyBorder="1" applyAlignment="1" applyProtection="1">
      <alignment horizontal="left"/>
      <protection locked="0" hidden="1"/>
    </xf>
    <xf numFmtId="0" fontId="1" fillId="13" borderId="0" xfId="13" applyFill="1" applyBorder="1" applyAlignment="1" applyProtection="1">
      <alignment horizontal="center"/>
      <protection locked="0" hidden="1"/>
    </xf>
    <xf numFmtId="165" fontId="1" fillId="13" borderId="0" xfId="13" applyNumberFormat="1" applyFill="1" applyBorder="1" applyAlignment="1" applyProtection="1">
      <alignment horizontal="left"/>
      <protection locked="0"/>
    </xf>
    <xf numFmtId="0" fontId="1" fillId="14" borderId="10" xfId="13" applyFont="1" applyFill="1" applyBorder="1" applyAlignment="1" applyProtection="1">
      <alignment horizontal="left"/>
      <protection hidden="1"/>
    </xf>
    <xf numFmtId="165" fontId="1" fillId="14" borderId="10" xfId="13" applyNumberFormat="1" applyFill="1" applyBorder="1" applyAlignment="1" applyProtection="1">
      <alignment horizontal="left"/>
      <protection hidden="1"/>
    </xf>
    <xf numFmtId="0" fontId="1" fillId="14" borderId="10" xfId="13" applyFont="1" applyFill="1" applyBorder="1" applyProtection="1">
      <protection hidden="1"/>
    </xf>
    <xf numFmtId="0" fontId="1" fillId="14" borderId="11" xfId="13" applyFont="1" applyFill="1" applyBorder="1" applyAlignment="1" applyProtection="1">
      <alignment horizontal="left"/>
      <protection hidden="1"/>
    </xf>
    <xf numFmtId="0" fontId="2" fillId="15" borderId="9" xfId="0" applyFont="1" applyFill="1" applyBorder="1" applyAlignment="1" applyProtection="1">
      <alignment horizontal="left"/>
      <protection hidden="1"/>
    </xf>
    <xf numFmtId="0" fontId="2" fillId="14" borderId="11" xfId="0" applyFont="1" applyFill="1" applyBorder="1" applyAlignment="1" applyProtection="1">
      <alignment horizontal="left"/>
      <protection hidden="1"/>
    </xf>
    <xf numFmtId="0" fontId="2" fillId="14" borderId="9" xfId="0" applyFont="1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center"/>
      <protection locked="0"/>
    </xf>
    <xf numFmtId="0" fontId="0" fillId="16" borderId="0" xfId="0" applyFill="1" applyBorder="1" applyAlignment="1" applyProtection="1">
      <alignment horizontal="center"/>
      <protection locked="0"/>
    </xf>
    <xf numFmtId="0" fontId="1" fillId="14" borderId="10" xfId="0" applyFont="1" applyFill="1" applyBorder="1" applyAlignment="1" applyProtection="1">
      <alignment horizontal="left"/>
      <protection hidden="1"/>
    </xf>
    <xf numFmtId="0" fontId="0" fillId="14" borderId="0" xfId="0" applyFill="1" applyBorder="1" applyAlignment="1" applyProtection="1">
      <alignment horizontal="left"/>
      <protection hidden="1"/>
    </xf>
    <xf numFmtId="164" fontId="1" fillId="14" borderId="0" xfId="0" applyNumberFormat="1" applyFont="1" applyFill="1" applyAlignment="1" applyProtection="1">
      <alignment horizontal="right"/>
      <protection hidden="1"/>
    </xf>
    <xf numFmtId="0" fontId="1" fillId="14" borderId="0" xfId="0" applyFont="1" applyFill="1" applyBorder="1" applyAlignment="1" applyProtection="1">
      <alignment horizontal="left"/>
      <protection hidden="1"/>
    </xf>
    <xf numFmtId="0" fontId="1" fillId="14" borderId="10" xfId="0" applyFont="1" applyFill="1" applyBorder="1" applyProtection="1">
      <protection hidden="1"/>
    </xf>
    <xf numFmtId="179" fontId="2" fillId="15" borderId="9" xfId="0" applyNumberFormat="1" applyFont="1" applyFill="1" applyBorder="1" applyAlignment="1" applyProtection="1">
      <alignment horizontal="right"/>
      <protection hidden="1"/>
    </xf>
    <xf numFmtId="0" fontId="17" fillId="11" borderId="0" xfId="13" applyFont="1" applyFill="1" applyBorder="1" applyAlignment="1" applyProtection="1">
      <alignment horizontal="left"/>
      <protection hidden="1"/>
    </xf>
    <xf numFmtId="165" fontId="1" fillId="17" borderId="0" xfId="13" applyNumberFormat="1" applyFill="1" applyBorder="1" applyAlignment="1" applyProtection="1">
      <alignment horizontal="left"/>
      <protection hidden="1"/>
    </xf>
    <xf numFmtId="0" fontId="2" fillId="13" borderId="0" xfId="13" applyNumberFormat="1" applyFont="1" applyFill="1" applyBorder="1" applyAlignment="1" applyProtection="1">
      <alignment horizontal="left"/>
      <protection locked="0"/>
    </xf>
    <xf numFmtId="0" fontId="1" fillId="7" borderId="0" xfId="13" applyFont="1" applyFill="1" applyBorder="1" applyAlignment="1" applyProtection="1">
      <alignment horizontal="left"/>
      <protection locked="0"/>
    </xf>
    <xf numFmtId="165" fontId="1" fillId="12" borderId="0" xfId="13" applyNumberFormat="1" applyFont="1" applyFill="1" applyBorder="1" applyAlignment="1" applyProtection="1">
      <alignment horizontal="right"/>
      <protection locked="0"/>
    </xf>
    <xf numFmtId="165" fontId="1" fillId="18" borderId="0" xfId="13" applyNumberFormat="1" applyFont="1" applyFill="1" applyBorder="1" applyAlignment="1" applyProtection="1">
      <alignment horizontal="right"/>
      <protection locked="0"/>
    </xf>
    <xf numFmtId="165" fontId="1" fillId="19" borderId="0" xfId="13" applyNumberFormat="1" applyFill="1" applyBorder="1" applyAlignment="1" applyProtection="1">
      <protection locked="0"/>
    </xf>
    <xf numFmtId="165" fontId="1" fillId="13" borderId="0" xfId="13" applyNumberFormat="1" applyFill="1" applyBorder="1" applyAlignment="1" applyProtection="1">
      <protection locked="0"/>
    </xf>
    <xf numFmtId="164" fontId="1" fillId="20" borderId="0" xfId="0" applyNumberFormat="1" applyFont="1" applyFill="1" applyAlignment="1" applyProtection="1">
      <alignment horizontal="right"/>
      <protection locked="0"/>
    </xf>
    <xf numFmtId="164" fontId="1" fillId="10" borderId="0" xfId="0" applyNumberFormat="1" applyFont="1" applyFill="1" applyAlignment="1" applyProtection="1">
      <alignment horizontal="right"/>
      <protection locked="0"/>
    </xf>
    <xf numFmtId="165" fontId="1" fillId="21" borderId="0" xfId="13" applyNumberFormat="1" applyFill="1" applyBorder="1" applyAlignment="1" applyProtection="1">
      <alignment horizontal="left"/>
      <protection locked="0"/>
    </xf>
    <xf numFmtId="0" fontId="1" fillId="13" borderId="0" xfId="13" applyFill="1" applyBorder="1" applyAlignment="1" applyProtection="1">
      <alignment horizontal="center"/>
      <protection locked="0"/>
    </xf>
    <xf numFmtId="165" fontId="1" fillId="22" borderId="9" xfId="13" applyNumberFormat="1" applyFill="1" applyBorder="1" applyAlignment="1" applyProtection="1"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KROAK.xlsx" TargetMode="External"/><Relationship Id="rId2" Type="http://schemas.openxmlformats.org/officeDocument/2006/relationships/hyperlink" Target="VKWBTWBREYNEKROAV.xlsx" TargetMode="External"/><Relationship Id="rId1" Type="http://schemas.openxmlformats.org/officeDocument/2006/relationships/hyperlink" Target="VKWBTWBREYNEKRO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1"/>
  <sheetViews>
    <sheetView tabSelected="1" zoomScaleNormal="100" workbookViewId="0">
      <selection activeCell="B3" sqref="B3"/>
    </sheetView>
  </sheetViews>
  <sheetFormatPr defaultRowHeight="12.75"/>
  <cols>
    <col min="1" max="1" width="39.140625" style="2" customWidth="1"/>
    <col min="2" max="2" width="19.5703125" style="2" customWidth="1"/>
    <col min="3" max="3" width="20.28515625" style="2" customWidth="1"/>
    <col min="4" max="4" width="17.4257812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47" t="s">
        <v>117</v>
      </c>
      <c r="B1" s="48"/>
      <c r="C1" s="48"/>
      <c r="D1" s="48"/>
      <c r="E1" s="90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122"/>
      <c r="C3" s="3"/>
      <c r="D3" s="3"/>
      <c r="E3" s="4"/>
      <c r="F3" s="4"/>
      <c r="G3" s="5"/>
    </row>
    <row r="4" spans="1:7">
      <c r="A4" s="3" t="s">
        <v>1</v>
      </c>
      <c r="B4" s="123"/>
      <c r="C4" s="91"/>
      <c r="E4" s="7"/>
      <c r="F4" s="4"/>
    </row>
    <row r="5" spans="1:7">
      <c r="A5" s="3" t="s">
        <v>31</v>
      </c>
      <c r="B5" s="124">
        <v>0</v>
      </c>
      <c r="C5" s="6"/>
      <c r="E5" s="7"/>
      <c r="F5" s="4"/>
    </row>
    <row r="6" spans="1:7">
      <c r="A6" s="3" t="s">
        <v>32</v>
      </c>
      <c r="B6" s="125">
        <v>0</v>
      </c>
      <c r="C6" s="6"/>
      <c r="E6" s="7"/>
      <c r="F6" s="4"/>
    </row>
    <row r="7" spans="1:7">
      <c r="A7" s="3" t="s">
        <v>33</v>
      </c>
      <c r="B7" s="49" t="s">
        <v>29</v>
      </c>
      <c r="C7" s="6"/>
      <c r="E7" s="7"/>
      <c r="F7" s="4"/>
    </row>
    <row r="8" spans="1:7">
      <c r="A8" s="4" t="s">
        <v>34</v>
      </c>
      <c r="B8" s="126">
        <v>0</v>
      </c>
      <c r="C8" s="6"/>
      <c r="D8" s="4"/>
      <c r="E8" s="8"/>
      <c r="F8" s="4"/>
    </row>
    <row r="9" spans="1:7">
      <c r="A9" s="4" t="s">
        <v>3</v>
      </c>
      <c r="B9" s="127">
        <v>0</v>
      </c>
      <c r="C9" s="6"/>
      <c r="D9" s="4"/>
      <c r="E9" s="8"/>
      <c r="F9" s="4"/>
    </row>
    <row r="10" spans="1:7">
      <c r="A10" s="10" t="s">
        <v>35</v>
      </c>
      <c r="B10" s="77">
        <f>IF(B8&lt;B6,B6/2+B5+B9,B6+B5+B9)</f>
        <v>0</v>
      </c>
      <c r="C10" s="9"/>
      <c r="D10" s="4"/>
      <c r="E10" s="8"/>
      <c r="F10" s="4"/>
    </row>
    <row r="11" spans="1:7">
      <c r="A11" s="9" t="s">
        <v>4</v>
      </c>
      <c r="B11" s="126">
        <v>0</v>
      </c>
      <c r="C11" s="6"/>
      <c r="D11" s="4"/>
      <c r="E11" s="8"/>
      <c r="F11" s="4"/>
    </row>
    <row r="12" spans="1:7" ht="15">
      <c r="A12" s="14" t="s">
        <v>38</v>
      </c>
      <c r="B12" s="92" t="s">
        <v>30</v>
      </c>
      <c r="D12" s="4"/>
      <c r="E12" s="8"/>
      <c r="F12" s="4"/>
    </row>
    <row r="13" spans="1:7" ht="15">
      <c r="A13" s="14" t="s">
        <v>72</v>
      </c>
      <c r="B13" s="92" t="s">
        <v>39</v>
      </c>
      <c r="E13" s="7"/>
      <c r="F13" s="4"/>
    </row>
    <row r="14" spans="1:7" ht="15">
      <c r="A14" s="14" t="s">
        <v>73</v>
      </c>
      <c r="B14" s="92" t="s">
        <v>30</v>
      </c>
      <c r="D14" s="6"/>
      <c r="E14" s="10"/>
      <c r="F14" s="4"/>
      <c r="G14" s="8"/>
    </row>
    <row r="15" spans="1:7">
      <c r="A15" s="9" t="s">
        <v>74</v>
      </c>
      <c r="B15" s="93" t="s">
        <v>30</v>
      </c>
      <c r="E15" s="7"/>
      <c r="F15" s="4"/>
      <c r="G15" s="4"/>
    </row>
    <row r="16" spans="1:7" ht="13.5" thickBot="1">
      <c r="A16" s="11" t="s">
        <v>5</v>
      </c>
      <c r="B16" s="3"/>
      <c r="C16" s="3"/>
      <c r="D16" s="3"/>
      <c r="E16" s="4"/>
      <c r="F16" s="4"/>
      <c r="G16" s="4"/>
    </row>
    <row r="17" spans="1:7" ht="14.25" thickTop="1" thickBot="1">
      <c r="A17" s="50" t="s">
        <v>6</v>
      </c>
      <c r="B17" s="12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94" t="s">
        <v>7</v>
      </c>
      <c r="B19" s="95"/>
      <c r="C19" s="95"/>
      <c r="D19" s="97">
        <f>IF(AND(B12="ja",B15="ja"),F275-250,F275)</f>
        <v>0</v>
      </c>
      <c r="F19" s="7"/>
    </row>
    <row r="20" spans="1:7" ht="13.5" thickTop="1">
      <c r="A20" s="98" t="s">
        <v>8</v>
      </c>
      <c r="B20" s="99"/>
      <c r="C20" s="99"/>
      <c r="D20" s="100">
        <f>IF(B7="ja",0,F145)</f>
        <v>0</v>
      </c>
      <c r="E20" s="101"/>
      <c r="F20" s="10"/>
      <c r="G20" s="8"/>
    </row>
    <row r="21" spans="1:7">
      <c r="A21" s="9" t="s">
        <v>13</v>
      </c>
      <c r="B21" s="9"/>
      <c r="C21" s="6"/>
      <c r="D21" s="75">
        <f>IF(B7="ja",(B5+B8)*21%,B8*21%)</f>
        <v>0</v>
      </c>
      <c r="E21" s="76"/>
      <c r="F21" s="10"/>
      <c r="G21" s="8"/>
    </row>
    <row r="22" spans="1:7">
      <c r="A22" s="6" t="s">
        <v>9</v>
      </c>
      <c r="B22" s="6"/>
      <c r="C22" s="6"/>
      <c r="D22" s="102">
        <v>0</v>
      </c>
      <c r="E22" s="76"/>
      <c r="F22" s="4"/>
      <c r="G22" s="4"/>
    </row>
    <row r="23" spans="1:7">
      <c r="A23" s="9" t="s">
        <v>10</v>
      </c>
      <c r="B23" s="103">
        <v>0</v>
      </c>
      <c r="C23" s="6"/>
      <c r="D23" s="75">
        <f>B23*30</f>
        <v>0</v>
      </c>
      <c r="E23" s="76"/>
      <c r="F23" s="4"/>
      <c r="G23" s="4"/>
    </row>
    <row r="24" spans="1:7">
      <c r="A24" s="9" t="s">
        <v>11</v>
      </c>
      <c r="B24" s="6"/>
      <c r="C24" s="6"/>
      <c r="D24" s="104">
        <v>770</v>
      </c>
      <c r="E24" s="76"/>
      <c r="F24" s="4"/>
      <c r="G24" s="4"/>
    </row>
    <row r="25" spans="1:7" ht="15.75" thickBot="1">
      <c r="A25" s="14" t="s">
        <v>36</v>
      </c>
      <c r="B25" s="15"/>
      <c r="C25" s="15"/>
      <c r="D25" s="78">
        <v>0</v>
      </c>
      <c r="E25" s="76"/>
      <c r="F25" s="4"/>
      <c r="G25" s="4"/>
    </row>
    <row r="26" spans="1:7" ht="14.25" thickTop="1" thickBot="1">
      <c r="A26" s="105" t="s">
        <v>12</v>
      </c>
      <c r="B26" s="99"/>
      <c r="C26" s="96"/>
      <c r="D26" s="106">
        <f>SUM(D20:D25)</f>
        <v>770</v>
      </c>
      <c r="F26" s="4"/>
      <c r="G26" s="4"/>
    </row>
    <row r="27" spans="1:7" ht="14.25" thickTop="1" thickBot="1">
      <c r="A27" s="96"/>
      <c r="B27" s="99"/>
      <c r="C27" s="107" t="s">
        <v>13</v>
      </c>
      <c r="D27" s="97">
        <f>(D19+D24)*21%</f>
        <v>161.69999999999999</v>
      </c>
      <c r="F27" s="4"/>
      <c r="G27" s="4"/>
    </row>
    <row r="28" spans="1:7" ht="14.25" thickTop="1" thickBot="1">
      <c r="A28" s="16"/>
      <c r="B28" s="6"/>
      <c r="C28" s="17"/>
      <c r="D28" s="79"/>
      <c r="F28" s="4"/>
      <c r="G28" s="4"/>
    </row>
    <row r="29" spans="1:7" ht="14.25" thickTop="1" thickBot="1">
      <c r="A29" s="108" t="s">
        <v>14</v>
      </c>
      <c r="B29" s="19"/>
      <c r="C29" s="20"/>
      <c r="D29" s="80">
        <f>SUM(D19:D27)-D26</f>
        <v>931.7</v>
      </c>
      <c r="F29" s="4"/>
      <c r="G29" s="4"/>
    </row>
    <row r="30" spans="1:7" ht="14.25" thickTop="1" thickBot="1">
      <c r="A30" s="9"/>
      <c r="B30" s="6"/>
      <c r="C30" s="6"/>
      <c r="D30" s="20"/>
      <c r="E30" s="21"/>
      <c r="F30" s="4"/>
      <c r="G30" s="4"/>
    </row>
    <row r="31" spans="1:7" ht="16.5" thickTop="1" thickBot="1">
      <c r="A31" s="109" t="s">
        <v>15</v>
      </c>
      <c r="B31" s="84"/>
      <c r="C31" s="15"/>
      <c r="D31" s="85"/>
      <c r="E31" s="86"/>
      <c r="F31" s="4"/>
      <c r="G31" s="4"/>
    </row>
    <row r="32" spans="1:7" ht="15.75" thickTop="1">
      <c r="A32" s="14"/>
      <c r="B32" s="15"/>
      <c r="C32" s="15"/>
      <c r="D32" s="85"/>
      <c r="E32" s="86"/>
      <c r="F32" s="4"/>
      <c r="G32" s="4"/>
    </row>
    <row r="33" spans="1:7" ht="15">
      <c r="A33" s="14" t="s">
        <v>17</v>
      </c>
      <c r="B33" s="15"/>
      <c r="C33" s="15"/>
      <c r="D33" s="128">
        <v>0</v>
      </c>
      <c r="E33" s="86"/>
      <c r="F33" s="4"/>
      <c r="G33" s="4"/>
    </row>
    <row r="34" spans="1:7" ht="15.75" thickBot="1">
      <c r="A34" s="14"/>
      <c r="B34" s="15"/>
      <c r="C34" s="15"/>
      <c r="D34" s="87"/>
      <c r="E34" s="86"/>
      <c r="F34" s="4"/>
      <c r="G34" s="4"/>
    </row>
    <row r="35" spans="1:7" ht="16.5" thickTop="1" thickBot="1">
      <c r="A35" s="110" t="s">
        <v>112</v>
      </c>
      <c r="B35" s="111"/>
      <c r="C35" s="84"/>
      <c r="D35" s="84"/>
      <c r="E35" s="88"/>
      <c r="F35" s="4"/>
      <c r="G35" s="4"/>
    </row>
    <row r="36" spans="1:7" ht="15.75" thickTop="1">
      <c r="A36" s="14"/>
      <c r="B36" s="15"/>
      <c r="C36" s="15"/>
      <c r="D36" s="87"/>
      <c r="E36" s="88"/>
      <c r="F36" s="4"/>
      <c r="G36" s="4"/>
    </row>
    <row r="37" spans="1:7" ht="15">
      <c r="A37" s="14" t="s">
        <v>16</v>
      </c>
      <c r="B37" s="15"/>
      <c r="C37" s="113" t="s">
        <v>111</v>
      </c>
      <c r="D37" s="129">
        <v>0</v>
      </c>
      <c r="E37" s="88"/>
      <c r="F37" s="4"/>
      <c r="G37" s="4"/>
    </row>
    <row r="38" spans="1:7" ht="15">
      <c r="A38" s="14" t="s">
        <v>18</v>
      </c>
      <c r="B38" s="15"/>
      <c r="C38" s="113" t="s">
        <v>111</v>
      </c>
      <c r="D38" s="129">
        <v>0</v>
      </c>
      <c r="E38" s="88"/>
      <c r="F38" s="4"/>
      <c r="G38" s="8"/>
    </row>
    <row r="39" spans="1:7" ht="15">
      <c r="A39" s="14" t="s">
        <v>75</v>
      </c>
      <c r="B39" s="15"/>
      <c r="C39" s="113" t="s">
        <v>111</v>
      </c>
      <c r="D39" s="129">
        <v>0</v>
      </c>
      <c r="E39" s="88"/>
      <c r="F39" s="4"/>
      <c r="G39" s="8"/>
    </row>
    <row r="40" spans="1:7" ht="15">
      <c r="A40" s="14" t="s">
        <v>113</v>
      </c>
      <c r="B40" s="15"/>
      <c r="C40" s="113" t="s">
        <v>111</v>
      </c>
      <c r="D40" s="129">
        <v>0</v>
      </c>
      <c r="E40" s="88"/>
      <c r="F40" s="4"/>
      <c r="G40" s="8"/>
    </row>
    <row r="41" spans="1:7" ht="15.75" thickBot="1">
      <c r="A41" s="14"/>
      <c r="B41" s="15"/>
      <c r="C41" s="15"/>
      <c r="D41" s="87"/>
      <c r="E41" s="88"/>
      <c r="F41" s="4"/>
      <c r="G41" s="8"/>
    </row>
    <row r="42" spans="1:7" ht="16.5" thickTop="1" thickBot="1">
      <c r="A42" s="114" t="s">
        <v>114</v>
      </c>
      <c r="B42" s="115"/>
      <c r="C42" s="115"/>
      <c r="D42" s="116">
        <f>E119</f>
        <v>0</v>
      </c>
      <c r="E42" s="88"/>
      <c r="F42" s="4"/>
      <c r="G42" s="8"/>
    </row>
    <row r="43" spans="1:7" ht="16.5" thickTop="1" thickBot="1">
      <c r="A43" s="117"/>
      <c r="B43" s="115"/>
      <c r="C43" s="118" t="s">
        <v>13</v>
      </c>
      <c r="D43" s="116">
        <f>F118</f>
        <v>0</v>
      </c>
      <c r="E43" s="88"/>
      <c r="F43" s="4"/>
      <c r="G43" s="8"/>
    </row>
    <row r="44" spans="1:7" ht="16.5" thickTop="1" thickBot="1">
      <c r="A44" s="117"/>
      <c r="B44" s="115"/>
      <c r="C44" s="115"/>
      <c r="D44" s="116"/>
      <c r="E44" s="88"/>
      <c r="F44" s="4"/>
      <c r="G44" s="8"/>
    </row>
    <row r="45" spans="1:7" ht="16.5" thickTop="1" thickBot="1">
      <c r="A45" s="114" t="s">
        <v>115</v>
      </c>
      <c r="B45" s="115"/>
      <c r="C45" s="115"/>
      <c r="D45" s="116">
        <f>E125</f>
        <v>0</v>
      </c>
      <c r="E45" s="88"/>
      <c r="F45" s="4"/>
      <c r="G45" s="8"/>
    </row>
    <row r="46" spans="1:7" ht="16.5" thickTop="1" thickBot="1">
      <c r="A46" s="117"/>
      <c r="B46" s="115"/>
      <c r="C46" s="118" t="s">
        <v>13</v>
      </c>
      <c r="D46" s="116">
        <f>F125</f>
        <v>0</v>
      </c>
      <c r="E46" s="88"/>
      <c r="F46" s="4"/>
      <c r="G46" s="8"/>
    </row>
    <row r="47" spans="1:7" ht="16.5" thickTop="1" thickBot="1">
      <c r="A47" s="14"/>
      <c r="B47" s="15"/>
      <c r="C47" s="15"/>
      <c r="D47" s="87"/>
      <c r="E47" s="88"/>
      <c r="F47" s="4"/>
      <c r="G47" s="8"/>
    </row>
    <row r="48" spans="1:7" ht="16.5" thickTop="1" thickBot="1">
      <c r="A48" s="111" t="s">
        <v>116</v>
      </c>
      <c r="B48" s="15"/>
      <c r="C48" s="15"/>
      <c r="D48" s="89">
        <f>D29+D42+D43</f>
        <v>931.7</v>
      </c>
      <c r="F48" s="4"/>
      <c r="G48" s="8"/>
    </row>
    <row r="49" spans="1:7" ht="16.5" thickTop="1" thickBot="1">
      <c r="A49" s="115"/>
      <c r="B49" s="15"/>
      <c r="C49" s="15"/>
      <c r="D49" s="88"/>
      <c r="F49" s="4"/>
      <c r="G49" s="8"/>
    </row>
    <row r="50" spans="1:7" ht="16.5" thickTop="1" thickBot="1">
      <c r="A50" s="111" t="s">
        <v>19</v>
      </c>
      <c r="B50" s="15"/>
      <c r="C50" s="15"/>
      <c r="D50" s="119">
        <f>D33+D45+D46</f>
        <v>0</v>
      </c>
      <c r="F50" s="4"/>
      <c r="G50" s="8"/>
    </row>
    <row r="51" spans="1:7" ht="13.5" thickTop="1">
      <c r="A51" s="9"/>
      <c r="B51" s="6"/>
      <c r="C51" s="6"/>
      <c r="D51" s="6"/>
      <c r="E51" s="8"/>
      <c r="F51" s="4"/>
      <c r="G51" s="8"/>
    </row>
    <row r="52" spans="1:7" ht="20.25">
      <c r="A52" s="120" t="s">
        <v>84</v>
      </c>
      <c r="B52" s="6"/>
      <c r="C52" s="6"/>
      <c r="D52" s="6"/>
      <c r="E52" s="8"/>
      <c r="F52" s="4"/>
      <c r="G52" s="8"/>
    </row>
    <row r="53" spans="1:7">
      <c r="A53" s="9"/>
      <c r="B53" s="6"/>
      <c r="C53" s="6"/>
      <c r="D53" s="6"/>
      <c r="E53" s="8"/>
      <c r="F53" s="4"/>
      <c r="G53" s="8"/>
    </row>
    <row r="54" spans="1:7">
      <c r="A54" s="9" t="s">
        <v>85</v>
      </c>
      <c r="B54" s="6" t="s">
        <v>86</v>
      </c>
      <c r="C54" s="104">
        <v>0</v>
      </c>
      <c r="D54" s="6"/>
      <c r="E54" s="8"/>
      <c r="F54" s="4"/>
      <c r="G54" s="8"/>
    </row>
    <row r="55" spans="1:7">
      <c r="A55" s="9"/>
      <c r="B55" s="6" t="s">
        <v>87</v>
      </c>
      <c r="C55" s="104">
        <v>0</v>
      </c>
      <c r="D55" s="6"/>
      <c r="E55" s="8"/>
      <c r="F55" s="4"/>
      <c r="G55" s="8"/>
    </row>
    <row r="56" spans="1:7">
      <c r="A56" s="9"/>
      <c r="B56" s="6" t="s">
        <v>83</v>
      </c>
      <c r="C56" s="121">
        <f>SUM(C54:C55)</f>
        <v>0</v>
      </c>
      <c r="D56" s="6"/>
      <c r="E56" s="8"/>
      <c r="F56" s="4"/>
      <c r="G56" s="8"/>
    </row>
    <row r="57" spans="1:7">
      <c r="A57" s="9"/>
      <c r="B57" s="6"/>
      <c r="C57" s="6"/>
      <c r="D57" s="6"/>
      <c r="E57" s="8"/>
      <c r="F57" s="4"/>
      <c r="G57" s="8"/>
    </row>
    <row r="58" spans="1:7">
      <c r="A58" s="9" t="s">
        <v>88</v>
      </c>
      <c r="B58" s="6"/>
      <c r="C58" s="130">
        <v>0</v>
      </c>
      <c r="D58" s="6"/>
      <c r="E58" s="8"/>
      <c r="F58" s="4"/>
      <c r="G58" s="8"/>
    </row>
    <row r="59" spans="1:7">
      <c r="A59" s="9"/>
      <c r="B59" s="6"/>
      <c r="C59" s="6"/>
      <c r="D59" s="6"/>
      <c r="E59" s="8"/>
      <c r="F59" s="4"/>
      <c r="G59" s="8"/>
    </row>
    <row r="60" spans="1:7">
      <c r="A60" s="9" t="s">
        <v>89</v>
      </c>
      <c r="B60" s="6"/>
      <c r="C60" s="131" t="s">
        <v>30</v>
      </c>
      <c r="D60" s="6"/>
      <c r="E60" s="8"/>
      <c r="F60" s="4"/>
      <c r="G60" s="8"/>
    </row>
    <row r="61" spans="1:7" ht="15">
      <c r="A61" s="14" t="s">
        <v>109</v>
      </c>
      <c r="B61" s="52"/>
      <c r="C61" s="112">
        <v>1</v>
      </c>
      <c r="D61" s="6"/>
      <c r="E61" s="8"/>
      <c r="F61" s="4"/>
      <c r="G61" s="8"/>
    </row>
    <row r="62" spans="1:7">
      <c r="A62" s="9" t="s">
        <v>5</v>
      </c>
      <c r="B62" s="6"/>
      <c r="C62" s="6"/>
      <c r="D62" s="6"/>
      <c r="E62" s="8"/>
      <c r="F62" s="4"/>
      <c r="G62" s="8"/>
    </row>
    <row r="63" spans="1:7">
      <c r="A63" s="9"/>
      <c r="B63" s="6"/>
      <c r="C63" s="6"/>
      <c r="D63" s="133" t="s">
        <v>7</v>
      </c>
      <c r="E63" s="76">
        <f>IF(C60= "ja",I238/2+4.239,I238)</f>
        <v>0</v>
      </c>
    </row>
    <row r="64" spans="1:7">
      <c r="A64" s="9" t="s">
        <v>90</v>
      </c>
      <c r="B64" s="6"/>
      <c r="C64" s="75">
        <f>C56/100</f>
        <v>0</v>
      </c>
      <c r="D64" s="133"/>
      <c r="E64" s="76"/>
    </row>
    <row r="65" spans="1:5">
      <c r="A65" s="9" t="s">
        <v>91</v>
      </c>
      <c r="B65" s="6"/>
      <c r="C65" s="104">
        <v>0</v>
      </c>
      <c r="D65" s="133"/>
      <c r="E65" s="76"/>
    </row>
    <row r="66" spans="1:5">
      <c r="A66" s="9"/>
      <c r="B66" s="6"/>
      <c r="C66" s="75"/>
      <c r="D66" s="133"/>
      <c r="E66" s="76"/>
    </row>
    <row r="67" spans="1:5">
      <c r="A67" s="9" t="s">
        <v>92</v>
      </c>
      <c r="B67" s="75">
        <f>C56*0.3%</f>
        <v>0</v>
      </c>
      <c r="C67" s="75"/>
      <c r="D67" s="133"/>
      <c r="E67" s="76"/>
    </row>
    <row r="68" spans="1:5">
      <c r="A68" s="9" t="s">
        <v>93</v>
      </c>
      <c r="B68" s="75">
        <f>A132*C61</f>
        <v>87.31</v>
      </c>
      <c r="C68" s="75"/>
      <c r="D68" s="133"/>
      <c r="E68" s="76"/>
    </row>
    <row r="69" spans="1:5">
      <c r="A69" s="9" t="s">
        <v>94</v>
      </c>
      <c r="B69" s="6"/>
      <c r="C69" s="75">
        <f>IF((H224-B67-B68)&lt;22,H224+50,H224)</f>
        <v>150</v>
      </c>
      <c r="D69" s="133"/>
      <c r="E69" s="76"/>
    </row>
    <row r="70" spans="1:5">
      <c r="A70" s="9"/>
      <c r="B70" s="6"/>
      <c r="C70" s="75"/>
      <c r="D70" s="133"/>
      <c r="E70" s="76"/>
    </row>
    <row r="71" spans="1:5">
      <c r="A71" s="9" t="s">
        <v>95</v>
      </c>
      <c r="B71" s="6"/>
      <c r="C71" s="75">
        <f>50</f>
        <v>50</v>
      </c>
      <c r="D71" s="133"/>
      <c r="E71" s="76"/>
    </row>
    <row r="72" spans="1:5">
      <c r="A72" s="9"/>
      <c r="B72" s="6"/>
      <c r="C72" s="75"/>
      <c r="D72" s="133"/>
      <c r="E72" s="76"/>
    </row>
    <row r="73" spans="1:5">
      <c r="A73" s="9" t="s">
        <v>96</v>
      </c>
      <c r="B73" s="6"/>
      <c r="C73" s="104">
        <f>660</f>
        <v>660</v>
      </c>
      <c r="D73" s="133"/>
      <c r="E73" s="76"/>
    </row>
    <row r="74" spans="1:5">
      <c r="A74" s="9"/>
      <c r="B74" s="6"/>
      <c r="C74" s="75"/>
      <c r="D74" s="133"/>
      <c r="E74" s="76"/>
    </row>
    <row r="75" spans="1:5">
      <c r="A75" s="9" t="s">
        <v>97</v>
      </c>
      <c r="B75" s="6"/>
      <c r="C75" s="104">
        <v>0</v>
      </c>
      <c r="D75" s="133"/>
      <c r="E75" s="76"/>
    </row>
    <row r="76" spans="1:5">
      <c r="A76" s="9"/>
      <c r="B76" s="6"/>
      <c r="C76" s="75"/>
      <c r="D76" s="133"/>
      <c r="E76" s="76"/>
    </row>
    <row r="77" spans="1:5">
      <c r="A77" s="9"/>
      <c r="B77" s="6" t="s">
        <v>98</v>
      </c>
      <c r="C77" s="75">
        <f>SUM(C64,C65,C69,C71,C73,C75)</f>
        <v>860</v>
      </c>
      <c r="D77" s="133" t="s">
        <v>99</v>
      </c>
      <c r="E77" s="76">
        <f>E63</f>
        <v>0</v>
      </c>
    </row>
    <row r="78" spans="1:5">
      <c r="A78" s="9"/>
      <c r="B78" s="6"/>
      <c r="C78" s="6"/>
      <c r="D78" s="133" t="s">
        <v>100</v>
      </c>
      <c r="E78" s="76">
        <f>C77</f>
        <v>860</v>
      </c>
    </row>
    <row r="79" spans="1:5">
      <c r="A79" s="9"/>
      <c r="B79" s="6"/>
      <c r="C79" s="6"/>
      <c r="D79" s="133" t="s">
        <v>101</v>
      </c>
      <c r="E79" s="76">
        <f>SUM(E77+C77)</f>
        <v>860</v>
      </c>
    </row>
    <row r="80" spans="1:5">
      <c r="A80" s="9"/>
      <c r="B80" s="6"/>
      <c r="C80" s="6"/>
      <c r="D80" s="133"/>
      <c r="E80" s="76"/>
    </row>
    <row r="81" spans="1:23">
      <c r="A81" s="9"/>
      <c r="B81" s="6"/>
      <c r="C81" s="6"/>
      <c r="D81" s="133" t="s">
        <v>13</v>
      </c>
      <c r="E81" s="76">
        <f>SUM(D215,D216,D217,D214)</f>
        <v>149.1</v>
      </c>
    </row>
    <row r="82" spans="1:23" ht="13.5" thickBot="1">
      <c r="A82" s="9"/>
      <c r="B82" s="6"/>
      <c r="C82" s="6"/>
      <c r="D82" s="133"/>
      <c r="E82" s="76"/>
    </row>
    <row r="83" spans="1:23" ht="14.25" thickTop="1" thickBot="1">
      <c r="A83" s="9"/>
      <c r="B83" s="6"/>
      <c r="C83" s="6"/>
      <c r="D83" s="133" t="s">
        <v>102</v>
      </c>
      <c r="E83" s="132">
        <f>SUM(E79:E81)</f>
        <v>1009.1</v>
      </c>
    </row>
    <row r="84" spans="1:23" ht="13.5" thickTop="1">
      <c r="A84" s="9"/>
      <c r="B84" s="6"/>
      <c r="C84" s="6"/>
      <c r="D84" s="6"/>
      <c r="E84" s="8"/>
      <c r="F84" s="4"/>
      <c r="G84" s="8"/>
    </row>
    <row r="85" spans="1:23">
      <c r="A85" s="7"/>
      <c r="B85" s="7"/>
      <c r="C85" s="7"/>
      <c r="D85" s="7"/>
      <c r="E85" s="7"/>
      <c r="F85" s="7"/>
      <c r="G85" s="7"/>
    </row>
    <row r="86" spans="1:23">
      <c r="A86" s="7"/>
      <c r="B86" s="22" t="s">
        <v>20</v>
      </c>
      <c r="C86" s="22" t="s">
        <v>21</v>
      </c>
      <c r="E86" s="7"/>
    </row>
    <row r="87" spans="1:23">
      <c r="A87" s="7"/>
      <c r="B87" s="7"/>
      <c r="C87" s="20"/>
      <c r="E87" s="7"/>
      <c r="F87" s="21"/>
      <c r="G87" s="7"/>
    </row>
    <row r="88" spans="1:23">
      <c r="A88" s="7"/>
      <c r="B88" s="23" t="s">
        <v>22</v>
      </c>
      <c r="C88" s="51" t="s">
        <v>23</v>
      </c>
      <c r="E88" s="7"/>
      <c r="F88" s="20"/>
      <c r="G88" s="18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</row>
    <row r="89" spans="1:23">
      <c r="A89" s="7"/>
      <c r="B89" s="25"/>
      <c r="C89" s="25"/>
      <c r="E89" s="7"/>
      <c r="F89" s="26"/>
      <c r="G89" s="25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</row>
    <row r="90" spans="1:23" ht="14.25">
      <c r="B90" s="22" t="s">
        <v>37</v>
      </c>
      <c r="C90" s="27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</row>
    <row r="91" spans="1:23" ht="14.25">
      <c r="B91" s="24"/>
      <c r="C91" s="22"/>
      <c r="D91" s="27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</row>
    <row r="92" spans="1:23" ht="14.25">
      <c r="B92" s="24"/>
      <c r="C92" s="22"/>
      <c r="D92" s="27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spans="1:23" ht="14.25">
      <c r="B93" s="24"/>
      <c r="C93" s="22"/>
      <c r="D93" s="27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spans="1:23" ht="14.25">
      <c r="B94" s="24"/>
      <c r="C94" s="22"/>
      <c r="D94" s="27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spans="1:23" ht="14.25">
      <c r="B95" s="24"/>
      <c r="C95" s="22"/>
      <c r="D95" s="27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23" ht="14.25">
      <c r="B96" s="24"/>
      <c r="C96" s="22"/>
      <c r="D96" s="27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spans="2:23" ht="14.25">
      <c r="B97" s="24"/>
      <c r="C97" s="22"/>
      <c r="D97" s="27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</row>
    <row r="98" spans="2:23" ht="14.25">
      <c r="B98" s="24"/>
      <c r="C98" s="22"/>
      <c r="D98" s="27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</row>
    <row r="99" spans="2:23" ht="14.25">
      <c r="B99" s="24"/>
      <c r="C99" s="22"/>
      <c r="D99" s="27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</row>
    <row r="100" spans="2:23" ht="14.25">
      <c r="B100" s="24"/>
      <c r="C100" s="22"/>
      <c r="D100" s="27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spans="2:23" ht="14.25" hidden="1">
      <c r="B101" s="24"/>
      <c r="C101" s="22"/>
      <c r="D101" s="27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spans="2:23" ht="14.25" hidden="1">
      <c r="B102" s="24"/>
      <c r="C102" s="22"/>
      <c r="D102" s="27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spans="2:23" ht="14.25" hidden="1">
      <c r="B103" s="24"/>
      <c r="C103" s="22"/>
      <c r="D103" s="27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</row>
    <row r="104" spans="2:23" ht="14.25" hidden="1">
      <c r="B104" s="24"/>
      <c r="C104" s="22"/>
      <c r="D104" s="27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</row>
    <row r="105" spans="2:23" ht="14.25" hidden="1">
      <c r="B105" s="24"/>
      <c r="C105" s="22"/>
      <c r="D105" s="27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spans="2:23" ht="14.25" hidden="1">
      <c r="B106" s="24"/>
      <c r="C106" s="22"/>
      <c r="D106" s="27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spans="2:23" ht="14.25" hidden="1">
      <c r="B107" s="24"/>
      <c r="C107" s="22"/>
      <c r="D107" s="27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</row>
    <row r="108" spans="2:23" ht="14.25" hidden="1">
      <c r="B108" s="24"/>
      <c r="C108" s="22"/>
      <c r="D108" s="27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</row>
    <row r="109" spans="2:23" ht="14.25" hidden="1">
      <c r="B109" s="24"/>
      <c r="C109" s="22"/>
      <c r="D109" s="27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</row>
    <row r="110" spans="2:23" ht="14.25" hidden="1">
      <c r="B110" s="24"/>
      <c r="C110" s="22"/>
      <c r="D110" s="27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</row>
    <row r="111" spans="2:23" ht="14.25" hidden="1">
      <c r="B111" s="24"/>
      <c r="C111" s="22"/>
      <c r="D111" s="27"/>
      <c r="E111" s="83" t="s">
        <v>110</v>
      </c>
      <c r="F111" s="83" t="s">
        <v>110</v>
      </c>
      <c r="G111" s="83" t="s">
        <v>110</v>
      </c>
      <c r="H111" s="83" t="s">
        <v>110</v>
      </c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</row>
    <row r="112" spans="2:23" ht="14.25" hidden="1">
      <c r="B112" s="24"/>
      <c r="C112" s="22"/>
      <c r="D112" s="27"/>
      <c r="E112" s="83" t="s">
        <v>111</v>
      </c>
      <c r="F112" s="83" t="s">
        <v>111</v>
      </c>
      <c r="G112" s="83" t="s">
        <v>111</v>
      </c>
      <c r="H112" s="83" t="s">
        <v>111</v>
      </c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</row>
    <row r="113" spans="2:23" ht="14.25" hidden="1">
      <c r="B113" s="24"/>
      <c r="C113" s="22"/>
      <c r="D113" s="27"/>
      <c r="E113" s="83"/>
      <c r="F113" s="83"/>
      <c r="G113" s="83"/>
      <c r="H113" s="83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</row>
    <row r="114" spans="2:23" ht="14.25" hidden="1">
      <c r="B114" s="24"/>
      <c r="C114" s="22"/>
      <c r="D114" s="27"/>
      <c r="E114" s="83"/>
      <c r="F114" s="83"/>
      <c r="G114" s="83" t="s">
        <v>110</v>
      </c>
      <c r="H114" s="83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</row>
    <row r="115" spans="2:23" ht="14.25" hidden="1">
      <c r="B115" s="24"/>
      <c r="C115" s="22"/>
      <c r="D115" s="27"/>
      <c r="E115" s="83">
        <f>IF(C37="koper",D37,0)</f>
        <v>0</v>
      </c>
      <c r="F115" s="83">
        <f>IF(C37="koper",D37*21%,0)</f>
        <v>0</v>
      </c>
      <c r="G115" s="83" t="s">
        <v>111</v>
      </c>
      <c r="H115" s="83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</row>
    <row r="116" spans="2:23" ht="14.25" hidden="1">
      <c r="B116" s="24"/>
      <c r="C116" s="22"/>
      <c r="D116" s="27"/>
      <c r="E116" s="83">
        <f>IF(C38="koper",D38,0)</f>
        <v>0</v>
      </c>
      <c r="F116" s="83">
        <f>IF(C39="koper",D39*21%,0)</f>
        <v>0</v>
      </c>
      <c r="G116" s="83"/>
      <c r="H116" s="83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</row>
    <row r="117" spans="2:23" ht="14.25" hidden="1">
      <c r="B117" s="24"/>
      <c r="C117" s="22"/>
      <c r="D117" s="27"/>
      <c r="E117" s="83">
        <f>IF(C39="koper",D39,0)</f>
        <v>0</v>
      </c>
      <c r="F117" s="83">
        <f>IF(C40="koper",D40*21%,0)</f>
        <v>0</v>
      </c>
      <c r="G117" s="83"/>
      <c r="H117" s="83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</row>
    <row r="118" spans="2:23" ht="14.25" hidden="1">
      <c r="B118" s="24"/>
      <c r="C118" s="22"/>
      <c r="D118" s="27"/>
      <c r="E118" s="83">
        <f>IF(C40="koper",D40,0)</f>
        <v>0</v>
      </c>
      <c r="F118" s="83">
        <f>SUM(F115:F117)</f>
        <v>0</v>
      </c>
      <c r="G118" s="83"/>
      <c r="H118" s="83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</row>
    <row r="119" spans="2:23" ht="14.25" hidden="1">
      <c r="B119" s="24"/>
      <c r="C119" s="22"/>
      <c r="D119" s="27"/>
      <c r="E119" s="83">
        <f>SUM(E115:E118)</f>
        <v>0</v>
      </c>
      <c r="F119" s="83"/>
      <c r="G119" s="83"/>
      <c r="H119" s="83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</row>
    <row r="120" spans="2:23" ht="14.25" hidden="1">
      <c r="B120" s="24"/>
      <c r="C120" s="22"/>
      <c r="D120" s="27"/>
      <c r="E120" s="83"/>
      <c r="F120" s="83"/>
      <c r="G120" s="83"/>
      <c r="H120" s="83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</row>
    <row r="121" spans="2:23" ht="14.25" hidden="1">
      <c r="B121" s="24"/>
      <c r="C121" s="22"/>
      <c r="D121" s="27"/>
      <c r="E121" s="83">
        <f>IF(C37="verkoper",D37,0)</f>
        <v>0</v>
      </c>
      <c r="F121" s="83"/>
      <c r="G121" s="83"/>
      <c r="H121" s="83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</row>
    <row r="122" spans="2:23" ht="14.25" hidden="1">
      <c r="B122" s="24"/>
      <c r="C122" s="22"/>
      <c r="D122" s="27"/>
      <c r="E122" s="83">
        <f>IF(C38="verkoper",D38,0)</f>
        <v>0</v>
      </c>
      <c r="F122" s="83">
        <f>IF(C37="verkoper",D37*21%,0)</f>
        <v>0</v>
      </c>
      <c r="G122" s="83"/>
      <c r="H122" s="83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</row>
    <row r="123" spans="2:23" ht="14.25" hidden="1">
      <c r="B123" s="24"/>
      <c r="C123" s="22"/>
      <c r="D123" s="27"/>
      <c r="E123" s="83">
        <f>IF(C39="verkoper",D39,0)</f>
        <v>0</v>
      </c>
      <c r="F123" s="83">
        <f>IF(C39="verkoper",D39*21%,0)</f>
        <v>0</v>
      </c>
      <c r="G123" s="83"/>
      <c r="H123" s="83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</row>
    <row r="124" spans="2:23" ht="14.25" hidden="1">
      <c r="B124" s="24"/>
      <c r="C124" s="22"/>
      <c r="D124" s="27"/>
      <c r="E124" s="83">
        <f>IF(C40="verkoper",D40,0)</f>
        <v>0</v>
      </c>
      <c r="F124" s="83">
        <f>IF(C40="verkoper",D40*21%,0)</f>
        <v>0</v>
      </c>
      <c r="G124" s="83"/>
      <c r="H124" s="83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</row>
    <row r="125" spans="2:23" ht="14.25" hidden="1">
      <c r="B125" s="24"/>
      <c r="C125" s="22"/>
      <c r="D125" s="27"/>
      <c r="E125" s="83">
        <f>SUM(E121:E124)</f>
        <v>0</v>
      </c>
      <c r="F125" s="83">
        <f>SUM(F122:F124)</f>
        <v>0</v>
      </c>
      <c r="G125" s="83"/>
      <c r="H125" s="83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</row>
    <row r="126" spans="2:23" ht="14.25" hidden="1">
      <c r="B126" s="24"/>
      <c r="C126" s="22"/>
      <c r="D126" s="27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</row>
    <row r="127" spans="2:23" ht="14.25" hidden="1">
      <c r="B127" s="24"/>
      <c r="C127" s="22"/>
      <c r="D127" s="27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</row>
    <row r="128" spans="2:23" ht="14.25" hidden="1">
      <c r="B128" s="24"/>
      <c r="C128" s="22"/>
      <c r="D128" s="27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</row>
    <row r="129" spans="1:23" ht="14.25" hidden="1">
      <c r="B129" s="24"/>
      <c r="C129" s="22"/>
      <c r="D129" s="27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</row>
    <row r="130" spans="1:23" ht="14.25" hidden="1">
      <c r="B130" s="24"/>
      <c r="C130" s="22"/>
      <c r="D130" s="27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</row>
    <row r="131" spans="1:23" ht="14.25" hidden="1">
      <c r="B131" s="24"/>
      <c r="C131" s="27"/>
      <c r="D131" s="27"/>
      <c r="E131" s="22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</row>
    <row r="132" spans="1:23" ht="14.25" hidden="1">
      <c r="A132" s="2">
        <f>(A185+ROUNDDOWN((C54+C55-1)/F186,0)*A186)+20</f>
        <v>87.31</v>
      </c>
      <c r="B132" s="24"/>
      <c r="D132" s="27"/>
      <c r="E132" s="22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</row>
    <row r="133" spans="1:23" hidden="1">
      <c r="A133" s="81" t="s">
        <v>39</v>
      </c>
      <c r="B133" s="53"/>
      <c r="C133" s="53" t="s">
        <v>29</v>
      </c>
      <c r="D133" s="53" t="s">
        <v>29</v>
      </c>
      <c r="E133" s="53" t="s">
        <v>29</v>
      </c>
      <c r="F133" s="53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</row>
    <row r="134" spans="1:23" ht="15.75" hidden="1">
      <c r="A134" s="82" t="s">
        <v>40</v>
      </c>
      <c r="B134" s="54"/>
      <c r="C134" s="53" t="s">
        <v>30</v>
      </c>
      <c r="D134" s="53" t="s">
        <v>30</v>
      </c>
      <c r="E134" s="53" t="s">
        <v>30</v>
      </c>
      <c r="F134" s="53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</row>
    <row r="135" spans="1:23" ht="15.75" hidden="1">
      <c r="A135" s="82" t="s">
        <v>41</v>
      </c>
      <c r="B135" s="54"/>
      <c r="C135" s="53"/>
      <c r="D135" s="53"/>
      <c r="E135" s="53"/>
      <c r="F135" s="53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</row>
    <row r="136" spans="1:23" ht="15.75" hidden="1">
      <c r="A136" s="82" t="s">
        <v>42</v>
      </c>
      <c r="B136" s="54"/>
      <c r="C136" s="55">
        <f>B5*12.5/100</f>
        <v>0</v>
      </c>
      <c r="D136" s="53"/>
      <c r="E136" s="53"/>
      <c r="F136" s="53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</row>
    <row r="137" spans="1:23" ht="15.75" hidden="1">
      <c r="A137" s="82" t="s">
        <v>43</v>
      </c>
      <c r="B137" s="54"/>
      <c r="C137" s="56">
        <f>B5*10%</f>
        <v>0</v>
      </c>
      <c r="D137" s="53"/>
      <c r="E137" s="53"/>
      <c r="F137" s="53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</row>
    <row r="138" spans="1:23" ht="15.75" hidden="1">
      <c r="A138" s="82" t="s">
        <v>44</v>
      </c>
      <c r="B138" s="54"/>
      <c r="C138" s="56">
        <f>IF(B5&gt;150000,9000+(B5-150000)*12.5%,B5*6%)</f>
        <v>0</v>
      </c>
      <c r="D138" s="56">
        <f>IF(B5&gt;160000,9600+(B5-160000)*12.5%,B5*6%)</f>
        <v>0</v>
      </c>
      <c r="E138" s="53"/>
      <c r="F138" s="56">
        <f>IF(AND(B12="ja",B13="NVT",B14="ja"),C139,0)</f>
        <v>0</v>
      </c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</row>
    <row r="139" spans="1:23" ht="15.75" hidden="1">
      <c r="A139" s="82" t="s">
        <v>45</v>
      </c>
      <c r="B139" s="54"/>
      <c r="C139" s="56">
        <f>IF(B5&gt;150000,7500+(B5-150000)*10%,B5*5%)</f>
        <v>0</v>
      </c>
      <c r="D139" s="56">
        <f>IF(B5&gt;160000,8000+(B5-160000)*10%,B5*5%)</f>
        <v>0</v>
      </c>
      <c r="E139" s="53"/>
      <c r="F139" s="56">
        <f>IF(AND(B12="ja",B13="NVT",B14="neen"),C138,0)</f>
        <v>0</v>
      </c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</row>
    <row r="140" spans="1:23" ht="15.75" hidden="1">
      <c r="A140" s="82" t="s">
        <v>46</v>
      </c>
      <c r="B140" s="54"/>
      <c r="C140" s="53"/>
      <c r="D140" s="53"/>
      <c r="E140" s="53"/>
      <c r="F140" s="56">
        <f>IF(AND(B12="neen",B14="ja"),C137,0)</f>
        <v>0</v>
      </c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</row>
    <row r="141" spans="1:23" ht="15.75" hidden="1">
      <c r="A141" s="82" t="s">
        <v>47</v>
      </c>
      <c r="B141" s="54"/>
      <c r="C141" s="53"/>
      <c r="D141" s="53"/>
      <c r="E141" s="53"/>
      <c r="F141" s="56">
        <f>IF(AND(B12="neen",B14="neen"),C136,0)</f>
        <v>0</v>
      </c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</row>
    <row r="142" spans="1:23" ht="15.75" hidden="1">
      <c r="A142" s="82" t="s">
        <v>48</v>
      </c>
      <c r="B142" s="54"/>
      <c r="C142" s="53"/>
      <c r="D142" s="53"/>
      <c r="E142" s="53"/>
      <c r="F142" s="56">
        <f>IF(AND(B12="ja",B13&lt;&gt;"NVT",B14="ja"),D139,0)</f>
        <v>0</v>
      </c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</row>
    <row r="143" spans="1:23" ht="15.75" hidden="1">
      <c r="A143" s="82" t="s">
        <v>103</v>
      </c>
      <c r="B143" s="54"/>
      <c r="C143" s="53"/>
      <c r="D143" s="53"/>
      <c r="E143" s="53"/>
      <c r="F143" s="56">
        <f>IF(AND(B12="ja",B13&lt;&gt;"NVT",B14="neen"),D138,0)</f>
        <v>0</v>
      </c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</row>
    <row r="144" spans="1:23" ht="15.75" hidden="1">
      <c r="A144" s="82" t="s">
        <v>49</v>
      </c>
      <c r="B144" s="54"/>
      <c r="C144" s="53"/>
      <c r="D144" s="53"/>
      <c r="E144" s="53"/>
      <c r="F144" s="56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</row>
    <row r="145" spans="1:23" ht="15.75" hidden="1">
      <c r="A145" s="82" t="s">
        <v>50</v>
      </c>
      <c r="B145" s="54"/>
      <c r="C145" s="53"/>
      <c r="D145" s="53"/>
      <c r="E145" s="53"/>
      <c r="F145" s="56">
        <f>SUM(F138:F144)</f>
        <v>0</v>
      </c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</row>
    <row r="146" spans="1:23" ht="15.75" hidden="1">
      <c r="A146" s="82" t="s">
        <v>51</v>
      </c>
      <c r="B146" s="54"/>
      <c r="C146" s="53"/>
      <c r="D146" s="53"/>
      <c r="E146" s="53"/>
      <c r="F146" s="53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</row>
    <row r="147" spans="1:23" ht="15.75" hidden="1">
      <c r="A147" s="82" t="s">
        <v>104</v>
      </c>
      <c r="B147" s="54"/>
      <c r="C147" s="53"/>
      <c r="D147" s="53"/>
      <c r="E147" s="53"/>
      <c r="F147" s="53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</row>
    <row r="148" spans="1:23" ht="15.75" hidden="1">
      <c r="A148" s="82" t="s">
        <v>52</v>
      </c>
      <c r="B148" s="54"/>
      <c r="C148" s="53"/>
      <c r="D148" s="53"/>
      <c r="E148" s="53"/>
      <c r="F148" s="53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</row>
    <row r="149" spans="1:23" ht="15.75" hidden="1">
      <c r="A149" s="82" t="s">
        <v>53</v>
      </c>
      <c r="B149" s="54"/>
      <c r="C149" s="53"/>
      <c r="D149" s="53"/>
      <c r="E149" s="53"/>
      <c r="F149" s="53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</row>
    <row r="150" spans="1:23" ht="15.75" hidden="1">
      <c r="A150" s="82" t="s">
        <v>54</v>
      </c>
      <c r="B150" s="54"/>
      <c r="C150" s="53"/>
      <c r="D150" s="53"/>
      <c r="E150" s="53"/>
      <c r="F150" s="53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</row>
    <row r="151" spans="1:23" ht="15.75" hidden="1">
      <c r="A151" s="82" t="s">
        <v>55</v>
      </c>
      <c r="B151" s="53"/>
      <c r="C151" s="53"/>
      <c r="D151" s="53"/>
      <c r="E151" s="53"/>
      <c r="F151" s="53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</row>
    <row r="152" spans="1:23" ht="15.75" hidden="1">
      <c r="A152" s="82" t="s">
        <v>56</v>
      </c>
      <c r="B152" s="53"/>
      <c r="C152" s="53"/>
      <c r="D152" s="53"/>
      <c r="E152" s="53"/>
      <c r="F152" s="53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</row>
    <row r="153" spans="1:23" ht="15.75" hidden="1">
      <c r="A153" s="82" t="s">
        <v>57</v>
      </c>
      <c r="B153" s="53"/>
      <c r="C153" s="53"/>
      <c r="D153" s="53"/>
      <c r="E153" s="53"/>
      <c r="F153" s="53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</row>
    <row r="154" spans="1:23" ht="15.75" hidden="1">
      <c r="A154" s="82" t="s">
        <v>58</v>
      </c>
      <c r="B154" s="53"/>
      <c r="C154" s="53"/>
      <c r="D154" s="53"/>
      <c r="E154" s="53"/>
      <c r="F154" s="53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</row>
    <row r="155" spans="1:23" ht="15.75" hidden="1">
      <c r="A155" s="82" t="s">
        <v>59</v>
      </c>
      <c r="B155" s="53"/>
      <c r="C155" s="53"/>
      <c r="D155" s="53"/>
      <c r="E155" s="53"/>
      <c r="F155" s="53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</row>
    <row r="156" spans="1:23" ht="15.75" hidden="1">
      <c r="A156" s="82" t="s">
        <v>60</v>
      </c>
      <c r="B156" s="53"/>
      <c r="C156" s="53"/>
      <c r="D156" s="53"/>
      <c r="E156" s="53"/>
      <c r="F156" s="53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</row>
    <row r="157" spans="1:23" ht="15.75" hidden="1">
      <c r="A157" s="82" t="s">
        <v>61</v>
      </c>
      <c r="B157" s="53"/>
      <c r="C157" s="53"/>
      <c r="D157" s="53"/>
      <c r="E157" s="53"/>
      <c r="F157" s="53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</row>
    <row r="158" spans="1:23" ht="15.75" hidden="1">
      <c r="A158" s="82" t="s">
        <v>62</v>
      </c>
      <c r="B158" s="57"/>
      <c r="C158" s="53"/>
      <c r="D158" s="53"/>
      <c r="E158" s="53"/>
      <c r="F158" s="53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</row>
    <row r="159" spans="1:23" ht="15.75" hidden="1">
      <c r="A159" s="82" t="s">
        <v>63</v>
      </c>
      <c r="B159" s="57"/>
      <c r="C159" s="53"/>
      <c r="D159" s="53"/>
      <c r="E159" s="53"/>
      <c r="F159" s="5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</row>
    <row r="160" spans="1:23" ht="15.75" hidden="1">
      <c r="A160" s="82" t="s">
        <v>64</v>
      </c>
      <c r="B160" s="53"/>
      <c r="C160" s="53"/>
      <c r="D160" s="53"/>
      <c r="E160" s="53"/>
      <c r="F160" s="53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</row>
    <row r="161" spans="1:23" ht="15.75" hidden="1">
      <c r="A161" s="82" t="s">
        <v>105</v>
      </c>
      <c r="B161" s="53"/>
      <c r="C161" s="53"/>
      <c r="D161" s="53"/>
      <c r="E161" s="53"/>
      <c r="F161" s="53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</row>
    <row r="162" spans="1:23" ht="15.75" hidden="1">
      <c r="A162" s="82" t="s">
        <v>106</v>
      </c>
      <c r="B162" s="53"/>
      <c r="C162" s="53"/>
      <c r="D162" s="53"/>
      <c r="E162" s="53"/>
      <c r="F162" s="53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</row>
    <row r="163" spans="1:23" ht="15.75" hidden="1">
      <c r="A163" s="82" t="s">
        <v>65</v>
      </c>
      <c r="B163" s="58"/>
      <c r="C163" s="53"/>
      <c r="D163" s="53"/>
      <c r="E163" s="59"/>
      <c r="F163" s="59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</row>
    <row r="164" spans="1:23" ht="15.75" hidden="1">
      <c r="A164" s="82" t="s">
        <v>66</v>
      </c>
      <c r="B164" s="52"/>
      <c r="C164" s="52"/>
      <c r="D164" s="52"/>
      <c r="E164" s="59"/>
      <c r="F164" s="59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</row>
    <row r="165" spans="1:23" ht="15.75" hidden="1">
      <c r="A165" s="82" t="s">
        <v>107</v>
      </c>
      <c r="B165" s="52"/>
      <c r="C165" s="52"/>
      <c r="D165" s="52"/>
      <c r="E165" s="52"/>
      <c r="F165" s="52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</row>
    <row r="166" spans="1:23" ht="15.75" hidden="1">
      <c r="A166" s="82" t="s">
        <v>108</v>
      </c>
      <c r="B166" s="52"/>
      <c r="C166" s="52"/>
      <c r="D166" s="52"/>
      <c r="E166" s="52"/>
      <c r="F166" s="52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</row>
    <row r="167" spans="1:23" ht="15.75" hidden="1">
      <c r="A167" s="82" t="s">
        <v>67</v>
      </c>
      <c r="B167" s="52"/>
      <c r="C167" s="52" t="s">
        <v>24</v>
      </c>
      <c r="D167" s="52" t="s">
        <v>25</v>
      </c>
      <c r="E167" s="52"/>
      <c r="F167" s="52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</row>
    <row r="168" spans="1:23" ht="15.75" hidden="1">
      <c r="A168" s="82" t="s">
        <v>68</v>
      </c>
      <c r="B168" s="52"/>
      <c r="C168" s="52"/>
      <c r="D168" s="52">
        <v>525</v>
      </c>
      <c r="E168" s="52"/>
      <c r="F168" s="52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</row>
    <row r="169" spans="1:23" ht="15.75" hidden="1">
      <c r="A169" s="82" t="s">
        <v>69</v>
      </c>
      <c r="B169" s="52"/>
      <c r="C169" s="52"/>
      <c r="D169" s="52">
        <v>100</v>
      </c>
      <c r="E169" s="52"/>
      <c r="F169" s="52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</row>
    <row r="170" spans="1:23" ht="15.75" hidden="1">
      <c r="A170" s="82" t="s">
        <v>70</v>
      </c>
      <c r="B170" s="52"/>
      <c r="C170" s="52"/>
      <c r="D170" s="52">
        <v>675</v>
      </c>
      <c r="E170" s="52"/>
      <c r="F170" s="52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</row>
    <row r="171" spans="1:23" ht="15.75" hidden="1">
      <c r="A171" s="82" t="s">
        <v>71</v>
      </c>
      <c r="B171" s="52"/>
      <c r="C171" s="52"/>
      <c r="D171" s="52"/>
      <c r="E171" s="52"/>
      <c r="F171" s="52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</row>
    <row r="172" spans="1:23" ht="15" hidden="1">
      <c r="A172" s="52"/>
      <c r="B172" s="52"/>
      <c r="C172" s="52"/>
      <c r="D172" s="52"/>
      <c r="E172" s="52"/>
      <c r="F172" s="52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</row>
    <row r="173" spans="1:23" ht="15" hidden="1">
      <c r="A173" s="52"/>
      <c r="B173" s="52"/>
      <c r="C173" s="52"/>
      <c r="D173" s="52"/>
      <c r="E173" s="52"/>
      <c r="F173" s="52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</row>
    <row r="174" spans="1:23" ht="14.25" hidden="1">
      <c r="A174" s="60" t="s">
        <v>26</v>
      </c>
      <c r="B174" s="60"/>
      <c r="C174" s="60" t="s">
        <v>26</v>
      </c>
      <c r="D174" s="61" t="s">
        <v>27</v>
      </c>
      <c r="E174" s="62"/>
      <c r="F174" s="60" t="s">
        <v>7</v>
      </c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</row>
    <row r="175" spans="1:23" ht="15" hidden="1">
      <c r="A175" s="63">
        <v>0</v>
      </c>
      <c r="B175" s="64"/>
      <c r="C175" s="63">
        <v>7500</v>
      </c>
      <c r="D175" s="65">
        <v>4.5600000000000002E-2</v>
      </c>
      <c r="E175" s="66"/>
      <c r="F175" s="63">
        <f>IF(B10&lt;C175,B10*D175,C175*D175)</f>
        <v>0</v>
      </c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</row>
    <row r="176" spans="1:23" ht="15" hidden="1">
      <c r="A176" s="63">
        <v>7500</v>
      </c>
      <c r="B176" s="64"/>
      <c r="C176" s="63">
        <v>17500</v>
      </c>
      <c r="D176" s="65">
        <v>2.8500000000000001E-2</v>
      </c>
      <c r="E176" s="66"/>
      <c r="F176" s="64" t="str">
        <f>IF(B10&lt;=A176," ",IF(B10&lt;C176,(B10-C175)*D176,(C176-A176)*D176))</f>
        <v xml:space="preserve"> </v>
      </c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</row>
    <row r="177" spans="1:23" ht="15" hidden="1">
      <c r="A177" s="63">
        <v>17500</v>
      </c>
      <c r="B177" s="64"/>
      <c r="C177" s="63">
        <v>30000</v>
      </c>
      <c r="D177" s="65">
        <v>2.2800000000000001E-2</v>
      </c>
      <c r="E177" s="66"/>
      <c r="F177" s="64" t="str">
        <f>IF(B10&lt;=A177," ",IF(B10&lt;C177,(B10-C176)*D177,(C177-A177)*D177))</f>
        <v xml:space="preserve"> </v>
      </c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</row>
    <row r="178" spans="1:23" ht="15" hidden="1">
      <c r="A178" s="63">
        <v>30000</v>
      </c>
      <c r="B178" s="64"/>
      <c r="C178" s="63">
        <v>45495</v>
      </c>
      <c r="D178" s="65">
        <v>1.7100000000000001E-2</v>
      </c>
      <c r="E178" s="66"/>
      <c r="F178" s="64" t="str">
        <f>IF(B10&lt;=A178," ",IF(B10&lt;C178,(B10-C177)*D178,(C178-A178)*D178))</f>
        <v xml:space="preserve"> </v>
      </c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</row>
    <row r="179" spans="1:23" ht="15" hidden="1">
      <c r="A179" s="63">
        <v>45495</v>
      </c>
      <c r="B179" s="64"/>
      <c r="C179" s="63">
        <v>64095</v>
      </c>
      <c r="D179" s="65">
        <v>1.14E-2</v>
      </c>
      <c r="E179" s="66"/>
      <c r="F179" s="64" t="str">
        <f>IF(B10&lt;=A179," ",IF(B10&lt;C179,(B10-C178)*D179,(C179-A179)*D179))</f>
        <v xml:space="preserve"> </v>
      </c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</row>
    <row r="180" spans="1:23" ht="15" hidden="1">
      <c r="A180" s="63">
        <v>64095</v>
      </c>
      <c r="B180" s="64"/>
      <c r="C180" s="63">
        <v>250095</v>
      </c>
      <c r="D180" s="65">
        <v>5.7000000000000002E-3</v>
      </c>
      <c r="E180" s="66"/>
      <c r="F180" s="64" t="str">
        <f>IF(B10&lt;=A180," ",IF(B10&lt;C180,(B10-C179)*D180,(C180-A180)*D180))</f>
        <v xml:space="preserve"> </v>
      </c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</row>
    <row r="181" spans="1:23" ht="15" hidden="1">
      <c r="A181" s="63">
        <v>250095</v>
      </c>
      <c r="B181" s="64"/>
      <c r="C181" s="63">
        <v>999999999</v>
      </c>
      <c r="D181" s="65">
        <v>5.6999999999999998E-4</v>
      </c>
      <c r="E181" s="66"/>
      <c r="F181" s="64" t="str">
        <f>IF(B10&lt;=A181," ",IF(B10&lt;C181,(B10-C180)*D181,(C181-A181)*D181))</f>
        <v xml:space="preserve"> </v>
      </c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</row>
    <row r="182" spans="1:23" ht="15" hidden="1">
      <c r="A182" s="67"/>
      <c r="B182" s="68"/>
      <c r="C182" s="68"/>
      <c r="D182" s="69"/>
      <c r="E182" s="70"/>
      <c r="F182" s="70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</row>
    <row r="183" spans="1:23" ht="15" hidden="1">
      <c r="A183" s="60" t="s">
        <v>28</v>
      </c>
      <c r="B183" s="71"/>
      <c r="C183" s="68"/>
      <c r="D183" s="72"/>
      <c r="E183" s="70"/>
      <c r="F183" s="73">
        <f>SUM(F175:F182)</f>
        <v>0</v>
      </c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</row>
    <row r="184" spans="1:23" ht="15" hidden="1">
      <c r="A184" s="71" t="s">
        <v>76</v>
      </c>
      <c r="B184" s="71"/>
      <c r="C184" s="68"/>
      <c r="D184" s="68"/>
      <c r="E184" s="70"/>
      <c r="F184" s="74"/>
      <c r="G184" s="24"/>
      <c r="H184" s="24"/>
      <c r="I184" s="24"/>
      <c r="J184" s="24" t="s">
        <v>77</v>
      </c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</row>
    <row r="185" spans="1:23" ht="15" hidden="1">
      <c r="A185" s="71">
        <v>67.31</v>
      </c>
      <c r="B185" s="71"/>
      <c r="C185" s="68" t="s">
        <v>78</v>
      </c>
      <c r="D185" s="68"/>
      <c r="E185" s="70"/>
      <c r="F185" s="74">
        <v>25000</v>
      </c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</row>
    <row r="186" spans="1:23" ht="15" hidden="1">
      <c r="A186" s="71">
        <v>23.56</v>
      </c>
      <c r="B186" s="71"/>
      <c r="C186" s="68" t="s">
        <v>79</v>
      </c>
      <c r="D186" s="68"/>
      <c r="E186" s="70"/>
      <c r="F186" s="74">
        <v>25000</v>
      </c>
      <c r="G186" s="24"/>
      <c r="H186" s="24" t="s">
        <v>80</v>
      </c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</row>
    <row r="187" spans="1:23" ht="15" hidden="1">
      <c r="A187" s="71"/>
      <c r="B187" s="71"/>
      <c r="C187" s="68"/>
      <c r="D187" s="68"/>
      <c r="E187" s="70"/>
      <c r="F187" s="7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</row>
    <row r="188" spans="1:23" ht="15" hidden="1">
      <c r="A188" s="71"/>
      <c r="B188" s="71"/>
      <c r="C188" s="68"/>
      <c r="D188" s="68"/>
      <c r="E188" s="70"/>
      <c r="F188" s="7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</row>
    <row r="189" spans="1:23" ht="15" hidden="1">
      <c r="A189" s="71"/>
      <c r="B189" s="71"/>
      <c r="C189" s="68"/>
      <c r="D189" s="68"/>
      <c r="E189" s="70"/>
      <c r="F189" s="74"/>
      <c r="G189" s="24"/>
      <c r="H189" s="24"/>
      <c r="I189" s="24"/>
      <c r="J189" s="24"/>
      <c r="K189" s="24">
        <v>720</v>
      </c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</row>
    <row r="190" spans="1:23" ht="15" hidden="1">
      <c r="A190" s="71" t="s">
        <v>81</v>
      </c>
      <c r="B190" s="71"/>
      <c r="C190" s="68"/>
      <c r="D190" s="68"/>
      <c r="E190" s="70"/>
      <c r="F190" s="74" t="s">
        <v>26</v>
      </c>
      <c r="G190" s="24"/>
      <c r="H190" s="24" t="s">
        <v>82</v>
      </c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</row>
    <row r="191" spans="1:23" ht="15" hidden="1">
      <c r="A191" s="71"/>
      <c r="B191" s="71"/>
      <c r="C191" s="68"/>
      <c r="D191" s="68"/>
      <c r="E191" s="70"/>
      <c r="F191" s="74">
        <v>0</v>
      </c>
      <c r="G191" s="24"/>
      <c r="H191" s="24">
        <v>575</v>
      </c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</row>
    <row r="192" spans="1:23" ht="15" hidden="1">
      <c r="A192" s="71"/>
      <c r="B192" s="71"/>
      <c r="C192" s="68"/>
      <c r="D192" s="68"/>
      <c r="E192" s="70"/>
      <c r="F192" s="7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</row>
    <row r="193" spans="1:23" ht="15" hidden="1">
      <c r="A193" s="71"/>
      <c r="B193" s="71"/>
      <c r="C193" s="68"/>
      <c r="D193" s="68"/>
      <c r="E193" s="70"/>
      <c r="F193" s="7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</row>
    <row r="194" spans="1:23" ht="15" hidden="1">
      <c r="A194" s="71"/>
      <c r="B194" s="71"/>
      <c r="C194" s="68"/>
      <c r="D194" s="68"/>
      <c r="E194" s="70"/>
      <c r="F194" s="7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</row>
    <row r="195" spans="1:23" ht="15" hidden="1">
      <c r="A195" s="71">
        <v>920</v>
      </c>
      <c r="B195" s="71"/>
      <c r="C195" s="68"/>
      <c r="D195" s="68"/>
      <c r="E195" s="70"/>
      <c r="F195" s="7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</row>
    <row r="196" spans="1:23" ht="15" hidden="1">
      <c r="A196" s="71"/>
      <c r="B196" s="71"/>
      <c r="C196" s="68"/>
      <c r="D196" s="68"/>
      <c r="E196" s="70"/>
      <c r="F196" s="7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</row>
    <row r="197" spans="1:23" ht="15" hidden="1">
      <c r="A197" s="71"/>
      <c r="B197" s="71"/>
      <c r="C197" s="68"/>
      <c r="D197" s="68"/>
      <c r="E197" s="70"/>
      <c r="F197" s="7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</row>
    <row r="198" spans="1:23" ht="15" hidden="1">
      <c r="A198" s="71"/>
      <c r="B198" s="71"/>
      <c r="C198" s="68"/>
      <c r="D198" s="68"/>
      <c r="E198" s="70"/>
      <c r="F198" s="7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</row>
    <row r="199" spans="1:23" ht="15" hidden="1">
      <c r="A199" s="71"/>
      <c r="B199" s="71"/>
      <c r="C199" s="68"/>
      <c r="D199" s="68"/>
      <c r="E199" s="70"/>
      <c r="F199" s="7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</row>
    <row r="200" spans="1:23" ht="15" hidden="1">
      <c r="A200" s="71"/>
      <c r="B200" s="71"/>
      <c r="C200" s="68"/>
      <c r="D200" s="68"/>
      <c r="E200" s="70"/>
      <c r="F200" s="7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</row>
    <row r="201" spans="1:23" ht="15" hidden="1">
      <c r="A201" s="71"/>
      <c r="B201" s="71"/>
      <c r="C201" s="68"/>
      <c r="D201" s="68"/>
      <c r="E201" s="70"/>
      <c r="F201" s="7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</row>
    <row r="202" spans="1:23" ht="15" hidden="1">
      <c r="A202" s="71"/>
      <c r="B202" s="71"/>
      <c r="C202" s="68"/>
      <c r="D202" s="68"/>
      <c r="E202" s="70"/>
      <c r="F202" s="7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</row>
    <row r="203" spans="1:23" ht="15" hidden="1">
      <c r="A203" s="71"/>
      <c r="B203" s="71"/>
      <c r="C203" s="68"/>
      <c r="D203" s="68"/>
      <c r="E203" s="70"/>
      <c r="F203" s="7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</row>
    <row r="204" spans="1:23" ht="15" hidden="1">
      <c r="A204" s="71"/>
      <c r="B204" s="71"/>
      <c r="C204" s="68"/>
      <c r="D204" s="68"/>
      <c r="E204" s="70"/>
      <c r="F204" s="7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</row>
    <row r="205" spans="1:23" ht="15" hidden="1">
      <c r="A205" s="71"/>
      <c r="B205" s="71"/>
      <c r="C205" s="68"/>
      <c r="D205" s="68"/>
      <c r="E205" s="70"/>
      <c r="F205" s="7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</row>
    <row r="206" spans="1:23" ht="15" hidden="1">
      <c r="A206" s="71"/>
      <c r="B206" s="71"/>
      <c r="C206" s="68"/>
      <c r="D206" s="68"/>
      <c r="E206" s="70"/>
      <c r="F206" s="7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</row>
    <row r="207" spans="1:23" ht="15" hidden="1">
      <c r="A207" s="71"/>
      <c r="B207" s="71"/>
      <c r="C207" s="68"/>
      <c r="D207" s="68"/>
      <c r="E207" s="70"/>
      <c r="F207" s="7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</row>
    <row r="208" spans="1:23" ht="15" hidden="1">
      <c r="A208" s="71"/>
      <c r="B208" s="71"/>
      <c r="C208" s="68"/>
      <c r="D208" s="68"/>
      <c r="E208" s="70"/>
      <c r="F208" s="7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</row>
    <row r="209" spans="1:23" ht="15" hidden="1">
      <c r="A209" s="71"/>
      <c r="B209" s="71"/>
      <c r="C209" s="68"/>
      <c r="D209" s="68"/>
      <c r="E209" s="70"/>
      <c r="F209" s="7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</row>
    <row r="210" spans="1:23" ht="15" hidden="1">
      <c r="A210" s="71"/>
      <c r="B210" s="71"/>
      <c r="C210" s="68"/>
      <c r="D210" s="68"/>
      <c r="E210" s="70"/>
      <c r="F210" s="7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</row>
    <row r="211" spans="1:23" ht="15" hidden="1">
      <c r="A211" s="71"/>
      <c r="B211" s="71"/>
      <c r="C211" s="68"/>
      <c r="D211" s="68"/>
      <c r="E211" s="70"/>
      <c r="F211" s="7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</row>
    <row r="212" spans="1:23" ht="15" hidden="1">
      <c r="A212" s="71"/>
      <c r="B212" s="71"/>
      <c r="C212" s="68"/>
      <c r="D212" s="68"/>
      <c r="E212" s="70"/>
      <c r="F212" s="7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</row>
    <row r="213" spans="1:23" ht="15" hidden="1">
      <c r="A213" s="71"/>
      <c r="B213" s="71"/>
      <c r="C213" s="68"/>
      <c r="D213" s="68"/>
      <c r="E213" s="70"/>
      <c r="F213" s="7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</row>
    <row r="214" spans="1:23" ht="15" hidden="1">
      <c r="A214" s="71"/>
      <c r="B214" s="71"/>
      <c r="C214" s="68"/>
      <c r="D214" s="68">
        <f>E63*21/100</f>
        <v>0</v>
      </c>
      <c r="E214" s="70"/>
      <c r="F214" s="7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</row>
    <row r="215" spans="1:23" ht="15" hidden="1">
      <c r="A215" s="71"/>
      <c r="B215" s="71"/>
      <c r="C215" s="68"/>
      <c r="D215" s="68">
        <f>C71*21%</f>
        <v>10.5</v>
      </c>
      <c r="E215" s="70"/>
      <c r="F215" s="7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</row>
    <row r="216" spans="1:23" ht="15" hidden="1">
      <c r="A216" s="71"/>
      <c r="B216" s="71"/>
      <c r="C216" s="68"/>
      <c r="D216" s="68">
        <f>C73*21%</f>
        <v>138.6</v>
      </c>
      <c r="E216" s="70"/>
      <c r="F216" s="7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</row>
    <row r="217" spans="1:23" ht="15" hidden="1">
      <c r="A217" s="71"/>
      <c r="B217" s="71"/>
      <c r="C217" s="68"/>
      <c r="D217" s="68">
        <f>C75*21%</f>
        <v>0</v>
      </c>
      <c r="E217" s="70"/>
      <c r="F217" s="7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</row>
    <row r="218" spans="1:23" ht="15" hidden="1">
      <c r="A218" s="71"/>
      <c r="B218" s="71"/>
      <c r="C218" s="68"/>
      <c r="D218" s="68"/>
      <c r="E218" s="70"/>
      <c r="F218" s="7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</row>
    <row r="219" spans="1:23" ht="15" hidden="1">
      <c r="A219" s="71"/>
      <c r="B219" s="71" t="s">
        <v>29</v>
      </c>
      <c r="C219" s="68"/>
      <c r="D219" s="68"/>
      <c r="E219" s="70"/>
      <c r="F219" s="7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</row>
    <row r="220" spans="1:23" ht="15" hidden="1">
      <c r="A220" s="71"/>
      <c r="B220" s="71" t="s">
        <v>30</v>
      </c>
      <c r="C220" s="68"/>
      <c r="D220" s="68"/>
      <c r="E220" s="70"/>
      <c r="F220" s="7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</row>
    <row r="221" spans="1:23" ht="15" hidden="1">
      <c r="A221" s="71"/>
      <c r="B221" s="71"/>
      <c r="C221" s="68"/>
      <c r="D221" s="68"/>
      <c r="E221" s="70"/>
      <c r="F221" s="7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</row>
    <row r="222" spans="1:23" ht="15" hidden="1">
      <c r="A222" s="71"/>
      <c r="B222" s="71"/>
      <c r="C222" s="68"/>
      <c r="D222" s="68"/>
      <c r="E222" s="70"/>
      <c r="F222" s="7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</row>
    <row r="223" spans="1:23" ht="15" hidden="1">
      <c r="A223" s="71"/>
      <c r="B223" s="71"/>
      <c r="C223" s="68"/>
      <c r="D223" s="68"/>
      <c r="E223" s="70"/>
      <c r="F223" s="7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</row>
    <row r="224" spans="1:23" ht="15" hidden="1">
      <c r="A224" s="71"/>
      <c r="B224" s="71"/>
      <c r="C224" s="68"/>
      <c r="D224" s="68"/>
      <c r="E224" s="70"/>
      <c r="F224" s="74"/>
      <c r="G224" s="24"/>
      <c r="H224" s="24">
        <f>ROUNDUP(B67+B68,-2)</f>
        <v>100</v>
      </c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</row>
    <row r="225" spans="1:23" ht="15" hidden="1">
      <c r="A225" s="71"/>
      <c r="B225" s="71"/>
      <c r="C225" s="68"/>
      <c r="D225" s="68"/>
      <c r="E225" s="70"/>
      <c r="F225" s="7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</row>
    <row r="226" spans="1:23" ht="15" hidden="1">
      <c r="A226" s="71"/>
      <c r="B226" s="71"/>
      <c r="C226" s="68"/>
      <c r="D226" s="68"/>
      <c r="E226" s="70"/>
      <c r="F226" s="7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</row>
    <row r="227" spans="1:23" ht="15" hidden="1">
      <c r="A227" s="71"/>
      <c r="B227" s="71"/>
      <c r="C227" s="68"/>
      <c r="D227" s="68"/>
      <c r="E227" s="70"/>
      <c r="F227" s="7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</row>
    <row r="228" spans="1:23" ht="15" hidden="1">
      <c r="A228" s="71" t="s">
        <v>83</v>
      </c>
      <c r="B228" s="71"/>
      <c r="C228" s="68"/>
      <c r="D228" s="68"/>
      <c r="E228" s="70"/>
      <c r="F228" s="74">
        <v>0</v>
      </c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</row>
    <row r="229" spans="1:23" ht="15" hidden="1">
      <c r="A229" s="71">
        <v>0</v>
      </c>
      <c r="B229" s="71"/>
      <c r="C229" s="68"/>
      <c r="D229" s="68"/>
      <c r="E229" s="70"/>
      <c r="F229" s="74">
        <v>7500</v>
      </c>
      <c r="G229" s="24"/>
      <c r="H229" s="24">
        <v>1.7100000000000001E-2</v>
      </c>
      <c r="I229" s="24"/>
      <c r="J229" s="24">
        <f>IF(C58&lt;F229,C58*H229,F229*H229)</f>
        <v>0</v>
      </c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</row>
    <row r="230" spans="1:23" ht="15" hidden="1">
      <c r="A230" s="71">
        <v>7500</v>
      </c>
      <c r="B230" s="71"/>
      <c r="C230" s="68"/>
      <c r="D230" s="68"/>
      <c r="E230" s="70"/>
      <c r="F230" s="74">
        <v>17500</v>
      </c>
      <c r="G230" s="24"/>
      <c r="H230" s="24">
        <v>1.3679999999999999E-2</v>
      </c>
      <c r="I230" s="24"/>
      <c r="J230" s="24" t="str">
        <f>IF(C58&lt;=A230," ",IF(C58&lt;F230,(C58-F229)*H230,(F230-A230)*H230))</f>
        <v xml:space="preserve"> </v>
      </c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</row>
    <row r="231" spans="1:23" ht="15" hidden="1">
      <c r="A231" s="71">
        <v>17500</v>
      </c>
      <c r="B231" s="71"/>
      <c r="C231" s="68"/>
      <c r="D231" s="68"/>
      <c r="E231" s="70"/>
      <c r="F231" s="74">
        <v>30000</v>
      </c>
      <c r="G231" s="24"/>
      <c r="H231" s="24">
        <v>9.1199999999999996E-3</v>
      </c>
      <c r="I231" s="24"/>
      <c r="J231" s="24" t="str">
        <f>IF(C58&lt;=A231," ",IF(C58&lt;F231,(C58-F230)*H231,(F231-A231)*H231))</f>
        <v xml:space="preserve"> </v>
      </c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</row>
    <row r="232" spans="1:23" ht="15" hidden="1">
      <c r="A232" s="71">
        <v>30000</v>
      </c>
      <c r="B232" s="71"/>
      <c r="C232" s="68"/>
      <c r="D232" s="68"/>
      <c r="E232" s="70"/>
      <c r="F232" s="74">
        <v>45495</v>
      </c>
      <c r="G232" s="24"/>
      <c r="H232" s="24">
        <v>6.8399999999999997E-3</v>
      </c>
      <c r="I232" s="24"/>
      <c r="J232" s="24" t="str">
        <f>IF(C58&lt;=A232," ",IF(C58&lt;F232,(C58-F231)*H232,(F232-A232)*H232))</f>
        <v xml:space="preserve"> </v>
      </c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</row>
    <row r="233" spans="1:23" ht="15" hidden="1">
      <c r="A233" s="71">
        <v>45495</v>
      </c>
      <c r="B233" s="71"/>
      <c r="C233" s="68"/>
      <c r="D233" s="68"/>
      <c r="E233" s="70"/>
      <c r="F233" s="74">
        <v>64095</v>
      </c>
      <c r="G233" s="24"/>
      <c r="H233" s="24">
        <v>4.5599999999999998E-3</v>
      </c>
      <c r="I233" s="24"/>
      <c r="J233" s="24" t="str">
        <f>IF(C58&lt;=A233," ",IF(C58&lt;F233,(C58-F232)*H233,(F233-A233)*H233))</f>
        <v xml:space="preserve"> </v>
      </c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</row>
    <row r="234" spans="1:23" ht="15" hidden="1">
      <c r="A234" s="71">
        <v>64095</v>
      </c>
      <c r="B234" s="71"/>
      <c r="C234" s="68"/>
      <c r="D234" s="68"/>
      <c r="E234" s="70"/>
      <c r="F234" s="74">
        <v>250095</v>
      </c>
      <c r="G234" s="24"/>
      <c r="H234" s="24">
        <v>2.2799999999999999E-3</v>
      </c>
      <c r="I234" s="24"/>
      <c r="J234" s="24" t="str">
        <f>IF(C58&lt;=A234," ",IF(C58&lt;F234,(C58-F233)*H234,(F234-A234)*H234))</f>
        <v xml:space="preserve"> </v>
      </c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</row>
    <row r="235" spans="1:23" ht="15" hidden="1">
      <c r="A235" s="71">
        <v>250095</v>
      </c>
      <c r="B235" s="71"/>
      <c r="C235" s="68"/>
      <c r="D235" s="68"/>
      <c r="E235" s="70"/>
      <c r="F235" s="74">
        <v>999999999</v>
      </c>
      <c r="G235" s="24"/>
      <c r="H235" s="24">
        <v>4.5600000000000003E-4</v>
      </c>
      <c r="I235" s="24"/>
      <c r="J235" s="24" t="str">
        <f>IF(C58&lt;=A235," ",IF(C58&lt;F235,(C58-F234)*H235,(F235-A235)*H235))</f>
        <v xml:space="preserve"> </v>
      </c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</row>
    <row r="236" spans="1:23" ht="15" hidden="1">
      <c r="A236" s="71">
        <v>10075000</v>
      </c>
      <c r="B236" s="71"/>
      <c r="C236" s="68"/>
      <c r="D236" s="68"/>
      <c r="E236" s="70"/>
      <c r="F236" s="74">
        <v>0</v>
      </c>
      <c r="G236" s="24"/>
      <c r="H236" s="24">
        <v>4.5600000000000003E-4</v>
      </c>
      <c r="I236" s="24" t="str">
        <f>IF($F$137&lt;=A236," E90",IF($F$137&lt;F236,($F$137-F235)*H236,(F236-A236)*H236))</f>
        <v xml:space="preserve"> E90</v>
      </c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</row>
    <row r="237" spans="1:23" ht="15" hidden="1">
      <c r="A237" s="71"/>
      <c r="B237" s="71"/>
      <c r="C237" s="68"/>
      <c r="D237" s="68"/>
      <c r="E237" s="70"/>
      <c r="F237" s="7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</row>
    <row r="238" spans="1:23" ht="15" hidden="1">
      <c r="A238" s="52" t="s">
        <v>28</v>
      </c>
      <c r="B238" s="52"/>
      <c r="C238" s="52"/>
      <c r="D238" s="52"/>
      <c r="E238" s="52"/>
      <c r="F238" s="52"/>
      <c r="G238" s="24"/>
      <c r="H238" s="24"/>
      <c r="I238" s="24">
        <f>SUM(J229:J236)</f>
        <v>0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</row>
    <row r="239" spans="1:23" hidden="1"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</row>
    <row r="240" spans="1:23" hidden="1"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</row>
    <row r="241" spans="1:23" hidden="1"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</row>
    <row r="242" spans="1:23" hidden="1"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</row>
    <row r="243" spans="1:23" hidden="1"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</row>
    <row r="244" spans="1:23" hidden="1"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</row>
    <row r="245" spans="1:23" hidden="1"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</row>
    <row r="246" spans="1:23" hidden="1"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</row>
    <row r="247" spans="1:23" hidden="1">
      <c r="A247" s="28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</row>
    <row r="248" spans="1:23" hidden="1">
      <c r="B248" s="24"/>
      <c r="C248" s="24"/>
      <c r="D248" s="24"/>
      <c r="E248" s="24"/>
      <c r="F248" s="24"/>
      <c r="G248" s="24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4"/>
      <c r="V248" s="24"/>
      <c r="W248" s="24"/>
    </row>
    <row r="249" spans="1:23" hidden="1">
      <c r="A249" s="30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4"/>
      <c r="V249" s="24"/>
      <c r="W249" s="24"/>
    </row>
    <row r="250" spans="1:23" hidden="1">
      <c r="A250" s="30"/>
      <c r="B250" s="13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4"/>
      <c r="V250" s="24"/>
      <c r="W250" s="24"/>
    </row>
    <row r="251" spans="1:23" hidden="1">
      <c r="A251" s="30"/>
      <c r="B251" s="13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4"/>
      <c r="V251" s="24"/>
      <c r="W251" s="24"/>
    </row>
    <row r="252" spans="1:23" hidden="1">
      <c r="A252" s="30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4"/>
      <c r="V252" s="24"/>
      <c r="W252" s="24"/>
    </row>
    <row r="253" spans="1:23" hidden="1">
      <c r="A253" s="30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4"/>
      <c r="V253" s="24"/>
      <c r="W253" s="24"/>
    </row>
    <row r="254" spans="1:23" ht="13.5" hidden="1" thickBot="1">
      <c r="A254" s="30"/>
      <c r="B254" s="29"/>
      <c r="C254" s="29"/>
      <c r="D254" s="29"/>
      <c r="E254" s="29"/>
      <c r="F254" s="29"/>
      <c r="G254" s="29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</row>
    <row r="255" spans="1:23" ht="13.5" hidden="1" thickBot="1">
      <c r="A255" s="7"/>
      <c r="B255" s="31"/>
      <c r="C255" s="25"/>
      <c r="D255" s="25"/>
      <c r="E255" s="25"/>
      <c r="F255" s="25"/>
      <c r="G255" s="25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</row>
    <row r="256" spans="1:23" ht="13.5" hidden="1" thickBot="1">
      <c r="A256" s="7"/>
      <c r="B256" s="7"/>
      <c r="C256" s="7"/>
      <c r="D256" s="7"/>
      <c r="E256" s="32"/>
      <c r="F256" s="32"/>
      <c r="G256" s="32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idden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idden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idden="1">
      <c r="A259" s="7" t="s">
        <v>2</v>
      </c>
      <c r="B259" s="7"/>
      <c r="C259" s="7" t="s">
        <v>24</v>
      </c>
      <c r="D259" s="7" t="s">
        <v>25</v>
      </c>
      <c r="E259" s="7"/>
      <c r="F259" s="20" t="s">
        <v>29</v>
      </c>
      <c r="G259" s="20" t="s">
        <v>29</v>
      </c>
      <c r="H259" s="20" t="s">
        <v>29</v>
      </c>
      <c r="I259" s="20" t="s">
        <v>29</v>
      </c>
      <c r="J259" s="7" t="s">
        <v>29</v>
      </c>
      <c r="K259" s="7" t="s">
        <v>29</v>
      </c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idden="1">
      <c r="A260" s="7"/>
      <c r="B260" s="7"/>
      <c r="C260" s="7"/>
      <c r="D260" s="7">
        <v>525</v>
      </c>
      <c r="E260" s="7"/>
      <c r="F260" s="20" t="s">
        <v>30</v>
      </c>
      <c r="G260" s="20" t="s">
        <v>30</v>
      </c>
      <c r="H260" s="20" t="s">
        <v>30</v>
      </c>
      <c r="I260" s="20" t="s">
        <v>30</v>
      </c>
      <c r="J260" s="7" t="s">
        <v>30</v>
      </c>
      <c r="K260" s="7" t="s">
        <v>30</v>
      </c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idden="1">
      <c r="A261" s="7"/>
      <c r="B261" s="7"/>
      <c r="C261" s="7"/>
      <c r="D261" s="7">
        <v>100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idden="1">
      <c r="A262" s="7"/>
      <c r="B262" s="7"/>
      <c r="C262" s="7"/>
      <c r="D262" s="7">
        <v>675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idden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idden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idden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t="14.25" hidden="1">
      <c r="A266" s="33" t="s">
        <v>26</v>
      </c>
      <c r="B266" s="33"/>
      <c r="C266" s="33" t="s">
        <v>26</v>
      </c>
      <c r="D266" s="34" t="s">
        <v>27</v>
      </c>
      <c r="E266" s="35"/>
      <c r="F266" s="33" t="s">
        <v>7</v>
      </c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t="15" hidden="1">
      <c r="A267" s="36">
        <v>0</v>
      </c>
      <c r="B267" s="37"/>
      <c r="C267" s="36">
        <v>7500</v>
      </c>
      <c r="D267" s="38">
        <v>4.5600000000000002E-2</v>
      </c>
      <c r="E267" s="39"/>
      <c r="F267" s="36">
        <f>IF($B$10&lt;C267,$B$10*D267,C267*D267)</f>
        <v>0</v>
      </c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t="15" hidden="1">
      <c r="A268" s="36">
        <v>7500</v>
      </c>
      <c r="B268" s="37"/>
      <c r="C268" s="36">
        <v>17500</v>
      </c>
      <c r="D268" s="38">
        <v>2.8500000000000001E-2</v>
      </c>
      <c r="E268" s="39"/>
      <c r="F268" s="37" t="str">
        <f t="shared" ref="F268:F273" si="0">IF($B$10&lt;=A268," ",IF($B$10&lt;C268,($B$10-C267)*D268,(C268-A268)*D268))</f>
        <v xml:space="preserve"> </v>
      </c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t="15" hidden="1">
      <c r="A269" s="36">
        <v>17500</v>
      </c>
      <c r="B269" s="37"/>
      <c r="C269" s="36">
        <v>30000</v>
      </c>
      <c r="D269" s="38">
        <v>2.2800000000000001E-2</v>
      </c>
      <c r="E269" s="39"/>
      <c r="F269" s="37" t="str">
        <f t="shared" si="0"/>
        <v xml:space="preserve"> </v>
      </c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t="15" hidden="1">
      <c r="A270" s="36">
        <v>30000</v>
      </c>
      <c r="B270" s="37"/>
      <c r="C270" s="36">
        <v>45495</v>
      </c>
      <c r="D270" s="38">
        <v>1.7100000000000001E-2</v>
      </c>
      <c r="E270" s="39"/>
      <c r="F270" s="37" t="str">
        <f t="shared" si="0"/>
        <v xml:space="preserve"> </v>
      </c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t="15" hidden="1">
      <c r="A271" s="36">
        <v>45495</v>
      </c>
      <c r="B271" s="37"/>
      <c r="C271" s="36">
        <v>64095</v>
      </c>
      <c r="D271" s="38">
        <v>1.14E-2</v>
      </c>
      <c r="E271" s="39"/>
      <c r="F271" s="37" t="str">
        <f t="shared" si="0"/>
        <v xml:space="preserve"> </v>
      </c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t="15" hidden="1">
      <c r="A272" s="36">
        <v>64095</v>
      </c>
      <c r="B272" s="37"/>
      <c r="C272" s="36">
        <v>250095</v>
      </c>
      <c r="D272" s="38">
        <v>5.7000000000000002E-3</v>
      </c>
      <c r="E272" s="39"/>
      <c r="F272" s="37" t="str">
        <f t="shared" si="0"/>
        <v xml:space="preserve"> </v>
      </c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t="15" hidden="1">
      <c r="A273" s="36">
        <v>250095</v>
      </c>
      <c r="B273" s="37"/>
      <c r="C273" s="36">
        <f>$B$10</f>
        <v>0</v>
      </c>
      <c r="D273" s="38">
        <v>5.6999999999999998E-4</v>
      </c>
      <c r="E273" s="39"/>
      <c r="F273" s="37" t="str">
        <f t="shared" si="0"/>
        <v xml:space="preserve"> </v>
      </c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t="15" hidden="1">
      <c r="A274" s="40"/>
      <c r="B274" s="41"/>
      <c r="C274" s="41"/>
      <c r="D274" s="42"/>
      <c r="E274" s="43"/>
      <c r="F274" s="43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t="15" hidden="1">
      <c r="A275" s="33" t="s">
        <v>28</v>
      </c>
      <c r="B275" s="44"/>
      <c r="C275" s="41"/>
      <c r="D275" s="45"/>
      <c r="E275" s="43"/>
      <c r="F275" s="46">
        <f>SUM(F267:F274)</f>
        <v>0</v>
      </c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idden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idden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idden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idden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1:2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1:2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1:2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spans="1:23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spans="1:23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spans="1:23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spans="1:23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spans="1:23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spans="1:23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spans="1:23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spans="1:23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spans="1:23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spans="1: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spans="1:23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spans="1:23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spans="1:23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spans="1:23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spans="1:23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spans="1:23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spans="1:23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spans="1:23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spans="1:23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spans="1:2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spans="1:23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spans="1:23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spans="1:23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spans="1:23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spans="1:23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spans="1:23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spans="1:23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spans="1:23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spans="1:23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spans="1:2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spans="1:23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spans="1:23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spans="1:23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spans="1:23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spans="1:23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spans="1:23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spans="1:23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spans="1:23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spans="1:23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spans="1:2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spans="1:23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spans="1:23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spans="1:23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spans="1:23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spans="1:23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spans="1:23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spans="1:23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spans="1:23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spans="1:23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spans="1:2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spans="1:23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spans="1:23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spans="1:23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spans="1:23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spans="1:23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spans="1:23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spans="1:23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spans="1:23">
      <c r="A371" s="7"/>
      <c r="B371" s="7"/>
      <c r="C371" s="7"/>
      <c r="D371" s="7"/>
      <c r="E371" s="7"/>
      <c r="F371" s="7"/>
      <c r="G371" s="7"/>
    </row>
  </sheetData>
  <sheetProtection algorithmName="SHA-512" hashValue="2lJITT0S29hEhB8L5veXZNbyaCWSqNrRlV2MW1gLVsq+bTwq8nv8jonDjvfG4RmUkkxAt2Ptf4qXKlE3690qBw==" saltValue="b0n+rt+D9YA4GT/L0L/5vQ==" spinCount="100000" sheet="1" objects="1" scenarios="1"/>
  <phoneticPr fontId="0" type="noConversion"/>
  <dataValidations count="8">
    <dataValidation type="list" allowBlank="1" showInputMessage="1" showErrorMessage="1" sqref="B7">
      <formula1>$K$259:$K$260</formula1>
    </dataValidation>
    <dataValidation type="list" allowBlank="1" showInputMessage="1" showErrorMessage="1" sqref="B12">
      <formula1>C133:C134</formula1>
    </dataValidation>
    <dataValidation type="list" allowBlank="1" showInputMessage="1" showErrorMessage="1" sqref="B13">
      <formula1>A133:A171</formula1>
    </dataValidation>
    <dataValidation type="list" allowBlank="1" showInputMessage="1" showErrorMessage="1" sqref="B15">
      <formula1>E133:E134</formula1>
    </dataValidation>
    <dataValidation type="list" allowBlank="1" showInputMessage="1" showErrorMessage="1" sqref="B14">
      <formula1>D133:D134</formula1>
    </dataValidation>
    <dataValidation type="list" allowBlank="1" showInputMessage="1" showErrorMessage="1" sqref="C60">
      <formula1>$B$219:$B$220</formula1>
    </dataValidation>
    <dataValidation type="list" allowBlank="1" showInputMessage="1" showErrorMessage="1" sqref="C44:C45">
      <formula1>$G$86:$G$87</formula1>
    </dataValidation>
    <dataValidation type="list" allowBlank="1" showInputMessage="1" showErrorMessage="1" sqref="C37:C40">
      <formula1>$E$111:$E$112</formula1>
    </dataValidation>
  </dataValidations>
  <hyperlinks>
    <hyperlink ref="C88" r:id="rId1"/>
    <hyperlink ref="C86" r:id="rId2"/>
    <hyperlink ref="B86" r:id="rId3"/>
    <hyperlink ref="B90" r:id="rId4"/>
    <hyperlink ref="B88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VKWBTWBREYNEKRO</vt:lpstr>
      <vt:lpstr>VKWBTWBREYNEKRO!_1._Zegels_Minuut_Brevet</vt:lpstr>
      <vt:lpstr>VKWBTWBREYNEKRO!_2._Registratie_Minuut_Brevet</vt:lpstr>
      <vt:lpstr>VKWBTWBREYNEKRO!_3._Registratie_aanhangsel</vt:lpstr>
      <vt:lpstr>VKWBTWBREYNEKRO!Aard</vt:lpstr>
      <vt:lpstr>VKWBTWBREYNEKRO!Afdrukbereik</vt:lpstr>
      <vt:lpstr>VKWBTWBREYNEKRO!Datum</vt:lpstr>
      <vt:lpstr>VKWBTWBREYNEKRO!KOSTENFICHE</vt:lpstr>
      <vt:lpstr>VKWBTWBREYNEKRO!Rep.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2014-11-15T20:30:28Z</dcterms:modified>
</cp:coreProperties>
</file>