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BTWBREYNELENHV" sheetId="1" r:id="rId1"/>
  </sheets>
  <definedNames>
    <definedName name="_1._Zegels_Minuut_Brevet" localSheetId="0">VKWBTWBREYNELENHV!$A$19:$F$19</definedName>
    <definedName name="_1._Zegels_Minuut_Brevet">#REF!</definedName>
    <definedName name="_10._Tweede_getuigschrift" localSheetId="0">VKWBTWBREYNELENHV!#REF!</definedName>
    <definedName name="_10._Tweede_getuigschrift">#REF!</definedName>
    <definedName name="_11._Kadaster_uittreksel" localSheetId="0">VKWBTWBREYNELENHV!#REF!</definedName>
    <definedName name="_11._Kadaster_uittreksel">#REF!</definedName>
    <definedName name="_12._Getuigen" localSheetId="0">VKWBTWBREYNELENHV!#REF!</definedName>
    <definedName name="_12._Getuigen">#REF!</definedName>
    <definedName name="_13._Allerlei_uitgaven" localSheetId="0">VKWBTWBREYNELENHV!#REF!</definedName>
    <definedName name="_13._Allerlei_uitgaven">#REF!</definedName>
    <definedName name="_14." localSheetId="0">VKWBTWBREYNELENHV!#REF!</definedName>
    <definedName name="_14.">#REF!</definedName>
    <definedName name="_15." localSheetId="0">VKWBTWBREYNELENHV!#REF!</definedName>
    <definedName name="_15.">#REF!</definedName>
    <definedName name="_2._Registratie_Minuut_Brevet" localSheetId="0">VKWBTWBREYNELENHV!$B$22:$G$22</definedName>
    <definedName name="_2._Registratie_Minuut_Brevet">#REF!</definedName>
    <definedName name="_3._Registratie_aanhangsel" localSheetId="0">VKWBTWBREYNELENHV!$E$23:$G$23</definedName>
    <definedName name="_3._Registratie_aanhangsel">#REF!</definedName>
    <definedName name="_4.Zegels_afschrift_grosse" localSheetId="0">VKWBTWBREYNELENHV!#REF!</definedName>
    <definedName name="_4.Zegels_afschrift_grosse">#REF!</definedName>
    <definedName name="_5._Hypotheek__inschr._overschr._doorh." localSheetId="0">VKWBTWBREYNELENHV!#REF!</definedName>
    <definedName name="_5._Hypotheek__inschr._overschr._doorh.">#REF!</definedName>
    <definedName name="_6._Loon_pandbewaarder" localSheetId="0">VKWBTWBREYNELENHV!#REF!</definedName>
    <definedName name="_6._Loon_pandbewaarder">#REF!</definedName>
    <definedName name="_7._Zegels__bord._aanh." localSheetId="0">VKWBTWBREYNELENHV!#REF!</definedName>
    <definedName name="_7._Zegels__bord._aanh.">#REF!</definedName>
    <definedName name="_8._Opzoekingen" localSheetId="0">VKWBTWBREYNELENHV!#REF!</definedName>
    <definedName name="_8._Opzoekingen">#REF!</definedName>
    <definedName name="_9._Hypothecair_getuigschrift" localSheetId="0">VKWBTWBREYNELENHV!#REF!</definedName>
    <definedName name="_9._Hypothecair_getuigschrift">#REF!</definedName>
    <definedName name="Aard" localSheetId="0">VKWBTWBREYNELENHV!$B$4:$F$4</definedName>
    <definedName name="Aard">#REF!</definedName>
    <definedName name="_xlnm.Print_Area" localSheetId="0">VKWBTWBREYNELENHV!$A$1:$E$107</definedName>
    <definedName name="Datum" localSheetId="0">VKWBTWBREYNELENHV!$B$4:$G$50</definedName>
    <definedName name="Datum">#REF!</definedName>
    <definedName name="gemeentelijke_info">#REF!</definedName>
    <definedName name="Kantoor_van_Notaris_J._SIMONART_te_Leuven" localSheetId="0">VKWBTWBREYNELENHV!#REF!</definedName>
    <definedName name="Kantoor_van_Notaris_J._SIMONART_te_Leuven">#REF!</definedName>
    <definedName name="KOSTENFICHE" localSheetId="0">VKWBTWBREYNELENHV!$A$1:$G$50</definedName>
    <definedName name="KOSTENFICHE">#REF!</definedName>
    <definedName name="Last_Row">IF(Values_Entered,Header_Row+Number_of_Payments,Header_Row)</definedName>
    <definedName name="Naam" localSheetId="0">VKWBTWBREYNELENHV!#REF!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VKWBTWBREYNELENHV!$F$4:$F$50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VKWBTWBREYNELENHV!#REF!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VKWBTWBREYNELENHV!$A$3:$G$50</definedName>
  </definedNames>
  <calcPr calcId="152511"/>
</workbook>
</file>

<file path=xl/calcChain.xml><?xml version="1.0" encoding="utf-8"?>
<calcChain xmlns="http://schemas.openxmlformats.org/spreadsheetml/2006/main">
  <c r="B10" i="1" l="1"/>
  <c r="F263" i="1" s="1"/>
  <c r="D21" i="1"/>
  <c r="D23" i="1"/>
  <c r="C56" i="1"/>
  <c r="C64" i="1"/>
  <c r="B67" i="1"/>
  <c r="C72" i="1"/>
  <c r="C75" i="1"/>
  <c r="C78" i="1"/>
  <c r="B91" i="1"/>
  <c r="E148" i="1"/>
  <c r="E156" i="1" s="1"/>
  <c r="E157" i="1" s="1"/>
  <c r="E95" i="1" s="1"/>
  <c r="E100" i="1" s="1"/>
  <c r="E118" i="1"/>
  <c r="F118" i="1"/>
  <c r="F121" i="1" s="1"/>
  <c r="D43" i="1" s="1"/>
  <c r="E119" i="1"/>
  <c r="E122" i="1" s="1"/>
  <c r="D42" i="1" s="1"/>
  <c r="F119" i="1"/>
  <c r="E120" i="1"/>
  <c r="F120" i="1"/>
  <c r="E121" i="1"/>
  <c r="E124" i="1"/>
  <c r="E125" i="1"/>
  <c r="E128" i="1" s="1"/>
  <c r="D45" i="1" s="1"/>
  <c r="F125" i="1"/>
  <c r="E126" i="1"/>
  <c r="F126" i="1"/>
  <c r="E127" i="1"/>
  <c r="F127" i="1"/>
  <c r="F128" i="1" s="1"/>
  <c r="D46" i="1" s="1"/>
  <c r="C140" i="1"/>
  <c r="C142" i="1" s="1"/>
  <c r="C98" i="1" s="1"/>
  <c r="D140" i="1"/>
  <c r="E140" i="1"/>
  <c r="A143" i="1"/>
  <c r="B68" i="1" s="1"/>
  <c r="D200" i="1" s="1"/>
  <c r="C69" i="1" s="1"/>
  <c r="A171" i="1" s="1"/>
  <c r="C80" i="1" s="1"/>
  <c r="E81" i="1" s="1"/>
  <c r="C146" i="1"/>
  <c r="E150" i="1"/>
  <c r="E151" i="1"/>
  <c r="E153" i="1"/>
  <c r="G165" i="1"/>
  <c r="C167" i="1"/>
  <c r="D167" i="1"/>
  <c r="C204" i="1"/>
  <c r="F205" i="1"/>
  <c r="F206" i="1"/>
  <c r="E214" i="1" s="1"/>
  <c r="E63" i="1" s="1"/>
  <c r="F207" i="1"/>
  <c r="F208" i="1"/>
  <c r="F209" i="1"/>
  <c r="F210" i="1"/>
  <c r="F211" i="1"/>
  <c r="C212" i="1"/>
  <c r="E212" i="1"/>
  <c r="C221" i="1"/>
  <c r="F226" i="1" s="1"/>
  <c r="C222" i="1"/>
  <c r="C223" i="1"/>
  <c r="D223" i="1"/>
  <c r="F223" i="1"/>
  <c r="C224" i="1"/>
  <c r="D224" i="1"/>
  <c r="F224" i="1"/>
  <c r="F225" i="1"/>
  <c r="F227" i="1"/>
  <c r="F228" i="1"/>
  <c r="F266" i="1"/>
  <c r="B281" i="1"/>
  <c r="C281" i="1"/>
  <c r="B282" i="1"/>
  <c r="C282" i="1"/>
  <c r="F298" i="1"/>
  <c r="E154" i="1"/>
  <c r="E149" i="1"/>
  <c r="E152" i="1"/>
  <c r="F264" i="1"/>
  <c r="F299" i="1"/>
  <c r="F300" i="1"/>
  <c r="F265" i="1"/>
  <c r="E80" i="1" l="1"/>
  <c r="E82" i="1" s="1"/>
  <c r="E64" i="1"/>
  <c r="E84" i="1" s="1"/>
  <c r="F230" i="1"/>
  <c r="D20" i="1" s="1"/>
  <c r="D26" i="1" s="1"/>
  <c r="D50" i="1"/>
  <c r="E101" i="1"/>
  <c r="E102" i="1" s="1"/>
  <c r="E106" i="1" s="1"/>
  <c r="C100" i="1"/>
  <c r="E104" i="1"/>
  <c r="F304" i="1"/>
  <c r="F302" i="1"/>
  <c r="F303" i="1"/>
  <c r="F262" i="1"/>
  <c r="F301" i="1"/>
  <c r="F306" i="1" s="1"/>
  <c r="D19" i="1" s="1"/>
  <c r="D27" i="1" s="1"/>
  <c r="F260" i="1"/>
  <c r="F268" i="1" s="1"/>
  <c r="F261" i="1"/>
  <c r="C304" i="1"/>
  <c r="D29" i="1" l="1"/>
  <c r="D48" i="1" s="1"/>
  <c r="E86" i="1"/>
</calcChain>
</file>

<file path=xl/sharedStrings.xml><?xml version="1.0" encoding="utf-8"?>
<sst xmlns="http://schemas.openxmlformats.org/spreadsheetml/2006/main" count="201" uniqueCount="127">
  <si>
    <t>Dossier</t>
  </si>
  <si>
    <t>Cliënt</t>
  </si>
  <si>
    <t>Prijs</t>
  </si>
  <si>
    <t>Lasten:</t>
  </si>
  <si>
    <t>Betaald voorschot</t>
  </si>
  <si>
    <t>------------------------------------------------------------------------------------------------</t>
  </si>
  <si>
    <t>Kosten ten laste van de koper</t>
  </si>
  <si>
    <t>Ereloon</t>
  </si>
  <si>
    <t xml:space="preserve">Registratie </t>
  </si>
  <si>
    <t>Registratie aanhangsel</t>
  </si>
  <si>
    <t>Overschrijving (rols)</t>
  </si>
  <si>
    <t>FMA</t>
  </si>
  <si>
    <t>Totaal uitgaven voor koper:</t>
  </si>
  <si>
    <t>BTW</t>
  </si>
  <si>
    <t>Algemeen totaal:</t>
  </si>
  <si>
    <t>Kosten ten laste van de verkoper</t>
  </si>
  <si>
    <t>Stedenbouw</t>
  </si>
  <si>
    <t>Makelaar</t>
  </si>
  <si>
    <t>Meting</t>
  </si>
  <si>
    <t>Algemeen totaal verkoper: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</si>
  <si>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</si>
  <si>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</si>
  <si>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</si>
  <si>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</si>
  <si>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</si>
  <si>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</si>
  <si>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</si>
  <si>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</si>
  <si>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</si>
  <si>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ja</t>
  </si>
  <si>
    <t>neen</t>
  </si>
  <si>
    <t>Grondwaarde</t>
  </si>
  <si>
    <t>Gebouwen</t>
  </si>
  <si>
    <t>Zelfde eigenaar?</t>
  </si>
  <si>
    <t>Prijs van de reeds voltooide gebouwen bij akte</t>
  </si>
  <si>
    <t>Basis voor erelonen</t>
  </si>
  <si>
    <t>Aandeel basisakte of verkavelingsakte</t>
  </si>
  <si>
    <t>Boekje</t>
  </si>
  <si>
    <t>Klein beschrijf?</t>
  </si>
  <si>
    <t>NVT</t>
  </si>
  <si>
    <t>Arlon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</si>
  <si>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</si>
  <si>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</si>
  <si>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</si>
  <si>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</si>
  <si>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</si>
  <si>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</si>
  <si>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</si>
  <si>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</si>
  <si>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Eghezée</t>
  </si>
  <si>
    <t>Erezée</t>
  </si>
  <si>
    <t>Gembloux</t>
  </si>
  <si>
    <t xml:space="preserve">Grez-Doiceau </t>
  </si>
  <si>
    <t>Hélécine</t>
  </si>
  <si>
    <t>Incourt</t>
  </si>
  <si>
    <t>Ittre</t>
  </si>
  <si>
    <t>Jalhay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</si>
  <si>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</si>
  <si>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</si>
  <si>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</si>
  <si>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</si>
  <si>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</si>
  <si>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</si>
  <si>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Orp-Jauche</t>
  </si>
  <si>
    <t>Ottignies-Louvain-la-Neuve</t>
  </si>
  <si>
    <t xml:space="preserve">Ramillies </t>
  </si>
  <si>
    <t>Rixensart</t>
  </si>
  <si>
    <t>Thimister-Clermont</t>
  </si>
  <si>
    <t>Villers-la-Ville</t>
  </si>
  <si>
    <t>Walhain</t>
  </si>
  <si>
    <t>Waterloo</t>
  </si>
  <si>
    <t>Wavre</t>
  </si>
  <si>
    <t>Gebied met vastgoeddruk?</t>
  </si>
  <si>
    <t xml:space="preserve">KRO Soc. Wall. of Fam. Nombr.? </t>
  </si>
  <si>
    <t>Sociaal krediet voor minstens 50%?</t>
  </si>
  <si>
    <t>Bodemattesten (?)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</si>
  <si>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</si>
  <si>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</si>
  <si>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</si>
  <si>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</si>
  <si>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</si>
  <si>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</si>
  <si>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</si>
  <si>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Basis</t>
  </si>
  <si>
    <t>HYPOTHECAIRE LENING</t>
  </si>
  <si>
    <t>Basis registratie</t>
  </si>
  <si>
    <t>Hoofdsom</t>
  </si>
  <si>
    <t>Aanhor.</t>
  </si>
  <si>
    <t>Basis ereloon</t>
  </si>
  <si>
    <t>Lening sociaal tarief?</t>
  </si>
  <si>
    <t>Registratie Minuut-Brevet</t>
  </si>
  <si>
    <t>(BTW)</t>
  </si>
  <si>
    <t>Registratie bijlagen</t>
  </si>
  <si>
    <t>Hypotheekrecht</t>
  </si>
  <si>
    <t>Loon pandbewaarder</t>
  </si>
  <si>
    <t>Provisie hypotheken</t>
  </si>
  <si>
    <t>Recht op geschriften</t>
  </si>
  <si>
    <t>Dossierkosten</t>
  </si>
  <si>
    <t>Stedenbouwkundige info of uittreksel</t>
  </si>
  <si>
    <t>Totaal uitgaven</t>
  </si>
  <si>
    <t>Totaal</t>
  </si>
  <si>
    <t>Tot. Uitg.</t>
  </si>
  <si>
    <t>Samen</t>
  </si>
  <si>
    <t>Totaal:</t>
  </si>
  <si>
    <t>Tarief</t>
  </si>
  <si>
    <t>Ereloon G</t>
  </si>
  <si>
    <t>Lening</t>
  </si>
  <si>
    <t>Hypothecaire volmacht</t>
  </si>
  <si>
    <t>HYPOTHECAIRE VOLMACHT</t>
  </si>
  <si>
    <t>Hoeveel hypotheekkantoren?</t>
  </si>
  <si>
    <t>Registratierecht akte</t>
  </si>
  <si>
    <t>Registratierecht bijlagen</t>
  </si>
  <si>
    <t>Donceel</t>
  </si>
  <si>
    <t>Genappe</t>
  </si>
  <si>
    <t>Perwez</t>
  </si>
  <si>
    <t>Profondeville</t>
  </si>
  <si>
    <t>Sainte-Ode</t>
  </si>
  <si>
    <t>Silly</t>
  </si>
  <si>
    <t>Inschrijving op hoeveel hypotheekkantoren?</t>
  </si>
  <si>
    <t>koper</t>
  </si>
  <si>
    <t>verkoper</t>
  </si>
  <si>
    <t>Kosten ten laste van de verkoper of de koper (maak de keuze)</t>
  </si>
  <si>
    <t>Andere</t>
  </si>
  <si>
    <t>Totaal bijkomende kosten koper</t>
  </si>
  <si>
    <t>Totaal bijkomende kosten verkoper:</t>
  </si>
  <si>
    <t>Algemeen totaal koper:</t>
  </si>
  <si>
    <t>VERKOOP ONROEREND GOED WET BREYNE - WALLONIE + LENING + HYPOTHECAIRE VOLMACHT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</si>
</sst>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_-* #,##0.00\ [$EUR]_-;\-* #,##0.00\ [$EUR]_-;_-* &quot;-&quot;??\ [$EUR]_-;_-@_-"/>
    <numFmt numFmtId="168" formatCode="#,##0.00\ [$EUR]"/>
    <numFmt numFmtId="169" formatCode="#,##0&quot; BF&quot;;\-#,##0&quot; BF&quot;"/>
    <numFmt numFmtId="170" formatCode="0.000%"/>
    <numFmt numFmtId="171" formatCode="#.##000"/>
    <numFmt numFmtId="172" formatCode="_-* #,##0\ _F_B_-;\-* #,##0\ _F_B_-;_-* &quot;-&quot;\ _F_B_-;_-@_-"/>
    <numFmt numFmtId="173" formatCode="\$#,#00"/>
    <numFmt numFmtId="174" formatCode="_-* #,##0\ &quot;FB&quot;_-;\-* #,##0\ &quot;FB&quot;_-;_-* &quot;-&quot;\ &quot;FB&quot;_-;_-@_-"/>
    <numFmt numFmtId="175" formatCode="m\o\n\t\h\ d\,\ \y\y\y\y"/>
    <numFmt numFmtId="176" formatCode="#,#00"/>
    <numFmt numFmtId="177" formatCode="#,"/>
    <numFmt numFmtId="178" formatCode="%#,#00"/>
    <numFmt numFmtId="179" formatCode="#,##0.00\ &quot;€&quot;"/>
    <numFmt numFmtId="180" formatCode="#,##0.00_ ;\-#,##0.00\ "/>
    <numFmt numFmtId="181" formatCode="#,##0.0000000"/>
  </numFmts>
  <fonts count="19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Futura Bk BT"/>
      <family val="2"/>
    </font>
    <font>
      <b/>
      <sz val="10"/>
      <color indexed="9"/>
      <name val="Arial"/>
      <family val="2"/>
    </font>
    <font>
      <sz val="12"/>
      <name val="Times New Roman"/>
      <family val="1"/>
    </font>
    <font>
      <sz val="10"/>
      <color indexed="9"/>
      <name val="Arial"/>
      <family val="2"/>
    </font>
    <font>
      <b/>
      <sz val="16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3DE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1" fontId="8" fillId="0" borderId="0">
      <protection locked="0"/>
    </xf>
    <xf numFmtId="172" fontId="1" fillId="0" borderId="0" applyFont="0" applyFill="0" applyBorder="0" applyAlignment="0" applyProtection="0"/>
    <xf numFmtId="173" fontId="8" fillId="0" borderId="0">
      <protection locked="0"/>
    </xf>
    <xf numFmtId="174" fontId="1" fillId="0" borderId="0" applyFont="0" applyFill="0" applyBorder="0" applyAlignment="0" applyProtection="0"/>
    <xf numFmtId="175" fontId="8" fillId="0" borderId="0">
      <protection locked="0"/>
    </xf>
    <xf numFmtId="176" fontId="8" fillId="0" borderId="0">
      <protection locked="0"/>
    </xf>
    <xf numFmtId="177" fontId="9" fillId="0" borderId="0">
      <protection locked="0"/>
    </xf>
    <xf numFmtId="177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8" fontId="8" fillId="0" borderId="0">
      <protection locked="0"/>
    </xf>
    <xf numFmtId="0" fontId="10" fillId="0" borderId="0"/>
    <xf numFmtId="0" fontId="17" fillId="0" borderId="0"/>
    <xf numFmtId="0" fontId="1" fillId="0" borderId="0"/>
    <xf numFmtId="0" fontId="17" fillId="0" borderId="0"/>
    <xf numFmtId="177" fontId="8" fillId="0" borderId="1">
      <protection locked="0"/>
    </xf>
    <xf numFmtId="0" fontId="18" fillId="0" borderId="12" applyNumberFormat="0" applyFill="0" applyAlignment="0" applyProtection="0"/>
  </cellStyleXfs>
  <cellXfs count="139">
    <xf numFmtId="0" fontId="0" fillId="0" borderId="0" xfId="0"/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7" fontId="1" fillId="2" borderId="0" xfId="13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6" fontId="1" fillId="2" borderId="0" xfId="13" applyNumberFormat="1" applyFont="1" applyFill="1" applyBorder="1" applyAlignment="1" applyProtection="1"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0" fontId="2" fillId="2" borderId="2" xfId="13" applyFont="1" applyFill="1" applyBorder="1" applyAlignment="1" applyProtection="1">
      <alignment horizontal="left"/>
      <protection hidden="1"/>
    </xf>
    <xf numFmtId="167" fontId="1" fillId="2" borderId="0" xfId="13" applyNumberForma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167" fontId="1" fillId="2" borderId="0" xfId="13" applyNumberFormat="1" applyFill="1" applyBorder="1" applyProtection="1">
      <protection hidden="1"/>
    </xf>
    <xf numFmtId="0" fontId="1" fillId="2" borderId="0" xfId="13" applyFont="1" applyFill="1" applyProtection="1">
      <protection hidden="1"/>
    </xf>
    <xf numFmtId="167" fontId="1" fillId="2" borderId="0" xfId="13" applyNumberFormat="1" applyFill="1" applyProtection="1">
      <protection hidden="1"/>
    </xf>
    <xf numFmtId="0" fontId="3" fillId="2" borderId="0" xfId="9" applyFill="1" applyAlignment="1" applyProtection="1"/>
    <xf numFmtId="0" fontId="3" fillId="2" borderId="0" xfId="9" applyFill="1" applyAlignment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167" fontId="1" fillId="2" borderId="0" xfId="13" applyNumberFormat="1" applyFont="1" applyFill="1" applyProtection="1">
      <protection hidden="1"/>
    </xf>
    <xf numFmtId="0" fontId="12" fillId="2" borderId="0" xfId="12" applyFont="1" applyFill="1"/>
    <xf numFmtId="0" fontId="4" fillId="2" borderId="0" xfId="13" applyFont="1" applyFill="1"/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0" xfId="13" quotePrefix="1" applyNumberFormat="1" applyFont="1" applyFill="1" applyAlignment="1" applyProtection="1">
      <alignment horizontal="left"/>
      <protection hidden="1"/>
    </xf>
    <xf numFmtId="3" fontId="1" fillId="2" borderId="3" xfId="13" applyNumberFormat="1" applyFont="1" applyFill="1" applyBorder="1" applyProtection="1">
      <protection hidden="1"/>
    </xf>
    <xf numFmtId="169" fontId="5" fillId="2" borderId="4" xfId="13" applyNumberFormat="1" applyFont="1" applyFill="1" applyBorder="1" applyAlignment="1" applyProtection="1">
      <alignment horizontal="center"/>
      <protection hidden="1"/>
    </xf>
    <xf numFmtId="0" fontId="5" fillId="2" borderId="4" xfId="13" applyFont="1" applyFill="1" applyBorder="1" applyAlignment="1" applyProtection="1">
      <alignment horizontal="center"/>
      <protection hidden="1"/>
    </xf>
    <xf numFmtId="0" fontId="5" fillId="2" borderId="5" xfId="13" applyFont="1" applyFill="1" applyBorder="1" applyAlignment="1" applyProtection="1">
      <alignment horizontal="center"/>
      <protection hidden="1"/>
    </xf>
    <xf numFmtId="168" fontId="6" fillId="2" borderId="4" xfId="13" applyNumberFormat="1" applyFont="1" applyFill="1" applyBorder="1" applyProtection="1">
      <protection hidden="1"/>
    </xf>
    <xf numFmtId="169" fontId="6" fillId="2" borderId="4" xfId="13" applyNumberFormat="1" applyFont="1" applyFill="1" applyBorder="1" applyProtection="1">
      <protection hidden="1"/>
    </xf>
    <xf numFmtId="170" fontId="6" fillId="2" borderId="4" xfId="13" applyNumberFormat="1" applyFont="1" applyFill="1" applyBorder="1" applyProtection="1">
      <protection hidden="1"/>
    </xf>
    <xf numFmtId="170" fontId="6" fillId="2" borderId="5" xfId="13" applyNumberFormat="1" applyFont="1" applyFill="1" applyBorder="1" applyProtection="1">
      <protection hidden="1"/>
    </xf>
    <xf numFmtId="0" fontId="6" fillId="2" borderId="6" xfId="13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0" fontId="7" fillId="2" borderId="7" xfId="13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69" fontId="5" fillId="2" borderId="0" xfId="13" applyNumberFormat="1" applyFont="1" applyFill="1" applyBorder="1" applyAlignment="1" applyProtection="1">
      <alignment horizontal="center"/>
      <protection hidden="1"/>
    </xf>
    <xf numFmtId="0" fontId="6" fillId="2" borderId="7" xfId="13" applyFont="1" applyFill="1" applyBorder="1" applyProtection="1">
      <protection hidden="1"/>
    </xf>
    <xf numFmtId="168" fontId="5" fillId="2" borderId="4" xfId="13" applyNumberFormat="1" applyFont="1" applyFill="1" applyBorder="1" applyProtection="1">
      <protection hidden="1"/>
    </xf>
    <xf numFmtId="0" fontId="13" fillId="3" borderId="8" xfId="13" applyFont="1" applyFill="1" applyBorder="1" applyAlignment="1" applyProtection="1">
      <alignment horizontal="left"/>
      <protection hidden="1"/>
    </xf>
    <xf numFmtId="0" fontId="2" fillId="4" borderId="9" xfId="13" applyFont="1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/>
    <xf numFmtId="0" fontId="0" fillId="2" borderId="0" xfId="0" applyFill="1" applyProtection="1">
      <protection hidden="1"/>
    </xf>
    <xf numFmtId="3" fontId="1" fillId="2" borderId="0" xfId="0" applyNumberFormat="1" applyFont="1" applyFill="1" applyProtection="1">
      <protection hidden="1"/>
    </xf>
    <xf numFmtId="0" fontId="14" fillId="2" borderId="0" xfId="0" applyFont="1" applyFill="1" applyProtection="1">
      <protection hidden="1"/>
    </xf>
    <xf numFmtId="180" fontId="0" fillId="2" borderId="0" xfId="0" applyNumberFormat="1" applyFill="1" applyBorder="1" applyAlignment="1" applyProtection="1">
      <alignment horizontal="right"/>
      <protection hidden="1"/>
    </xf>
    <xf numFmtId="4" fontId="1" fillId="2" borderId="0" xfId="0" applyNumberFormat="1" applyFont="1" applyFill="1" applyProtection="1">
      <protection hidden="1"/>
    </xf>
    <xf numFmtId="167" fontId="0" fillId="2" borderId="0" xfId="0" applyNumberFormat="1" applyFill="1" applyBorder="1" applyAlignment="1" applyProtection="1">
      <alignment horizontal="left"/>
      <protection hidden="1"/>
    </xf>
    <xf numFmtId="3" fontId="1" fillId="2" borderId="0" xfId="0" quotePrefix="1" applyNumberFormat="1" applyFont="1" applyFill="1" applyAlignment="1" applyProtection="1">
      <alignment horizontal="left"/>
      <protection hidden="1"/>
    </xf>
    <xf numFmtId="3" fontId="1" fillId="2" borderId="0" xfId="0" applyNumberFormat="1" applyFont="1" applyFill="1" applyBorder="1" applyProtection="1">
      <protection hidden="1"/>
    </xf>
    <xf numFmtId="169" fontId="5" fillId="2" borderId="4" xfId="0" applyNumberFormat="1" applyFont="1" applyFill="1" applyBorder="1" applyAlignment="1" applyProtection="1">
      <alignment horizontal="center"/>
      <protection hidden="1"/>
    </xf>
    <xf numFmtId="0" fontId="5" fillId="2" borderId="4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168" fontId="6" fillId="2" borderId="4" xfId="0" applyNumberFormat="1" applyFont="1" applyFill="1" applyBorder="1" applyProtection="1">
      <protection hidden="1"/>
    </xf>
    <xf numFmtId="169" fontId="6" fillId="2" borderId="4" xfId="0" applyNumberFormat="1" applyFont="1" applyFill="1" applyBorder="1" applyProtection="1">
      <protection hidden="1"/>
    </xf>
    <xf numFmtId="170" fontId="6" fillId="2" borderId="4" xfId="0" applyNumberFormat="1" applyFont="1" applyFill="1" applyBorder="1" applyProtection="1">
      <protection hidden="1"/>
    </xf>
    <xf numFmtId="170" fontId="6" fillId="2" borderId="5" xfId="0" applyNumberFormat="1" applyFont="1" applyFill="1" applyBorder="1" applyProtection="1">
      <protection hidden="1"/>
    </xf>
    <xf numFmtId="0" fontId="6" fillId="2" borderId="6" xfId="0" applyFont="1" applyFill="1" applyBorder="1" applyProtection="1">
      <protection hidden="1"/>
    </xf>
    <xf numFmtId="0" fontId="6" fillId="2" borderId="0" xfId="0" applyFont="1" applyFill="1" applyBorder="1" applyProtection="1">
      <protection hidden="1"/>
    </xf>
    <xf numFmtId="0" fontId="7" fillId="2" borderId="7" xfId="0" applyFont="1" applyFill="1" applyBorder="1" applyProtection="1">
      <protection hidden="1"/>
    </xf>
    <xf numFmtId="0" fontId="6" fillId="2" borderId="0" xfId="0" applyFont="1" applyFill="1" applyProtection="1">
      <protection hidden="1"/>
    </xf>
    <xf numFmtId="169" fontId="5" fillId="2" borderId="0" xfId="0" applyNumberFormat="1" applyFont="1" applyFill="1" applyBorder="1" applyAlignment="1" applyProtection="1">
      <alignment horizontal="center"/>
      <protection hidden="1"/>
    </xf>
    <xf numFmtId="0" fontId="6" fillId="2" borderId="7" xfId="0" applyFont="1" applyFill="1" applyBorder="1" applyProtection="1">
      <protection hidden="1"/>
    </xf>
    <xf numFmtId="168" fontId="5" fillId="2" borderId="4" xfId="0" applyNumberFormat="1" applyFont="1" applyFill="1" applyBorder="1" applyProtection="1">
      <protection hidden="1"/>
    </xf>
    <xf numFmtId="165" fontId="1" fillId="2" borderId="0" xfId="13" applyNumberFormat="1" applyFill="1" applyBorder="1" applyAlignment="1" applyProtection="1">
      <protection hidden="1"/>
    </xf>
    <xf numFmtId="165" fontId="1" fillId="2" borderId="0" xfId="13" applyNumberFormat="1" applyFill="1"/>
    <xf numFmtId="0" fontId="15" fillId="2" borderId="0" xfId="13" applyFont="1" applyFill="1" applyBorder="1" applyAlignment="1" applyProtection="1">
      <alignment horizontal="left"/>
      <protection hidden="1"/>
    </xf>
    <xf numFmtId="0" fontId="1" fillId="3" borderId="8" xfId="13" applyNumberFormat="1" applyFill="1" applyBorder="1" applyAlignment="1" applyProtection="1">
      <protection hidden="1"/>
    </xf>
    <xf numFmtId="166" fontId="1" fillId="3" borderId="8" xfId="13" applyNumberFormat="1" applyFill="1" applyBorder="1" applyAlignment="1" applyProtection="1">
      <protection hidden="1"/>
    </xf>
    <xf numFmtId="181" fontId="1" fillId="2" borderId="0" xfId="13" applyNumberFormat="1" applyFont="1" applyFill="1"/>
    <xf numFmtId="0" fontId="1" fillId="5" borderId="0" xfId="0" applyFont="1" applyFill="1" applyProtection="1">
      <protection hidden="1"/>
    </xf>
    <xf numFmtId="0" fontId="14" fillId="5" borderId="0" xfId="0" applyFont="1" applyFill="1" applyProtection="1">
      <protection hidden="1"/>
    </xf>
    <xf numFmtId="0" fontId="11" fillId="2" borderId="0" xfId="0" applyFont="1" applyFill="1" applyBorder="1" applyAlignment="1" applyProtection="1">
      <alignment horizontal="left"/>
      <protection hidden="1"/>
    </xf>
    <xf numFmtId="3" fontId="1" fillId="6" borderId="0" xfId="0" applyNumberFormat="1" applyFont="1" applyFill="1" applyProtection="1"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0" fontId="1" fillId="2" borderId="0" xfId="0" applyFont="1" applyFill="1" applyProtection="1">
      <protection hidden="1"/>
    </xf>
    <xf numFmtId="179" fontId="1" fillId="2" borderId="0" xfId="13" applyNumberFormat="1" applyFill="1" applyBorder="1" applyAlignment="1" applyProtection="1">
      <alignment horizontal="right"/>
      <protection hidden="1"/>
    </xf>
    <xf numFmtId="164" fontId="1" fillId="2" borderId="0" xfId="0" applyNumberFormat="1" applyFont="1" applyFill="1" applyAlignment="1" applyProtection="1">
      <alignment horizontal="right"/>
      <protection hidden="1"/>
    </xf>
    <xf numFmtId="179" fontId="0" fillId="2" borderId="0" xfId="0" applyNumberFormat="1" applyFill="1" applyBorder="1" applyAlignment="1" applyProtection="1">
      <alignment horizontal="right"/>
      <protection hidden="1"/>
    </xf>
    <xf numFmtId="179" fontId="2" fillId="4" borderId="9" xfId="0" applyNumberFormat="1" applyFont="1" applyFill="1" applyBorder="1" applyAlignment="1" applyProtection="1">
      <alignment horizontal="right"/>
      <protection hidden="1"/>
    </xf>
    <xf numFmtId="166" fontId="1" fillId="9" borderId="8" xfId="13" applyNumberFormat="1" applyFill="1" applyBorder="1" applyAlignment="1" applyProtection="1">
      <protection hidden="1"/>
    </xf>
    <xf numFmtId="0" fontId="1" fillId="10" borderId="0" xfId="13" applyFill="1" applyBorder="1" applyAlignment="1" applyProtection="1">
      <alignment horizontal="left"/>
      <protection hidden="1"/>
    </xf>
    <xf numFmtId="166" fontId="1" fillId="11" borderId="10" xfId="13" applyNumberFormat="1" applyFont="1" applyFill="1" applyBorder="1" applyAlignment="1" applyProtection="1">
      <alignment horizontal="left"/>
      <protection hidden="1"/>
    </xf>
    <xf numFmtId="0" fontId="2" fillId="11" borderId="0" xfId="13" applyFont="1" applyFill="1" applyBorder="1" applyAlignment="1" applyProtection="1">
      <alignment horizontal="left"/>
      <protection hidden="1"/>
    </xf>
    <xf numFmtId="0" fontId="1" fillId="11" borderId="0" xfId="13" applyFill="1"/>
    <xf numFmtId="0" fontId="1" fillId="11" borderId="10" xfId="13" applyFont="1" applyFill="1" applyBorder="1" applyAlignment="1" applyProtection="1">
      <alignment horizontal="left"/>
      <protection hidden="1"/>
    </xf>
    <xf numFmtId="0" fontId="1" fillId="11" borderId="0" xfId="13" applyFill="1" applyBorder="1" applyAlignment="1" applyProtection="1">
      <alignment horizontal="left"/>
      <protection hidden="1"/>
    </xf>
    <xf numFmtId="0" fontId="1" fillId="11" borderId="10" xfId="13" applyFont="1" applyFill="1" applyBorder="1" applyProtection="1">
      <protection hidden="1"/>
    </xf>
    <xf numFmtId="0" fontId="1" fillId="11" borderId="11" xfId="13" applyFont="1" applyFill="1" applyBorder="1" applyAlignment="1" applyProtection="1">
      <alignment horizontal="left"/>
      <protection hidden="1"/>
    </xf>
    <xf numFmtId="0" fontId="1" fillId="11" borderId="2" xfId="13" applyFill="1" applyBorder="1" applyAlignment="1" applyProtection="1">
      <alignment horizontal="left"/>
      <protection hidden="1"/>
    </xf>
    <xf numFmtId="0" fontId="2" fillId="12" borderId="9" xfId="0" applyFont="1" applyFill="1" applyBorder="1" applyAlignment="1" applyProtection="1">
      <alignment horizontal="left"/>
      <protection hidden="1"/>
    </xf>
    <xf numFmtId="0" fontId="2" fillId="11" borderId="11" xfId="0" applyFont="1" applyFill="1" applyBorder="1" applyAlignment="1" applyProtection="1">
      <alignment horizontal="left"/>
      <protection hidden="1"/>
    </xf>
    <xf numFmtId="0" fontId="2" fillId="11" borderId="9" xfId="0" applyFont="1" applyFill="1" applyBorder="1" applyAlignment="1" applyProtection="1">
      <alignment horizontal="left"/>
      <protection hidden="1"/>
    </xf>
    <xf numFmtId="0" fontId="1" fillId="11" borderId="10" xfId="0" applyFont="1" applyFill="1" applyBorder="1" applyAlignment="1" applyProtection="1">
      <alignment horizontal="left"/>
      <protection hidden="1"/>
    </xf>
    <xf numFmtId="0" fontId="0" fillId="11" borderId="0" xfId="0" applyFill="1" applyBorder="1" applyAlignment="1" applyProtection="1">
      <alignment horizontal="left"/>
      <protection hidden="1"/>
    </xf>
    <xf numFmtId="164" fontId="1" fillId="11" borderId="0" xfId="0" applyNumberFormat="1" applyFont="1" applyFill="1" applyAlignment="1" applyProtection="1">
      <alignment horizontal="right"/>
      <protection hidden="1"/>
    </xf>
    <xf numFmtId="0" fontId="1" fillId="11" borderId="0" xfId="0" applyFont="1" applyFill="1" applyBorder="1" applyAlignment="1" applyProtection="1">
      <alignment horizontal="left"/>
      <protection hidden="1"/>
    </xf>
    <xf numFmtId="0" fontId="1" fillId="11" borderId="10" xfId="0" applyFont="1" applyFill="1" applyBorder="1" applyProtection="1">
      <protection hidden="1"/>
    </xf>
    <xf numFmtId="179" fontId="2" fillId="12" borderId="9" xfId="0" applyNumberFormat="1" applyFont="1" applyFill="1" applyBorder="1" applyAlignment="1" applyProtection="1">
      <alignment horizontal="right"/>
      <protection hidden="1"/>
    </xf>
    <xf numFmtId="165" fontId="1" fillId="11" borderId="0" xfId="13" applyNumberFormat="1" applyFill="1" applyBorder="1" applyAlignment="1" applyProtection="1">
      <protection hidden="1"/>
    </xf>
    <xf numFmtId="165" fontId="1" fillId="13" borderId="0" xfId="13" applyNumberFormat="1" applyFill="1" applyBorder="1" applyAlignment="1" applyProtection="1">
      <protection hidden="1"/>
    </xf>
    <xf numFmtId="165" fontId="1" fillId="14" borderId="9" xfId="13" applyNumberFormat="1" applyFill="1" applyBorder="1"/>
    <xf numFmtId="164" fontId="1" fillId="15" borderId="0" xfId="0" applyNumberFormat="1" applyFont="1" applyFill="1" applyAlignment="1" applyProtection="1">
      <alignment horizontal="right"/>
      <protection locked="0"/>
    </xf>
    <xf numFmtId="0" fontId="0" fillId="7" borderId="0" xfId="0" applyFill="1" applyBorder="1" applyAlignment="1" applyProtection="1">
      <alignment horizontal="center"/>
      <protection locked="0"/>
    </xf>
    <xf numFmtId="164" fontId="1" fillId="8" borderId="0" xfId="0" applyNumberFormat="1" applyFont="1" applyFill="1" applyAlignment="1" applyProtection="1">
      <alignment horizontal="right"/>
      <protection locked="0"/>
    </xf>
    <xf numFmtId="165" fontId="1" fillId="16" borderId="0" xfId="13" applyNumberFormat="1" applyFill="1" applyBorder="1" applyAlignment="1" applyProtection="1">
      <protection locked="0"/>
    </xf>
    <xf numFmtId="0" fontId="1" fillId="10" borderId="0" xfId="13" applyFill="1" applyAlignment="1" applyProtection="1">
      <alignment horizontal="center"/>
      <protection locked="0"/>
    </xf>
    <xf numFmtId="0" fontId="1" fillId="10" borderId="0" xfId="13" applyNumberFormat="1" applyFill="1" applyBorder="1" applyAlignment="1" applyProtection="1">
      <alignment horizontal="center"/>
      <protection locked="0"/>
    </xf>
    <xf numFmtId="0" fontId="1" fillId="7" borderId="0" xfId="13" applyFont="1" applyFill="1" applyBorder="1" applyAlignment="1" applyProtection="1">
      <alignment horizontal="left"/>
      <protection locked="0"/>
    </xf>
    <xf numFmtId="165" fontId="1" fillId="2" borderId="0" xfId="13" applyNumberFormat="1" applyFill="1" applyAlignment="1">
      <alignment horizontal="right"/>
    </xf>
    <xf numFmtId="0" fontId="1" fillId="2" borderId="0" xfId="13" applyFill="1" applyAlignment="1">
      <alignment horizontal="right"/>
    </xf>
    <xf numFmtId="167" fontId="1" fillId="2" borderId="0" xfId="13" applyNumberFormat="1" applyFill="1" applyBorder="1" applyAlignment="1" applyProtection="1">
      <alignment horizontal="right"/>
      <protection hidden="1"/>
    </xf>
    <xf numFmtId="0" fontId="2" fillId="17" borderId="0" xfId="13" applyNumberFormat="1" applyFont="1" applyFill="1" applyBorder="1" applyAlignment="1" applyProtection="1">
      <alignment horizontal="left"/>
      <protection locked="0"/>
    </xf>
    <xf numFmtId="0" fontId="1" fillId="17" borderId="0" xfId="13" applyFont="1" applyFill="1" applyBorder="1" applyAlignment="1" applyProtection="1">
      <alignment horizontal="center"/>
      <protection locked="0" hidden="1"/>
    </xf>
    <xf numFmtId="0" fontId="0" fillId="17" borderId="0" xfId="0" applyFill="1" applyBorder="1" applyAlignment="1" applyProtection="1">
      <alignment horizontal="center"/>
      <protection locked="0" hidden="1"/>
    </xf>
    <xf numFmtId="0" fontId="1" fillId="17" borderId="0" xfId="13" applyFill="1" applyBorder="1" applyAlignment="1" applyProtection="1">
      <alignment horizontal="center"/>
      <protection locked="0" hidden="1"/>
    </xf>
    <xf numFmtId="165" fontId="1" fillId="17" borderId="0" xfId="13" applyNumberFormat="1" applyFill="1" applyBorder="1" applyAlignment="1" applyProtection="1">
      <protection locked="0"/>
    </xf>
    <xf numFmtId="166" fontId="1" fillId="17" borderId="0" xfId="13" applyNumberFormat="1" applyFill="1" applyBorder="1" applyAlignment="1" applyProtection="1">
      <alignment horizontal="center"/>
      <protection locked="0"/>
    </xf>
    <xf numFmtId="165" fontId="1" fillId="17" borderId="0" xfId="13" applyNumberFormat="1" applyFill="1" applyProtection="1">
      <protection locked="0"/>
    </xf>
    <xf numFmtId="0" fontId="16" fillId="3" borderId="8" xfId="13" applyFont="1" applyFill="1" applyBorder="1" applyAlignment="1" applyProtection="1">
      <alignment horizontal="left"/>
      <protection hidden="1"/>
    </xf>
    <xf numFmtId="165" fontId="1" fillId="17" borderId="0" xfId="13" applyNumberFormat="1" applyFont="1" applyFill="1" applyBorder="1" applyAlignment="1" applyProtection="1">
      <alignment horizontal="right"/>
      <protection locked="0"/>
    </xf>
    <xf numFmtId="165" fontId="1" fillId="18" borderId="0" xfId="13" applyNumberFormat="1" applyFont="1" applyFill="1" applyBorder="1" applyAlignment="1" applyProtection="1">
      <alignment horizontal="right"/>
      <protection locked="0"/>
    </xf>
    <xf numFmtId="165" fontId="1" fillId="19" borderId="0" xfId="13" applyNumberFormat="1" applyFill="1" applyBorder="1" applyAlignment="1" applyProtection="1">
      <protection locked="0"/>
    </xf>
    <xf numFmtId="165" fontId="1" fillId="13" borderId="0" xfId="13" applyNumberFormat="1" applyFont="1" applyFill="1" applyBorder="1" applyAlignment="1" applyProtection="1">
      <alignment horizontal="right"/>
      <protection hidden="1"/>
    </xf>
    <xf numFmtId="165" fontId="1" fillId="11" borderId="10" xfId="13" applyNumberFormat="1" applyFill="1" applyBorder="1" applyProtection="1">
      <protection hidden="1"/>
    </xf>
    <xf numFmtId="165" fontId="1" fillId="2" borderId="0" xfId="13" applyNumberFormat="1" applyFill="1" applyBorder="1" applyAlignment="1" applyProtection="1">
      <alignment horizontal="left"/>
      <protection hidden="1"/>
    </xf>
    <xf numFmtId="165" fontId="1" fillId="17" borderId="0" xfId="13" applyNumberFormat="1" applyFill="1" applyBorder="1" applyAlignment="1" applyProtection="1">
      <alignment horizontal="left"/>
      <protection locked="0" hidden="1"/>
    </xf>
    <xf numFmtId="165" fontId="1" fillId="17" borderId="0" xfId="13" applyNumberFormat="1" applyFill="1" applyBorder="1" applyAlignment="1" applyProtection="1">
      <alignment horizontal="left"/>
      <protection locked="0"/>
    </xf>
    <xf numFmtId="165" fontId="11" fillId="7" borderId="0" xfId="0" applyNumberFormat="1" applyFont="1" applyFill="1" applyBorder="1" applyAlignment="1" applyProtection="1">
      <alignment horizontal="left"/>
      <protection locked="0"/>
    </xf>
    <xf numFmtId="165" fontId="1" fillId="11" borderId="10" xfId="13" applyNumberFormat="1" applyFill="1" applyBorder="1" applyAlignment="1" applyProtection="1">
      <alignment horizontal="left"/>
      <protection hidden="1"/>
    </xf>
    <xf numFmtId="165" fontId="1" fillId="2" borderId="0" xfId="13" applyNumberFormat="1" applyFill="1" applyBorder="1" applyProtection="1">
      <protection hidden="1"/>
    </xf>
    <xf numFmtId="165" fontId="1" fillId="20" borderId="9" xfId="13" applyNumberFormat="1" applyFill="1" applyBorder="1" applyProtection="1">
      <protection hidden="1"/>
    </xf>
    <xf numFmtId="0" fontId="16" fillId="3" borderId="0" xfId="13" applyFont="1" applyFill="1" applyBorder="1" applyAlignment="1" applyProtection="1">
      <alignment horizontal="left" vertic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BTWBREYNELENHVAK.xlsx" TargetMode="External"/><Relationship Id="rId2" Type="http://schemas.openxmlformats.org/officeDocument/2006/relationships/hyperlink" Target="VKWBTWBREYNELENHVAV.xlsx" TargetMode="External"/><Relationship Id="rId1" Type="http://schemas.openxmlformats.org/officeDocument/2006/relationships/hyperlink" Target="VKWBTWBREYNELENHV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BTWBREYNELENHV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2"/>
  <sheetViews>
    <sheetView tabSelected="1" zoomScaleNormal="100" workbookViewId="0">
      <selection activeCell="B3" sqref="B3"/>
    </sheetView>
  </sheetViews>
  <sheetFormatPr defaultRowHeight="12.75"/>
  <cols>
    <col min="1" max="1" width="43.7109375" style="1" customWidth="1"/>
    <col min="2" max="2" width="18.42578125" style="1" customWidth="1"/>
    <col min="3" max="3" width="18.28515625" style="1" customWidth="1"/>
    <col min="4" max="4" width="16.42578125" style="1" customWidth="1"/>
    <col min="5" max="5" width="17.5703125" style="1" customWidth="1"/>
    <col min="6" max="6" width="15" style="1" customWidth="1"/>
    <col min="7" max="7" width="16.7109375" style="1" customWidth="1"/>
    <col min="8" max="16" width="9.140625" style="1"/>
    <col min="17" max="17" width="12.140625" style="1" bestFit="1" customWidth="1"/>
    <col min="18" max="16384" width="9.140625" style="1"/>
  </cols>
  <sheetData>
    <row r="1" spans="1:7" ht="27.75" customHeight="1" thickTop="1">
      <c r="A1" s="125" t="s">
        <v>126</v>
      </c>
      <c r="B1" s="45"/>
      <c r="C1" s="45"/>
      <c r="D1" s="45"/>
      <c r="E1" s="73"/>
      <c r="F1" s="74"/>
      <c r="G1" s="86"/>
    </row>
    <row r="2" spans="1:7">
      <c r="A2" s="2"/>
      <c r="B2" s="2"/>
      <c r="C2" s="2"/>
      <c r="D2" s="2"/>
      <c r="E2" s="3"/>
      <c r="F2" s="3"/>
      <c r="G2" s="3"/>
    </row>
    <row r="3" spans="1:7">
      <c r="A3" s="2" t="s">
        <v>0</v>
      </c>
      <c r="B3" s="118"/>
      <c r="C3" s="2"/>
      <c r="D3" s="2"/>
      <c r="E3" s="3"/>
      <c r="F3" s="3"/>
      <c r="G3" s="4"/>
    </row>
    <row r="4" spans="1:7">
      <c r="A4" s="2" t="s">
        <v>1</v>
      </c>
      <c r="B4" s="114"/>
      <c r="C4" s="87"/>
      <c r="E4" s="6"/>
      <c r="F4" s="3"/>
    </row>
    <row r="5" spans="1:7">
      <c r="A5" s="2" t="s">
        <v>31</v>
      </c>
      <c r="B5" s="126">
        <v>0</v>
      </c>
      <c r="C5" s="5"/>
      <c r="E5" s="6"/>
      <c r="F5" s="3"/>
    </row>
    <row r="6" spans="1:7">
      <c r="A6" s="2" t="s">
        <v>32</v>
      </c>
      <c r="B6" s="127">
        <v>0</v>
      </c>
      <c r="C6" s="5"/>
      <c r="E6" s="6"/>
      <c r="F6" s="3"/>
    </row>
    <row r="7" spans="1:7">
      <c r="A7" s="2" t="s">
        <v>33</v>
      </c>
      <c r="B7" s="119" t="s">
        <v>29</v>
      </c>
      <c r="C7" s="5"/>
      <c r="E7" s="6"/>
      <c r="F7" s="3"/>
    </row>
    <row r="8" spans="1:7">
      <c r="A8" s="3" t="s">
        <v>34</v>
      </c>
      <c r="B8" s="128">
        <v>0</v>
      </c>
      <c r="C8" s="5"/>
      <c r="D8" s="3"/>
      <c r="E8" s="7"/>
      <c r="F8" s="3"/>
    </row>
    <row r="9" spans="1:7">
      <c r="A9" s="3" t="s">
        <v>3</v>
      </c>
      <c r="B9" s="122">
        <v>0</v>
      </c>
      <c r="C9" s="5"/>
      <c r="D9" s="3"/>
      <c r="E9" s="7"/>
      <c r="F9" s="3"/>
    </row>
    <row r="10" spans="1:7">
      <c r="A10" s="9" t="s">
        <v>35</v>
      </c>
      <c r="B10" s="129">
        <f>IF(B8&lt;B6,B6/2+B5+B9,B6+B5+B9)</f>
        <v>0</v>
      </c>
      <c r="C10" s="8"/>
      <c r="D10" s="3"/>
      <c r="E10" s="7"/>
      <c r="F10" s="3"/>
    </row>
    <row r="11" spans="1:7">
      <c r="A11" s="8" t="s">
        <v>4</v>
      </c>
      <c r="B11" s="128">
        <v>0</v>
      </c>
      <c r="C11" s="5"/>
      <c r="D11" s="3"/>
      <c r="E11" s="7"/>
      <c r="F11" s="3"/>
    </row>
    <row r="12" spans="1:7" ht="15">
      <c r="A12" s="13" t="s">
        <v>38</v>
      </c>
      <c r="B12" s="120" t="s">
        <v>30</v>
      </c>
      <c r="D12" s="3"/>
      <c r="E12" s="7"/>
      <c r="F12" s="3"/>
    </row>
    <row r="13" spans="1:7" ht="15">
      <c r="A13" s="13" t="s">
        <v>72</v>
      </c>
      <c r="B13" s="120" t="s">
        <v>39</v>
      </c>
      <c r="E13" s="6"/>
      <c r="F13" s="3"/>
    </row>
    <row r="14" spans="1:7" ht="15">
      <c r="A14" s="13" t="s">
        <v>73</v>
      </c>
      <c r="B14" s="120" t="s">
        <v>30</v>
      </c>
      <c r="D14" s="5"/>
      <c r="E14" s="9"/>
      <c r="F14" s="3"/>
      <c r="G14" s="7"/>
    </row>
    <row r="15" spans="1:7">
      <c r="A15" s="8" t="s">
        <v>74</v>
      </c>
      <c r="B15" s="119" t="s">
        <v>30</v>
      </c>
      <c r="E15" s="6"/>
      <c r="F15" s="3"/>
      <c r="G15" s="3"/>
    </row>
    <row r="16" spans="1:7" ht="13.5" thickBot="1">
      <c r="A16" s="10" t="s">
        <v>5</v>
      </c>
      <c r="B16" s="2"/>
      <c r="C16" s="2"/>
      <c r="D16" s="2"/>
      <c r="E16" s="3"/>
      <c r="F16" s="3"/>
      <c r="G16" s="3"/>
    </row>
    <row r="17" spans="1:7" ht="14.25" thickTop="1" thickBot="1">
      <c r="A17" s="46" t="s">
        <v>6</v>
      </c>
      <c r="B17" s="11"/>
      <c r="C17" s="2"/>
      <c r="D17" s="2"/>
      <c r="E17" s="3"/>
      <c r="F17" s="3"/>
      <c r="G17" s="3"/>
    </row>
    <row r="18" spans="1:7" ht="14.25" thickTop="1" thickBot="1">
      <c r="A18" s="2"/>
      <c r="B18" s="2"/>
      <c r="C18" s="2"/>
      <c r="D18" s="2"/>
      <c r="E18" s="3"/>
      <c r="F18" s="3"/>
      <c r="G18" s="3"/>
    </row>
    <row r="19" spans="1:7" ht="14.25" thickTop="1" thickBot="1">
      <c r="A19" s="88" t="s">
        <v>7</v>
      </c>
      <c r="B19" s="89"/>
      <c r="C19" s="89"/>
      <c r="D19" s="130">
        <f>IF(AND(B12="ja",B15="ja"),F306-250,F306)</f>
        <v>0</v>
      </c>
      <c r="F19" s="6"/>
    </row>
    <row r="20" spans="1:7" ht="13.5" thickTop="1">
      <c r="A20" s="8" t="s">
        <v>8</v>
      </c>
      <c r="B20" s="5"/>
      <c r="C20" s="5"/>
      <c r="D20" s="131">
        <f>IF(B7="ja",0,F230)</f>
        <v>0</v>
      </c>
      <c r="E20" s="3"/>
      <c r="F20" s="9"/>
      <c r="G20" s="7"/>
    </row>
    <row r="21" spans="1:7">
      <c r="A21" s="8" t="s">
        <v>13</v>
      </c>
      <c r="B21" s="8"/>
      <c r="C21" s="5"/>
      <c r="D21" s="131">
        <f>IF(B7="ja",(B5+B8)*21%,B8*21%)</f>
        <v>0</v>
      </c>
      <c r="E21" s="3"/>
      <c r="F21" s="9"/>
      <c r="G21" s="7"/>
    </row>
    <row r="22" spans="1:7">
      <c r="A22" s="5" t="s">
        <v>9</v>
      </c>
      <c r="B22" s="5"/>
      <c r="C22" s="5"/>
      <c r="D22" s="132">
        <v>0</v>
      </c>
      <c r="E22" s="3"/>
      <c r="F22" s="3"/>
      <c r="G22" s="3"/>
    </row>
    <row r="23" spans="1:7">
      <c r="A23" s="8" t="s">
        <v>10</v>
      </c>
      <c r="B23" s="121">
        <v>0</v>
      </c>
      <c r="C23" s="5"/>
      <c r="D23" s="131">
        <f>B23*30</f>
        <v>0</v>
      </c>
      <c r="E23" s="3"/>
      <c r="F23" s="3"/>
      <c r="G23" s="3"/>
    </row>
    <row r="24" spans="1:7">
      <c r="A24" s="8" t="s">
        <v>11</v>
      </c>
      <c r="B24" s="5"/>
      <c r="C24" s="5"/>
      <c r="D24" s="133">
        <v>770</v>
      </c>
      <c r="E24" s="3"/>
      <c r="F24" s="3"/>
      <c r="G24" s="3"/>
    </row>
    <row r="25" spans="1:7" ht="15.75" thickBot="1">
      <c r="A25" s="13" t="s">
        <v>36</v>
      </c>
      <c r="B25" s="14"/>
      <c r="C25" s="14"/>
      <c r="D25" s="134">
        <v>0</v>
      </c>
      <c r="E25" s="3"/>
      <c r="F25" s="3"/>
      <c r="G25" s="3"/>
    </row>
    <row r="26" spans="1:7" ht="14.25" thickTop="1" thickBot="1">
      <c r="A26" s="91" t="s">
        <v>12</v>
      </c>
      <c r="B26" s="92"/>
      <c r="C26" s="90"/>
      <c r="D26" s="135">
        <f>SUM(D20:D25)</f>
        <v>770</v>
      </c>
      <c r="F26" s="3"/>
      <c r="G26" s="3"/>
    </row>
    <row r="27" spans="1:7" ht="14.25" thickTop="1" thickBot="1">
      <c r="A27" s="90"/>
      <c r="B27" s="92"/>
      <c r="C27" s="93" t="s">
        <v>13</v>
      </c>
      <c r="D27" s="130">
        <f>(D19+D24)*21%</f>
        <v>161.69999999999999</v>
      </c>
      <c r="F27" s="3"/>
      <c r="G27" s="3"/>
    </row>
    <row r="28" spans="1:7" ht="14.25" thickTop="1" thickBot="1">
      <c r="A28" s="15"/>
      <c r="B28" s="5"/>
      <c r="C28" s="16"/>
      <c r="D28" s="136"/>
      <c r="F28" s="3"/>
      <c r="G28" s="3"/>
    </row>
    <row r="29" spans="1:7" ht="14.25" thickTop="1" thickBot="1">
      <c r="A29" s="94" t="s">
        <v>14</v>
      </c>
      <c r="B29" s="95"/>
      <c r="C29" s="18"/>
      <c r="D29" s="137">
        <f>SUM(D19:D27)-D26</f>
        <v>931.7</v>
      </c>
      <c r="F29" s="3"/>
      <c r="G29" s="3"/>
    </row>
    <row r="30" spans="1:7" ht="14.25" thickTop="1" thickBot="1">
      <c r="A30" s="8"/>
      <c r="B30" s="5"/>
      <c r="C30" s="5"/>
      <c r="D30" s="18"/>
      <c r="E30" s="19"/>
      <c r="F30" s="3"/>
      <c r="G30" s="3"/>
    </row>
    <row r="31" spans="1:7" ht="16.5" thickTop="1" thickBot="1">
      <c r="A31" s="96" t="s">
        <v>15</v>
      </c>
      <c r="B31" s="80"/>
      <c r="C31" s="14"/>
      <c r="D31" s="81"/>
      <c r="E31" s="82"/>
      <c r="F31" s="3"/>
      <c r="G31" s="3"/>
    </row>
    <row r="32" spans="1:7" ht="15.75" thickTop="1">
      <c r="A32" s="13"/>
      <c r="B32" s="14"/>
      <c r="C32" s="14"/>
      <c r="D32" s="81"/>
      <c r="E32" s="82"/>
      <c r="F32" s="3"/>
      <c r="G32" s="3"/>
    </row>
    <row r="33" spans="1:7" ht="15">
      <c r="A33" s="13" t="s">
        <v>17</v>
      </c>
      <c r="B33" s="14"/>
      <c r="C33" s="14"/>
      <c r="D33" s="108">
        <v>0</v>
      </c>
      <c r="E33" s="82"/>
      <c r="F33" s="3"/>
      <c r="G33" s="3"/>
    </row>
    <row r="34" spans="1:7" ht="15.75" thickBot="1">
      <c r="A34" s="13"/>
      <c r="B34" s="14"/>
      <c r="C34" s="14"/>
      <c r="D34" s="83"/>
      <c r="E34" s="82"/>
      <c r="F34" s="3"/>
      <c r="G34" s="3"/>
    </row>
    <row r="35" spans="1:7" ht="16.5" thickTop="1" thickBot="1">
      <c r="A35" s="97" t="s">
        <v>121</v>
      </c>
      <c r="B35" s="98"/>
      <c r="C35" s="80"/>
      <c r="D35" s="80"/>
      <c r="E35" s="84"/>
      <c r="F35" s="3"/>
      <c r="G35" s="3"/>
    </row>
    <row r="36" spans="1:7" ht="15.75" thickTop="1">
      <c r="A36" s="13"/>
      <c r="B36" s="14"/>
      <c r="C36" s="14"/>
      <c r="D36" s="83"/>
      <c r="E36" s="84"/>
      <c r="F36" s="3"/>
      <c r="G36" s="3"/>
    </row>
    <row r="37" spans="1:7" ht="15">
      <c r="A37" s="13" t="s">
        <v>16</v>
      </c>
      <c r="B37" s="14"/>
      <c r="C37" s="109" t="s">
        <v>120</v>
      </c>
      <c r="D37" s="110">
        <v>0</v>
      </c>
      <c r="E37" s="84"/>
      <c r="F37" s="3"/>
      <c r="G37" s="3"/>
    </row>
    <row r="38" spans="1:7" ht="15">
      <c r="A38" s="13" t="s">
        <v>18</v>
      </c>
      <c r="B38" s="14"/>
      <c r="C38" s="109" t="s">
        <v>120</v>
      </c>
      <c r="D38" s="110">
        <v>0</v>
      </c>
      <c r="E38" s="84"/>
      <c r="F38" s="3"/>
      <c r="G38" s="3"/>
    </row>
    <row r="39" spans="1:7" ht="15">
      <c r="A39" s="13" t="s">
        <v>75</v>
      </c>
      <c r="B39" s="14"/>
      <c r="C39" s="109" t="s">
        <v>120</v>
      </c>
      <c r="D39" s="110">
        <v>0</v>
      </c>
      <c r="E39" s="84"/>
      <c r="F39" s="3"/>
      <c r="G39" s="3"/>
    </row>
    <row r="40" spans="1:7" ht="15">
      <c r="A40" s="13" t="s">
        <v>122</v>
      </c>
      <c r="B40" s="14"/>
      <c r="C40" s="109" t="s">
        <v>120</v>
      </c>
      <c r="D40" s="110">
        <v>0</v>
      </c>
      <c r="E40" s="84"/>
      <c r="F40" s="3"/>
      <c r="G40" s="3"/>
    </row>
    <row r="41" spans="1:7" ht="15.75" thickBot="1">
      <c r="A41" s="13"/>
      <c r="B41" s="14"/>
      <c r="C41" s="14"/>
      <c r="D41" s="83"/>
      <c r="E41" s="84"/>
      <c r="F41" s="3"/>
      <c r="G41" s="3"/>
    </row>
    <row r="42" spans="1:7" ht="16.5" thickTop="1" thickBot="1">
      <c r="A42" s="99" t="s">
        <v>123</v>
      </c>
      <c r="B42" s="100"/>
      <c r="C42" s="100"/>
      <c r="D42" s="101">
        <f>E122</f>
        <v>0</v>
      </c>
      <c r="E42" s="84"/>
      <c r="F42" s="3"/>
      <c r="G42" s="3"/>
    </row>
    <row r="43" spans="1:7" ht="16.5" thickTop="1" thickBot="1">
      <c r="A43" s="102"/>
      <c r="B43" s="100"/>
      <c r="C43" s="103" t="s">
        <v>13</v>
      </c>
      <c r="D43" s="101">
        <f>F121</f>
        <v>0</v>
      </c>
      <c r="E43" s="84"/>
      <c r="F43" s="3"/>
      <c r="G43" s="3"/>
    </row>
    <row r="44" spans="1:7" ht="16.5" thickTop="1" thickBot="1">
      <c r="A44" s="102"/>
      <c r="B44" s="100"/>
      <c r="C44" s="100"/>
      <c r="D44" s="101"/>
      <c r="E44" s="84"/>
      <c r="F44" s="3"/>
      <c r="G44" s="3"/>
    </row>
    <row r="45" spans="1:7" ht="16.5" thickTop="1" thickBot="1">
      <c r="A45" s="99" t="s">
        <v>124</v>
      </c>
      <c r="B45" s="100"/>
      <c r="C45" s="100"/>
      <c r="D45" s="101">
        <f>E128</f>
        <v>0</v>
      </c>
      <c r="E45" s="84"/>
      <c r="F45" s="3"/>
      <c r="G45" s="3"/>
    </row>
    <row r="46" spans="1:7" ht="16.5" thickTop="1" thickBot="1">
      <c r="A46" s="102"/>
      <c r="B46" s="100"/>
      <c r="C46" s="103" t="s">
        <v>13</v>
      </c>
      <c r="D46" s="101">
        <f>F128</f>
        <v>0</v>
      </c>
      <c r="E46" s="84"/>
      <c r="F46" s="3"/>
      <c r="G46" s="3"/>
    </row>
    <row r="47" spans="1:7" ht="16.5" thickTop="1" thickBot="1">
      <c r="A47" s="13"/>
      <c r="B47" s="14"/>
      <c r="C47" s="14"/>
      <c r="D47" s="83"/>
      <c r="E47" s="84"/>
      <c r="F47" s="3"/>
      <c r="G47" s="3"/>
    </row>
    <row r="48" spans="1:7" ht="16.5" thickTop="1" thickBot="1">
      <c r="A48" s="98" t="s">
        <v>125</v>
      </c>
      <c r="B48" s="14"/>
      <c r="C48" s="14"/>
      <c r="D48" s="85">
        <f>D29+D42+D43</f>
        <v>931.7</v>
      </c>
      <c r="F48" s="3"/>
      <c r="G48" s="3"/>
    </row>
    <row r="49" spans="1:7" ht="16.5" thickTop="1" thickBot="1">
      <c r="A49" s="14"/>
      <c r="B49" s="14"/>
      <c r="C49" s="14"/>
      <c r="D49" s="84"/>
      <c r="F49" s="3"/>
      <c r="G49" s="7"/>
    </row>
    <row r="50" spans="1:7" ht="16.5" thickTop="1" thickBot="1">
      <c r="A50" s="98" t="s">
        <v>19</v>
      </c>
      <c r="B50" s="14"/>
      <c r="C50" s="14"/>
      <c r="D50" s="104">
        <f>D33+D45+D46</f>
        <v>0</v>
      </c>
      <c r="F50" s="3"/>
      <c r="G50" s="7"/>
    </row>
    <row r="51" spans="1:7" ht="13.5" thickTop="1">
      <c r="A51" s="8"/>
      <c r="B51" s="5"/>
      <c r="C51" s="5"/>
      <c r="D51" s="5"/>
      <c r="E51" s="7"/>
      <c r="F51" s="3"/>
      <c r="G51" s="7"/>
    </row>
    <row r="52" spans="1:7" ht="20.25">
      <c r="A52" s="138" t="s">
        <v>84</v>
      </c>
      <c r="B52" s="5"/>
      <c r="C52" s="5"/>
      <c r="D52" s="5"/>
      <c r="E52" s="7"/>
      <c r="F52" s="3"/>
      <c r="G52" s="7"/>
    </row>
    <row r="53" spans="1:7">
      <c r="A53" s="8"/>
      <c r="B53" s="5"/>
      <c r="C53" s="5"/>
      <c r="D53" s="5"/>
      <c r="E53" s="7"/>
      <c r="F53" s="3"/>
      <c r="G53" s="7"/>
    </row>
    <row r="54" spans="1:7">
      <c r="A54" s="8" t="s">
        <v>85</v>
      </c>
      <c r="B54" s="105" t="s">
        <v>86</v>
      </c>
      <c r="C54" s="122">
        <v>0</v>
      </c>
      <c r="G54" s="7"/>
    </row>
    <row r="55" spans="1:7">
      <c r="A55" s="8"/>
      <c r="B55" s="105" t="s">
        <v>87</v>
      </c>
      <c r="C55" s="122">
        <v>0</v>
      </c>
      <c r="G55" s="7"/>
    </row>
    <row r="56" spans="1:7">
      <c r="A56" s="8"/>
      <c r="B56" s="105" t="s">
        <v>83</v>
      </c>
      <c r="C56" s="106">
        <f>SUM(C54:C55)</f>
        <v>0</v>
      </c>
      <c r="G56" s="7"/>
    </row>
    <row r="57" spans="1:7">
      <c r="A57" s="8"/>
      <c r="B57" s="70"/>
      <c r="C57" s="70"/>
      <c r="G57" s="7"/>
    </row>
    <row r="58" spans="1:7">
      <c r="A58" s="8" t="s">
        <v>88</v>
      </c>
      <c r="B58" s="70"/>
      <c r="C58" s="111">
        <v>0</v>
      </c>
      <c r="G58" s="7"/>
    </row>
    <row r="59" spans="1:7">
      <c r="A59" s="8"/>
      <c r="B59" s="3"/>
      <c r="C59" s="7"/>
      <c r="G59" s="7"/>
    </row>
    <row r="60" spans="1:7">
      <c r="A60" s="8" t="s">
        <v>89</v>
      </c>
      <c r="B60" s="123" t="s">
        <v>30</v>
      </c>
      <c r="C60" s="7"/>
      <c r="G60" s="7"/>
    </row>
    <row r="61" spans="1:7">
      <c r="A61" s="78" t="s">
        <v>118</v>
      </c>
      <c r="B61" s="112">
        <v>1</v>
      </c>
      <c r="C61" s="7"/>
      <c r="G61" s="7"/>
    </row>
    <row r="62" spans="1:7">
      <c r="A62" s="8" t="s">
        <v>5</v>
      </c>
      <c r="B62" s="3"/>
      <c r="C62" s="7"/>
      <c r="G62" s="7"/>
    </row>
    <row r="63" spans="1:7">
      <c r="A63" s="8"/>
      <c r="D63" s="115" t="s">
        <v>7</v>
      </c>
      <c r="E63" s="71">
        <f>IF(B60="ja",E214/2+4.239,E214)</f>
        <v>0</v>
      </c>
      <c r="G63" s="7"/>
    </row>
    <row r="64" spans="1:7">
      <c r="A64" s="8" t="s">
        <v>90</v>
      </c>
      <c r="B64" s="71"/>
      <c r="C64" s="71">
        <f>C56/100</f>
        <v>0</v>
      </c>
      <c r="D64" s="116" t="s">
        <v>91</v>
      </c>
      <c r="E64" s="71">
        <f>E63*21/100</f>
        <v>0</v>
      </c>
      <c r="G64" s="7"/>
    </row>
    <row r="65" spans="1:7">
      <c r="A65" s="8" t="s">
        <v>92</v>
      </c>
      <c r="B65" s="71"/>
      <c r="C65" s="124">
        <v>0</v>
      </c>
      <c r="D65" s="115"/>
      <c r="E65" s="71"/>
      <c r="G65" s="7"/>
    </row>
    <row r="66" spans="1:7">
      <c r="A66" s="8"/>
      <c r="B66" s="71"/>
      <c r="C66" s="71"/>
      <c r="D66" s="115"/>
      <c r="E66" s="71"/>
      <c r="G66" s="7"/>
    </row>
    <row r="67" spans="1:7">
      <c r="A67" s="8" t="s">
        <v>93</v>
      </c>
      <c r="B67" s="71">
        <f>C56*0.3%</f>
        <v>0</v>
      </c>
      <c r="C67" s="71"/>
      <c r="D67" s="115"/>
      <c r="E67" s="71"/>
      <c r="G67" s="7"/>
    </row>
    <row r="68" spans="1:7">
      <c r="A68" s="8" t="s">
        <v>94</v>
      </c>
      <c r="B68" s="71">
        <f>A143*B61</f>
        <v>87.31</v>
      </c>
      <c r="C68" s="71"/>
      <c r="D68" s="115"/>
      <c r="E68" s="71"/>
      <c r="G68" s="7"/>
    </row>
    <row r="69" spans="1:7">
      <c r="A69" s="8" t="s">
        <v>95</v>
      </c>
      <c r="B69" s="71"/>
      <c r="C69" s="71">
        <f>IF((D200-B67-B68)&lt;22,D200+50,D200)</f>
        <v>150</v>
      </c>
      <c r="D69" s="115"/>
      <c r="E69" s="71"/>
      <c r="G69" s="7"/>
    </row>
    <row r="70" spans="1:7">
      <c r="A70" s="8"/>
      <c r="B70" s="71"/>
      <c r="C70" s="71"/>
      <c r="D70" s="115"/>
      <c r="E70" s="71"/>
      <c r="G70" s="7"/>
    </row>
    <row r="71" spans="1:7">
      <c r="A71" s="8" t="s">
        <v>96</v>
      </c>
      <c r="B71" s="71"/>
      <c r="C71" s="71">
        <v>50</v>
      </c>
      <c r="D71" s="115"/>
      <c r="E71" s="71"/>
      <c r="G71" s="7"/>
    </row>
    <row r="72" spans="1:7">
      <c r="A72" s="8"/>
      <c r="B72" s="71" t="s">
        <v>91</v>
      </c>
      <c r="C72" s="71">
        <f>C71*21%</f>
        <v>10.5</v>
      </c>
      <c r="D72" s="115"/>
      <c r="E72" s="71"/>
      <c r="G72" s="7"/>
    </row>
    <row r="73" spans="1:7">
      <c r="A73" s="8"/>
      <c r="B73" s="71"/>
      <c r="C73" s="71"/>
      <c r="D73" s="115"/>
      <c r="E73" s="71"/>
      <c r="G73" s="7"/>
    </row>
    <row r="74" spans="1:7">
      <c r="A74" s="8" t="s">
        <v>97</v>
      </c>
      <c r="B74" s="71"/>
      <c r="C74" s="124">
        <v>660</v>
      </c>
      <c r="D74" s="115"/>
      <c r="E74" s="71"/>
      <c r="G74" s="7"/>
    </row>
    <row r="75" spans="1:7">
      <c r="A75" s="8"/>
      <c r="B75" s="71" t="s">
        <v>91</v>
      </c>
      <c r="C75" s="71">
        <f>C74*21%</f>
        <v>138.6</v>
      </c>
      <c r="D75" s="115"/>
      <c r="E75" s="71"/>
      <c r="G75" s="7"/>
    </row>
    <row r="76" spans="1:7">
      <c r="A76" s="8"/>
      <c r="B76" s="71"/>
      <c r="C76" s="71"/>
      <c r="D76" s="115"/>
      <c r="E76" s="71"/>
      <c r="G76" s="7"/>
    </row>
    <row r="77" spans="1:7">
      <c r="A77" s="8" t="s">
        <v>98</v>
      </c>
      <c r="B77" s="71"/>
      <c r="C77" s="124">
        <v>0</v>
      </c>
      <c r="D77" s="115"/>
      <c r="E77" s="71"/>
      <c r="G77" s="7"/>
    </row>
    <row r="78" spans="1:7">
      <c r="A78" s="8"/>
      <c r="B78" s="1" t="s">
        <v>91</v>
      </c>
      <c r="C78" s="71">
        <f>C77*21%</f>
        <v>0</v>
      </c>
      <c r="D78" s="115"/>
      <c r="E78" s="71"/>
      <c r="G78" s="7"/>
    </row>
    <row r="79" spans="1:7">
      <c r="A79" s="8"/>
      <c r="C79" s="71"/>
      <c r="D79" s="115"/>
      <c r="E79" s="71"/>
      <c r="G79" s="7"/>
    </row>
    <row r="80" spans="1:7">
      <c r="A80" s="8"/>
      <c r="B80" s="1" t="s">
        <v>99</v>
      </c>
      <c r="C80" s="71">
        <f>A171</f>
        <v>860</v>
      </c>
      <c r="D80" s="115" t="s">
        <v>100</v>
      </c>
      <c r="E80" s="71">
        <f>E63</f>
        <v>0</v>
      </c>
      <c r="G80" s="7"/>
    </row>
    <row r="81" spans="1:7">
      <c r="A81" s="8"/>
      <c r="D81" s="115" t="s">
        <v>101</v>
      </c>
      <c r="E81" s="71">
        <f>C80</f>
        <v>860</v>
      </c>
      <c r="G81" s="7"/>
    </row>
    <row r="82" spans="1:7">
      <c r="A82" s="8"/>
      <c r="D82" s="115" t="s">
        <v>102</v>
      </c>
      <c r="E82" s="71">
        <f>SUM(E80+C80)</f>
        <v>860</v>
      </c>
      <c r="G82" s="7"/>
    </row>
    <row r="83" spans="1:7">
      <c r="A83" s="8"/>
      <c r="D83" s="115"/>
      <c r="E83" s="71"/>
      <c r="G83" s="7"/>
    </row>
    <row r="84" spans="1:7">
      <c r="A84" s="8"/>
      <c r="B84" s="5"/>
      <c r="C84" s="7"/>
      <c r="D84" s="117" t="s">
        <v>13</v>
      </c>
      <c r="E84" s="71">
        <f>SUM(C72,C75,C78,E64)</f>
        <v>149.1</v>
      </c>
      <c r="G84" s="7"/>
    </row>
    <row r="85" spans="1:7" ht="13.5" thickBot="1">
      <c r="A85" s="8"/>
      <c r="B85" s="5"/>
      <c r="C85" s="7"/>
      <c r="D85" s="117"/>
      <c r="E85" s="71"/>
      <c r="G85" s="7"/>
    </row>
    <row r="86" spans="1:7" ht="14.25" thickTop="1" thickBot="1">
      <c r="A86" s="8"/>
      <c r="B86" s="5"/>
      <c r="C86" s="7"/>
      <c r="D86" s="117" t="s">
        <v>103</v>
      </c>
      <c r="E86" s="107">
        <f>SUM(E82:E84)</f>
        <v>1009.1</v>
      </c>
      <c r="G86" s="7"/>
    </row>
    <row r="87" spans="1:7" ht="13.5" thickTop="1">
      <c r="A87" s="8"/>
      <c r="B87" s="5"/>
      <c r="C87" s="7"/>
      <c r="D87" s="3"/>
      <c r="E87" s="7"/>
      <c r="F87" s="71"/>
      <c r="G87" s="7"/>
    </row>
    <row r="88" spans="1:7" ht="20.25">
      <c r="A88" s="138" t="s">
        <v>108</v>
      </c>
      <c r="B88" s="72"/>
      <c r="C88" s="7"/>
      <c r="D88" s="3"/>
      <c r="E88" s="7"/>
      <c r="F88" s="71"/>
      <c r="G88" s="7"/>
    </row>
    <row r="89" spans="1:7">
      <c r="A89" s="8" t="s">
        <v>86</v>
      </c>
      <c r="B89" s="122">
        <v>0</v>
      </c>
      <c r="C89" s="3"/>
      <c r="D89" s="7"/>
      <c r="E89" s="71"/>
      <c r="G89" s="7"/>
    </row>
    <row r="90" spans="1:7">
      <c r="A90" s="8" t="s">
        <v>87</v>
      </c>
      <c r="B90" s="122">
        <v>0</v>
      </c>
      <c r="C90" s="3"/>
      <c r="D90" s="7"/>
      <c r="E90" s="71"/>
      <c r="G90" s="7"/>
    </row>
    <row r="91" spans="1:7">
      <c r="A91" s="8" t="s">
        <v>83</v>
      </c>
      <c r="B91" s="106">
        <f>SUM(B89:B90)</f>
        <v>0</v>
      </c>
      <c r="C91" s="3"/>
      <c r="D91" s="7"/>
      <c r="E91" s="71"/>
      <c r="G91" s="7"/>
    </row>
    <row r="92" spans="1:7">
      <c r="A92" s="8"/>
      <c r="B92" s="7"/>
      <c r="C92" s="3"/>
      <c r="D92" s="7"/>
      <c r="E92" s="71"/>
      <c r="G92" s="7"/>
    </row>
    <row r="93" spans="1:7">
      <c r="A93" s="8" t="s">
        <v>109</v>
      </c>
      <c r="B93" s="113">
        <v>1</v>
      </c>
      <c r="C93" s="3"/>
      <c r="D93" s="7"/>
      <c r="E93" s="71"/>
      <c r="G93" s="7"/>
    </row>
    <row r="94" spans="1:7">
      <c r="A94" s="8" t="s">
        <v>5</v>
      </c>
      <c r="B94" s="7"/>
      <c r="C94" s="3"/>
      <c r="D94" s="7"/>
      <c r="E94" s="71"/>
      <c r="G94" s="7"/>
    </row>
    <row r="95" spans="1:7">
      <c r="A95" s="8" t="s">
        <v>96</v>
      </c>
      <c r="B95" s="7"/>
      <c r="C95" s="70">
        <v>50</v>
      </c>
      <c r="D95" s="115" t="s">
        <v>7</v>
      </c>
      <c r="E95" s="71">
        <f>E157</f>
        <v>0</v>
      </c>
      <c r="G95" s="7"/>
    </row>
    <row r="96" spans="1:7">
      <c r="A96" s="8" t="s">
        <v>110</v>
      </c>
      <c r="B96" s="7"/>
      <c r="C96" s="70">
        <v>50</v>
      </c>
      <c r="D96" s="115"/>
      <c r="E96" s="71"/>
      <c r="G96" s="7"/>
    </row>
    <row r="97" spans="1:23">
      <c r="A97" s="8" t="s">
        <v>111</v>
      </c>
      <c r="B97" s="7"/>
      <c r="C97" s="122">
        <v>0</v>
      </c>
      <c r="D97" s="115"/>
      <c r="E97" s="71"/>
      <c r="G97" s="7"/>
    </row>
    <row r="98" spans="1:23">
      <c r="A98" s="8" t="s">
        <v>82</v>
      </c>
      <c r="B98" s="7"/>
      <c r="C98" s="122">
        <f>C142</f>
        <v>185</v>
      </c>
      <c r="D98" s="115"/>
      <c r="E98" s="71"/>
      <c r="G98" s="7"/>
    </row>
    <row r="99" spans="1:23">
      <c r="A99" s="8"/>
      <c r="B99" s="7"/>
      <c r="C99" s="70"/>
      <c r="D99" s="115"/>
      <c r="E99" s="71"/>
      <c r="G99" s="7"/>
    </row>
    <row r="100" spans="1:23">
      <c r="A100" s="8"/>
      <c r="B100" s="7" t="s">
        <v>99</v>
      </c>
      <c r="C100" s="70">
        <f>SUM(C95:C99)</f>
        <v>285</v>
      </c>
      <c r="D100" s="115" t="s">
        <v>100</v>
      </c>
      <c r="E100" s="71">
        <f>E95</f>
        <v>0</v>
      </c>
      <c r="G100" s="7"/>
    </row>
    <row r="101" spans="1:23">
      <c r="A101" s="8"/>
      <c r="B101" s="7"/>
      <c r="C101" s="3"/>
      <c r="D101" s="115" t="s">
        <v>101</v>
      </c>
      <c r="E101" s="71">
        <f>SUM(C95:C99)</f>
        <v>285</v>
      </c>
      <c r="G101" s="7"/>
    </row>
    <row r="102" spans="1:23">
      <c r="A102" s="8"/>
      <c r="B102" s="7"/>
      <c r="C102" s="3"/>
      <c r="D102" s="115" t="s">
        <v>102</v>
      </c>
      <c r="E102" s="71">
        <f>SUM(E100:E101)</f>
        <v>285</v>
      </c>
      <c r="G102" s="7"/>
    </row>
    <row r="103" spans="1:23">
      <c r="A103" s="8"/>
      <c r="B103" s="7"/>
      <c r="C103" s="3"/>
      <c r="D103" s="115"/>
      <c r="E103" s="71"/>
      <c r="G103" s="7"/>
    </row>
    <row r="104" spans="1:23">
      <c r="A104" s="8"/>
      <c r="B104" s="7"/>
      <c r="C104" s="3"/>
      <c r="D104" s="115" t="s">
        <v>13</v>
      </c>
      <c r="E104" s="71">
        <f>(C95+C98+E95)*21%</f>
        <v>49.35</v>
      </c>
      <c r="G104" s="7"/>
    </row>
    <row r="105" spans="1:23" ht="13.5" thickBot="1">
      <c r="A105" s="8"/>
      <c r="B105" s="7"/>
      <c r="C105" s="3"/>
      <c r="D105" s="115"/>
      <c r="E105" s="71"/>
      <c r="G105" s="7"/>
    </row>
    <row r="106" spans="1:23" ht="14.25" thickTop="1" thickBot="1">
      <c r="A106" s="8"/>
      <c r="B106" s="7"/>
      <c r="C106" s="3"/>
      <c r="D106" s="115" t="s">
        <v>100</v>
      </c>
      <c r="E106" s="107">
        <f>SUM(E102:E104)</f>
        <v>334.35</v>
      </c>
      <c r="G106" s="7"/>
    </row>
    <row r="107" spans="1:23" ht="13.5" thickTop="1">
      <c r="A107" s="6"/>
      <c r="B107" s="6"/>
      <c r="C107" s="6"/>
      <c r="D107" s="6"/>
      <c r="E107" s="6"/>
      <c r="F107" s="6"/>
      <c r="G107" s="6"/>
    </row>
    <row r="108" spans="1:23">
      <c r="A108" s="6"/>
      <c r="B108" s="20" t="s">
        <v>20</v>
      </c>
      <c r="C108" s="20" t="s">
        <v>21</v>
      </c>
      <c r="E108" s="6"/>
    </row>
    <row r="109" spans="1:23">
      <c r="A109" s="6"/>
      <c r="B109" s="6"/>
      <c r="C109" s="18"/>
      <c r="E109" s="6"/>
      <c r="F109" s="19"/>
      <c r="G109" s="6"/>
    </row>
    <row r="110" spans="1:23">
      <c r="A110" s="6"/>
      <c r="B110" s="21" t="s">
        <v>22</v>
      </c>
      <c r="C110" s="47" t="s">
        <v>23</v>
      </c>
      <c r="E110" s="6"/>
      <c r="F110" s="18"/>
      <c r="G110" s="17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</row>
    <row r="111" spans="1:23">
      <c r="A111" s="6"/>
      <c r="B111" s="23"/>
      <c r="C111" s="23"/>
      <c r="E111" s="6"/>
      <c r="F111" s="24"/>
      <c r="G111" s="23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</row>
    <row r="112" spans="1:23" ht="14.25">
      <c r="B112" s="20" t="s">
        <v>37</v>
      </c>
      <c r="C112" s="25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</row>
    <row r="113" spans="2:23" ht="14.25" hidden="1">
      <c r="B113" s="22"/>
      <c r="C113" s="20"/>
      <c r="D113" s="25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</row>
    <row r="114" spans="2:23" ht="14.25" hidden="1">
      <c r="B114" s="22"/>
      <c r="C114" s="20"/>
      <c r="D114" s="25"/>
      <c r="E114" s="79" t="s">
        <v>119</v>
      </c>
      <c r="F114" s="79" t="s">
        <v>119</v>
      </c>
      <c r="G114" s="79" t="s">
        <v>119</v>
      </c>
      <c r="H114" s="79" t="s">
        <v>119</v>
      </c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</row>
    <row r="115" spans="2:23" ht="14.25" hidden="1">
      <c r="B115" s="22"/>
      <c r="C115" s="20"/>
      <c r="D115" s="25"/>
      <c r="E115" s="79" t="s">
        <v>120</v>
      </c>
      <c r="F115" s="79" t="s">
        <v>120</v>
      </c>
      <c r="G115" s="79" t="s">
        <v>120</v>
      </c>
      <c r="H115" s="79" t="s">
        <v>120</v>
      </c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</row>
    <row r="116" spans="2:23" ht="14.25" hidden="1">
      <c r="B116" s="22"/>
      <c r="C116" s="20"/>
      <c r="D116" s="25"/>
      <c r="E116" s="79"/>
      <c r="F116" s="79"/>
      <c r="G116" s="79"/>
      <c r="H116" s="79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</row>
    <row r="117" spans="2:23" ht="14.25" hidden="1">
      <c r="B117" s="22"/>
      <c r="C117" s="20"/>
      <c r="D117" s="25"/>
      <c r="E117" s="79"/>
      <c r="F117" s="79"/>
      <c r="G117" s="79" t="s">
        <v>119</v>
      </c>
      <c r="H117" s="79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</row>
    <row r="118" spans="2:23" ht="14.25" hidden="1">
      <c r="B118" s="22"/>
      <c r="C118" s="20"/>
      <c r="D118" s="25"/>
      <c r="E118" s="79">
        <f>IF(C37="koper",D37,0)</f>
        <v>0</v>
      </c>
      <c r="F118" s="79">
        <f>IF(C37="koper",D37*21%,0)</f>
        <v>0</v>
      </c>
      <c r="G118" s="79" t="s">
        <v>120</v>
      </c>
      <c r="H118" s="79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</row>
    <row r="119" spans="2:23" ht="14.25" hidden="1">
      <c r="B119" s="22"/>
      <c r="C119" s="20"/>
      <c r="D119" s="25"/>
      <c r="E119" s="79">
        <f>IF(C38="koper",D38,0)</f>
        <v>0</v>
      </c>
      <c r="F119" s="79">
        <f>IF(C39="koper",D39*21%,0)</f>
        <v>0</v>
      </c>
      <c r="G119" s="79"/>
      <c r="H119" s="79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</row>
    <row r="120" spans="2:23" ht="14.25" hidden="1">
      <c r="B120" s="22"/>
      <c r="C120" s="20"/>
      <c r="D120" s="25"/>
      <c r="E120" s="79">
        <f>IF(C39="koper",D39,0)</f>
        <v>0</v>
      </c>
      <c r="F120" s="79">
        <f>IF(C40="koper",D40*21%,0)</f>
        <v>0</v>
      </c>
      <c r="G120" s="79"/>
      <c r="H120" s="79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</row>
    <row r="121" spans="2:23" ht="14.25" hidden="1">
      <c r="B121" s="22"/>
      <c r="C121" s="20"/>
      <c r="D121" s="25"/>
      <c r="E121" s="79">
        <f>IF(C40="koper",D40,0)</f>
        <v>0</v>
      </c>
      <c r="F121" s="79">
        <f>SUM(F118:F120)</f>
        <v>0</v>
      </c>
      <c r="G121" s="79"/>
      <c r="H121" s="79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</row>
    <row r="122" spans="2:23" ht="14.25" hidden="1">
      <c r="B122" s="22"/>
      <c r="C122" s="20"/>
      <c r="D122" s="25"/>
      <c r="E122" s="79">
        <f>SUM(E118:E121)</f>
        <v>0</v>
      </c>
      <c r="F122" s="79"/>
      <c r="G122" s="79"/>
      <c r="H122" s="79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</row>
    <row r="123" spans="2:23" ht="14.25" hidden="1">
      <c r="B123" s="22"/>
      <c r="C123" s="20"/>
      <c r="D123" s="25"/>
      <c r="E123" s="79"/>
      <c r="F123" s="79"/>
      <c r="G123" s="79"/>
      <c r="H123" s="79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</row>
    <row r="124" spans="2:23" ht="14.25" hidden="1">
      <c r="B124" s="22"/>
      <c r="C124" s="20"/>
      <c r="D124" s="25"/>
      <c r="E124" s="79">
        <f>IF(C37="verkoper",D37,0)</f>
        <v>0</v>
      </c>
      <c r="F124" s="79"/>
      <c r="G124" s="79"/>
      <c r="H124" s="79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</row>
    <row r="125" spans="2:23" ht="14.25" hidden="1">
      <c r="B125" s="22"/>
      <c r="C125" s="20"/>
      <c r="D125" s="25"/>
      <c r="E125" s="79">
        <f>IF(C38="verkoper",D38,0)</f>
        <v>0</v>
      </c>
      <c r="F125" s="79">
        <f>IF(C37="verkoper",D37*21%,0)</f>
        <v>0</v>
      </c>
      <c r="G125" s="79"/>
      <c r="H125" s="79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</row>
    <row r="126" spans="2:23" ht="14.25" hidden="1">
      <c r="B126" s="22"/>
      <c r="C126" s="20"/>
      <c r="D126" s="25"/>
      <c r="E126" s="79">
        <f>IF(C39="verkoper",D39,0)</f>
        <v>0</v>
      </c>
      <c r="F126" s="79">
        <f>IF(C39="verkoper",D39*21%,0)</f>
        <v>0</v>
      </c>
      <c r="G126" s="79"/>
      <c r="H126" s="79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</row>
    <row r="127" spans="2:23" ht="14.25" hidden="1">
      <c r="B127" s="22"/>
      <c r="C127" s="20"/>
      <c r="D127" s="25"/>
      <c r="E127" s="79">
        <f>IF(C40="verkoper",D40,0)</f>
        <v>0</v>
      </c>
      <c r="F127" s="79">
        <f>IF(C40="verkoper",D40*21%,0)</f>
        <v>0</v>
      </c>
      <c r="G127" s="79"/>
      <c r="H127" s="79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</row>
    <row r="128" spans="2:23" ht="14.25" hidden="1">
      <c r="B128" s="22"/>
      <c r="C128" s="20"/>
      <c r="D128" s="25"/>
      <c r="E128" s="79">
        <f>SUM(E124:E127)</f>
        <v>0</v>
      </c>
      <c r="F128" s="79">
        <f>SUM(F125:F127)</f>
        <v>0</v>
      </c>
      <c r="G128" s="79"/>
      <c r="H128" s="79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</row>
    <row r="129" spans="1:23" ht="14.25" hidden="1">
      <c r="B129" s="22"/>
      <c r="C129" s="20"/>
      <c r="D129" s="25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</row>
    <row r="130" spans="1:23" ht="14.25" hidden="1">
      <c r="B130" s="22"/>
      <c r="C130" s="20"/>
      <c r="D130" s="25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</row>
    <row r="131" spans="1:23" ht="14.25" hidden="1">
      <c r="B131" s="22"/>
      <c r="C131" s="20"/>
      <c r="D131" s="25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</row>
    <row r="132" spans="1:23" ht="14.25" hidden="1">
      <c r="B132" s="22"/>
      <c r="C132" s="20"/>
      <c r="D132" s="25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</row>
    <row r="133" spans="1:23" ht="14.25" hidden="1">
      <c r="B133" s="22"/>
      <c r="C133" s="20"/>
      <c r="D133" s="25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</row>
    <row r="134" spans="1:23" ht="14.25" hidden="1">
      <c r="B134" s="22"/>
      <c r="C134" s="20"/>
      <c r="D134" s="25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</row>
    <row r="135" spans="1:23" ht="14.25" hidden="1">
      <c r="B135" s="22"/>
      <c r="C135" s="20"/>
      <c r="D135" s="25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</row>
    <row r="136" spans="1:23" ht="14.25" hidden="1">
      <c r="B136" s="22"/>
      <c r="C136" s="20"/>
      <c r="D136" s="25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</row>
    <row r="137" spans="1:23" ht="14.25" hidden="1">
      <c r="B137" s="22"/>
      <c r="C137" s="20"/>
      <c r="D137" s="25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</row>
    <row r="138" spans="1:23" ht="14.25" hidden="1">
      <c r="B138" s="22"/>
      <c r="C138" s="20"/>
      <c r="D138" s="25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</row>
    <row r="139" spans="1:23" ht="14.25" hidden="1">
      <c r="B139" s="22"/>
      <c r="C139" s="20"/>
      <c r="D139" s="25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</row>
    <row r="140" spans="1:23" ht="14.25" hidden="1">
      <c r="B140" s="22"/>
      <c r="C140" s="25">
        <f>IF(B93=1,185,0)</f>
        <v>185</v>
      </c>
      <c r="D140" s="25">
        <f>IF(B93=2,335,0)</f>
        <v>0</v>
      </c>
      <c r="E140" s="25">
        <f>IF(B93&gt;2,(335+(B93-2)*200),0)</f>
        <v>0</v>
      </c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</row>
    <row r="141" spans="1:23" ht="14.25" hidden="1">
      <c r="B141" s="22"/>
      <c r="D141" s="25"/>
      <c r="E141" s="25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</row>
    <row r="142" spans="1:23" hidden="1">
      <c r="B142" s="22"/>
      <c r="C142" s="22">
        <f>SUM(C140:E140)</f>
        <v>185</v>
      </c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</row>
    <row r="143" spans="1:23" hidden="1">
      <c r="A143" s="1">
        <f>(A161+ROUNDDOWN((C54+C55-1)/C162,0)*A162)+20</f>
        <v>87.31</v>
      </c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</row>
    <row r="144" spans="1:23" hidden="1"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</row>
    <row r="145" spans="1:23" hidden="1"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</row>
    <row r="146" spans="1:23" hidden="1">
      <c r="A146" s="1" t="s">
        <v>83</v>
      </c>
      <c r="B146" s="22"/>
      <c r="C146" s="22">
        <f>B91</f>
        <v>0</v>
      </c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</row>
    <row r="147" spans="1:23" hidden="1">
      <c r="A147" s="1" t="s">
        <v>26</v>
      </c>
      <c r="B147" s="22"/>
      <c r="C147" s="22" t="s">
        <v>26</v>
      </c>
      <c r="D147" s="22" t="s">
        <v>104</v>
      </c>
      <c r="E147" s="22" t="s">
        <v>105</v>
      </c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</row>
    <row r="148" spans="1:23" hidden="1">
      <c r="A148" s="1">
        <v>0</v>
      </c>
      <c r="B148" s="22"/>
      <c r="C148" s="22">
        <v>7500</v>
      </c>
      <c r="D148" s="75">
        <v>1.4250000000000001E-2</v>
      </c>
      <c r="E148" s="22">
        <f>IF(B91&lt;C148,B91*D148,C148*D148)</f>
        <v>0</v>
      </c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</row>
    <row r="149" spans="1:23" hidden="1">
      <c r="A149" s="1">
        <v>7500</v>
      </c>
      <c r="B149" s="22"/>
      <c r="C149" s="22">
        <v>17500</v>
      </c>
      <c r="D149" s="75">
        <v>1.14E-2</v>
      </c>
      <c r="E149" s="22" t="str">
        <f>IF(B91&lt;=A149," ",IF(B91&lt;C149,(B91-C148)*D149,(C149-A149)*D149))</f>
        <v xml:space="preserve"> </v>
      </c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</row>
    <row r="150" spans="1:23" hidden="1">
      <c r="A150" s="1">
        <v>17500</v>
      </c>
      <c r="B150" s="22"/>
      <c r="C150" s="22">
        <v>30000</v>
      </c>
      <c r="D150" s="75">
        <v>6.8399999999999997E-3</v>
      </c>
      <c r="E150" s="22" t="str">
        <f>IF(B91&lt;=A150," ",IF(B91&lt;C150,(B91-C149)*D150,(C150-A150)*D150))</f>
        <v xml:space="preserve"> </v>
      </c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</row>
    <row r="151" spans="1:23" hidden="1">
      <c r="A151" s="1">
        <v>30000</v>
      </c>
      <c r="B151" s="22"/>
      <c r="C151" s="22">
        <v>45495</v>
      </c>
      <c r="D151" s="75">
        <v>5.7000000000000002E-3</v>
      </c>
      <c r="E151" s="22" t="str">
        <f>IF(B91&lt;=A151," ",IF(B91&lt;C151,(B91-C150)*D151,(C151-A151)*D151))</f>
        <v xml:space="preserve"> </v>
      </c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</row>
    <row r="152" spans="1:23" hidden="1">
      <c r="A152" s="1">
        <v>45495</v>
      </c>
      <c r="B152" s="22"/>
      <c r="C152" s="22">
        <v>64095</v>
      </c>
      <c r="D152" s="75">
        <v>4.5599999999999998E-3</v>
      </c>
      <c r="E152" s="22" t="str">
        <f>IF(B91&lt;=A152," ",IF(B91&lt;C152,(B91-C151)*D152,(C152-A152)*D152))</f>
        <v xml:space="preserve"> </v>
      </c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</row>
    <row r="153" spans="1:23" hidden="1">
      <c r="A153" s="1">
        <v>64095</v>
      </c>
      <c r="B153" s="22"/>
      <c r="C153" s="22">
        <v>250095</v>
      </c>
      <c r="D153" s="75">
        <v>2.2799999999999999E-3</v>
      </c>
      <c r="E153" s="22" t="str">
        <f>IF(B91&lt;=A153," ",IF(B91&lt;C153,(B91-C152)*D153,(C153-A153)*D153))</f>
        <v xml:space="preserve"> </v>
      </c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</row>
    <row r="154" spans="1:23" hidden="1">
      <c r="A154" s="1">
        <v>250095</v>
      </c>
      <c r="B154" s="22"/>
      <c r="C154" s="22">
        <v>999999999</v>
      </c>
      <c r="D154" s="75">
        <v>4.5600000000000003E-4</v>
      </c>
      <c r="E154" s="22" t="str">
        <f>IF(B91&lt;=A154,"E90",IF(B91&lt;C154,(B91-C153)*D154,(C154-A154)*D154))</f>
        <v>E90</v>
      </c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</row>
    <row r="155" spans="1:23" hidden="1"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</row>
    <row r="156" spans="1:23" hidden="1">
      <c r="A156" s="1" t="s">
        <v>28</v>
      </c>
      <c r="B156" s="22"/>
      <c r="C156" s="22"/>
      <c r="D156" s="22" t="s">
        <v>106</v>
      </c>
      <c r="E156" s="22">
        <f>SUM(E148:E155)</f>
        <v>0</v>
      </c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</row>
    <row r="157" spans="1:23" hidden="1">
      <c r="B157" s="22"/>
      <c r="C157" s="22"/>
      <c r="D157" s="22" t="s">
        <v>107</v>
      </c>
      <c r="E157" s="22">
        <f>E156/4</f>
        <v>0</v>
      </c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</row>
    <row r="158" spans="1:23" ht="14.25" hidden="1">
      <c r="B158" s="22"/>
      <c r="C158" s="20"/>
      <c r="D158" s="25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</row>
    <row r="159" spans="1:23" ht="14.25" hidden="1">
      <c r="B159" s="22"/>
      <c r="C159" s="20"/>
      <c r="D159" s="25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</row>
    <row r="160" spans="1:23" hidden="1">
      <c r="A160" s="1" t="s">
        <v>76</v>
      </c>
      <c r="B160" s="22"/>
      <c r="C160" s="22"/>
      <c r="D160" s="22"/>
      <c r="E160" s="22"/>
      <c r="F160" s="22" t="s">
        <v>77</v>
      </c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</row>
    <row r="161" spans="1:23" hidden="1">
      <c r="A161" s="1">
        <v>67.31</v>
      </c>
      <c r="B161" s="22" t="s">
        <v>78</v>
      </c>
      <c r="C161" s="22">
        <v>25000</v>
      </c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</row>
    <row r="162" spans="1:23" hidden="1">
      <c r="A162" s="1">
        <v>23.56</v>
      </c>
      <c r="B162" s="22" t="s">
        <v>79</v>
      </c>
      <c r="C162" s="22">
        <v>25000</v>
      </c>
      <c r="D162" s="22" t="s">
        <v>80</v>
      </c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</row>
    <row r="163" spans="1:23" hidden="1"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</row>
    <row r="164" spans="1:23" hidden="1"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</row>
    <row r="165" spans="1:23" hidden="1">
      <c r="B165" s="22"/>
      <c r="C165" s="22"/>
      <c r="D165" s="22"/>
      <c r="E165" s="22"/>
      <c r="F165" s="22"/>
      <c r="G165" s="22">
        <f>SUM(C74,C77)</f>
        <v>660</v>
      </c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</row>
    <row r="166" spans="1:23" hidden="1">
      <c r="A166" s="1" t="s">
        <v>81</v>
      </c>
      <c r="B166" s="22"/>
      <c r="C166" s="22" t="s">
        <v>26</v>
      </c>
      <c r="D166" s="22" t="s">
        <v>82</v>
      </c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</row>
    <row r="167" spans="1:23" hidden="1">
      <c r="B167" s="22"/>
      <c r="C167" s="22">
        <f>C65</f>
        <v>0</v>
      </c>
      <c r="D167" s="22">
        <f>IF(C65=0,575,550)</f>
        <v>575</v>
      </c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</row>
    <row r="168" spans="1:23" hidden="1"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</row>
    <row r="169" spans="1:23" hidden="1"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</row>
    <row r="170" spans="1:23" hidden="1"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</row>
    <row r="171" spans="1:23" hidden="1">
      <c r="A171" s="1">
        <f>C64+C65+C69+C71+C74+C77</f>
        <v>860</v>
      </c>
      <c r="B171" s="22"/>
      <c r="C171" s="22"/>
      <c r="D171" s="22"/>
      <c r="E171" s="22" t="s">
        <v>29</v>
      </c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</row>
    <row r="172" spans="1:23" hidden="1">
      <c r="B172" s="22"/>
      <c r="C172" s="22"/>
      <c r="D172" s="22"/>
      <c r="E172" s="22" t="s">
        <v>30</v>
      </c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</row>
    <row r="173" spans="1:23" hidden="1">
      <c r="B173" s="22"/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</row>
    <row r="174" spans="1:23" hidden="1">
      <c r="B174" s="22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</row>
    <row r="175" spans="1:23" hidden="1">
      <c r="B175" s="22"/>
      <c r="C175" s="22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</row>
    <row r="176" spans="1:23" hidden="1">
      <c r="B176" s="22"/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</row>
    <row r="177" spans="2:23" hidden="1">
      <c r="B177" s="22"/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</row>
    <row r="178" spans="2:23" hidden="1">
      <c r="B178" s="22"/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</row>
    <row r="179" spans="2:23" hidden="1"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</row>
    <row r="180" spans="2:23" hidden="1"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</row>
    <row r="181" spans="2:23" hidden="1"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</row>
    <row r="182" spans="2:23" hidden="1"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</row>
    <row r="183" spans="2:23" hidden="1"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</row>
    <row r="184" spans="2:23" hidden="1"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</row>
    <row r="185" spans="2:23" hidden="1"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</row>
    <row r="186" spans="2:23" hidden="1"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</row>
    <row r="187" spans="2:23" hidden="1"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</row>
    <row r="188" spans="2:23" hidden="1"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</row>
    <row r="189" spans="2:23" hidden="1"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</row>
    <row r="190" spans="2:23" hidden="1"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</row>
    <row r="191" spans="2:23" hidden="1"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</row>
    <row r="192" spans="2:23" hidden="1"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</row>
    <row r="193" spans="1:23" hidden="1"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</row>
    <row r="194" spans="1:23" hidden="1"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</row>
    <row r="195" spans="1:23" hidden="1"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</row>
    <row r="196" spans="1:23" hidden="1"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</row>
    <row r="197" spans="1:23" hidden="1"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</row>
    <row r="198" spans="1:23" hidden="1"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</row>
    <row r="199" spans="1:23" hidden="1"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</row>
    <row r="200" spans="1:23" hidden="1">
      <c r="B200" s="22"/>
      <c r="C200" s="22"/>
      <c r="D200" s="22">
        <f>ROUNDUP(B67+B68,-2)</f>
        <v>100</v>
      </c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</row>
    <row r="201" spans="1:23" hidden="1"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</row>
    <row r="202" spans="1:23" hidden="1"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</row>
    <row r="203" spans="1:23" hidden="1"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</row>
    <row r="204" spans="1:23" hidden="1">
      <c r="A204" s="1" t="s">
        <v>83</v>
      </c>
      <c r="B204" s="22"/>
      <c r="C204" s="22">
        <f>C58</f>
        <v>0</v>
      </c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</row>
    <row r="205" spans="1:23" hidden="1">
      <c r="A205" s="1">
        <v>0</v>
      </c>
      <c r="B205" s="22"/>
      <c r="C205" s="22">
        <v>7500</v>
      </c>
      <c r="D205" s="22">
        <v>1.4250000000000001E-2</v>
      </c>
      <c r="E205" s="22"/>
      <c r="F205" s="22">
        <f>IF(C58&lt;C205,C58*D205,C205*D205)</f>
        <v>0</v>
      </c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</row>
    <row r="206" spans="1:23" hidden="1">
      <c r="A206" s="1">
        <v>7500</v>
      </c>
      <c r="B206" s="22"/>
      <c r="C206" s="22">
        <v>17500</v>
      </c>
      <c r="D206" s="22">
        <v>1.14E-2</v>
      </c>
      <c r="E206" s="22"/>
      <c r="F206" s="22" t="str">
        <f>IF(C58&lt;=A206," ",IF(C58&lt;C206,(C58-C205)*D206,(C206-A206)*D206))</f>
        <v xml:space="preserve"> </v>
      </c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</row>
    <row r="207" spans="1:23" hidden="1">
      <c r="A207" s="1">
        <v>17500</v>
      </c>
      <c r="B207" s="22"/>
      <c r="C207" s="22">
        <v>30000</v>
      </c>
      <c r="D207" s="22">
        <v>6.8399999999999997E-3</v>
      </c>
      <c r="E207" s="22"/>
      <c r="F207" s="22" t="str">
        <f>IF(C58&lt;=A207," ",IF(C58&lt;C207,(C58-C206)*D207,(C207-A207)*D207))</f>
        <v xml:space="preserve"> </v>
      </c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</row>
    <row r="208" spans="1:23" hidden="1">
      <c r="A208" s="1">
        <v>30000</v>
      </c>
      <c r="B208" s="22"/>
      <c r="C208" s="22">
        <v>45495</v>
      </c>
      <c r="D208" s="22">
        <v>5.7000000000000002E-3</v>
      </c>
      <c r="E208" s="22"/>
      <c r="F208" s="22" t="str">
        <f>IF(C58&lt;=A208," ",IF(C58&lt;C208,(C58-C207)*D208,(C208-A208)*D208))</f>
        <v xml:space="preserve"> </v>
      </c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</row>
    <row r="209" spans="1:23" hidden="1">
      <c r="A209" s="1">
        <v>45495</v>
      </c>
      <c r="B209" s="22"/>
      <c r="C209" s="22">
        <v>64095</v>
      </c>
      <c r="D209" s="22">
        <v>4.5599999999999998E-3</v>
      </c>
      <c r="E209" s="22"/>
      <c r="F209" s="22" t="str">
        <f>IF(C58&lt;=A209," ",IF(C58&lt;C209,(C58-C208)*D209,(C209-A209)*D209))</f>
        <v xml:space="preserve"> </v>
      </c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</row>
    <row r="210" spans="1:23" hidden="1">
      <c r="A210" s="1">
        <v>64095</v>
      </c>
      <c r="B210" s="22"/>
      <c r="C210" s="22">
        <v>250095</v>
      </c>
      <c r="D210" s="22">
        <v>2.2799999999999999E-3</v>
      </c>
      <c r="E210" s="22"/>
      <c r="F210" s="22" t="str">
        <f>IF(C58&lt;=A210," ",IF(C58&lt;C210,(C58-C209)*D210,(C210-A210)*D210))</f>
        <v xml:space="preserve"> </v>
      </c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</row>
    <row r="211" spans="1:23" hidden="1">
      <c r="A211" s="1">
        <v>250095</v>
      </c>
      <c r="B211" s="22"/>
      <c r="C211" s="22">
        <v>999999999</v>
      </c>
      <c r="D211" s="22">
        <v>4.5600000000000003E-4</v>
      </c>
      <c r="E211" s="22"/>
      <c r="F211" s="22" t="str">
        <f>IF(C58&lt;=A211," ",IF(C58&lt;C211,(C58-C210)*D211,(C211-A211)*D211))</f>
        <v xml:space="preserve"> </v>
      </c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</row>
    <row r="212" spans="1:23" hidden="1">
      <c r="A212" s="1">
        <v>10075000</v>
      </c>
      <c r="B212" s="22"/>
      <c r="C212" s="22" t="str">
        <f>$B$112</f>
        <v>Boekje</v>
      </c>
      <c r="D212" s="22">
        <v>4.5600000000000003E-4</v>
      </c>
      <c r="E212" s="22" t="str">
        <f>IF(C58&lt;=A212,"E90",IF(C58&lt;C212,(C58-C211)*D212,(C212-A212)*D212))</f>
        <v>E90</v>
      </c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</row>
    <row r="213" spans="1:23" hidden="1"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</row>
    <row r="214" spans="1:23" hidden="1">
      <c r="A214" s="1" t="s">
        <v>28</v>
      </c>
      <c r="B214" s="22"/>
      <c r="C214" s="22"/>
      <c r="D214" s="22"/>
      <c r="E214" s="22">
        <f>SUM(F205:F212)</f>
        <v>0</v>
      </c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</row>
    <row r="215" spans="1:23" ht="14.25" hidden="1">
      <c r="B215" s="22"/>
      <c r="C215" s="20"/>
      <c r="D215" s="25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</row>
    <row r="216" spans="1:23" ht="14.25" hidden="1">
      <c r="B216" s="22"/>
      <c r="C216" s="25"/>
      <c r="D216" s="25"/>
      <c r="E216" s="20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</row>
    <row r="217" spans="1:23" ht="14.25" hidden="1">
      <c r="B217" s="22"/>
      <c r="D217" s="25"/>
      <c r="E217" s="20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</row>
    <row r="218" spans="1:23" hidden="1">
      <c r="A218" s="76" t="s">
        <v>39</v>
      </c>
      <c r="B218" s="49"/>
      <c r="C218" s="49" t="s">
        <v>29</v>
      </c>
      <c r="D218" s="49" t="s">
        <v>29</v>
      </c>
      <c r="E218" s="49" t="s">
        <v>29</v>
      </c>
      <c r="F218" s="49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</row>
    <row r="219" spans="1:23" ht="15.75" hidden="1">
      <c r="A219" s="77" t="s">
        <v>40</v>
      </c>
      <c r="B219" s="50"/>
      <c r="C219" s="49" t="s">
        <v>30</v>
      </c>
      <c r="D219" s="49" t="s">
        <v>30</v>
      </c>
      <c r="E219" s="49" t="s">
        <v>30</v>
      </c>
      <c r="F219" s="49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</row>
    <row r="220" spans="1:23" ht="15.75" hidden="1">
      <c r="A220" s="77" t="s">
        <v>41</v>
      </c>
      <c r="B220" s="50"/>
      <c r="C220" s="49"/>
      <c r="D220" s="49"/>
      <c r="E220" s="49"/>
      <c r="F220" s="49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</row>
    <row r="221" spans="1:23" ht="15.75" hidden="1">
      <c r="A221" s="77" t="s">
        <v>42</v>
      </c>
      <c r="B221" s="50"/>
      <c r="C221" s="51">
        <f>B5*12.5/100</f>
        <v>0</v>
      </c>
      <c r="D221" s="49"/>
      <c r="E221" s="49"/>
      <c r="F221" s="49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</row>
    <row r="222" spans="1:23" ht="15.75" hidden="1">
      <c r="A222" s="77" t="s">
        <v>43</v>
      </c>
      <c r="B222" s="50"/>
      <c r="C222" s="52">
        <f>B5*10%</f>
        <v>0</v>
      </c>
      <c r="D222" s="49"/>
      <c r="E222" s="49"/>
      <c r="F222" s="49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</row>
    <row r="223" spans="1:23" ht="15.75" hidden="1">
      <c r="A223" s="77" t="s">
        <v>44</v>
      </c>
      <c r="B223" s="50"/>
      <c r="C223" s="52">
        <f>IF(B5&gt;150000,9000+(B5-150000)*12.5%,B5*6%)</f>
        <v>0</v>
      </c>
      <c r="D223" s="52">
        <f>IF(B5&gt;160000,9600+(B5-160000)*12.5%,B5*6%)</f>
        <v>0</v>
      </c>
      <c r="E223" s="49"/>
      <c r="F223" s="52">
        <f>IF(AND(B12="ja",B13="NVT",B14="ja"),C224,0)</f>
        <v>0</v>
      </c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</row>
    <row r="224" spans="1:23" ht="15.75" hidden="1">
      <c r="A224" s="77" t="s">
        <v>45</v>
      </c>
      <c r="B224" s="50"/>
      <c r="C224" s="52">
        <f>IF(B5&gt;150000,7500+(B5-150000)*10%,B5*5%)</f>
        <v>0</v>
      </c>
      <c r="D224" s="52">
        <f>IF(B5&gt;160000,8000+(B5-160000)*10%,B5*5%)</f>
        <v>0</v>
      </c>
      <c r="E224" s="49"/>
      <c r="F224" s="52">
        <f>IF(AND(B12="ja",B13="NVT",B14="neen"),C223,0)</f>
        <v>0</v>
      </c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</row>
    <row r="225" spans="1:23" ht="15.75" hidden="1">
      <c r="A225" s="77" t="s">
        <v>46</v>
      </c>
      <c r="B225" s="50"/>
      <c r="C225" s="49"/>
      <c r="D225" s="49"/>
      <c r="E225" s="49"/>
      <c r="F225" s="52">
        <f>IF(AND(B12="neen",B14="ja"),C222,0)</f>
        <v>0</v>
      </c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</row>
    <row r="226" spans="1:23" ht="15.75" hidden="1">
      <c r="A226" s="77" t="s">
        <v>47</v>
      </c>
      <c r="B226" s="50"/>
      <c r="C226" s="49"/>
      <c r="D226" s="49"/>
      <c r="E226" s="49"/>
      <c r="F226" s="52">
        <f>IF(AND(B12="neen",B14="neen"),C221,0)</f>
        <v>0</v>
      </c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</row>
    <row r="227" spans="1:23" ht="15.75" hidden="1">
      <c r="A227" s="77" t="s">
        <v>48</v>
      </c>
      <c r="B227" s="50"/>
      <c r="C227" s="49"/>
      <c r="D227" s="49"/>
      <c r="E227" s="49"/>
      <c r="F227" s="52">
        <f>IF(AND(B12="ja",B13&lt;&gt;"NVT",B14="ja"),D224,0)</f>
        <v>0</v>
      </c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</row>
    <row r="228" spans="1:23" ht="15.75" hidden="1">
      <c r="A228" s="77" t="s">
        <v>112</v>
      </c>
      <c r="B228" s="50"/>
      <c r="C228" s="49"/>
      <c r="D228" s="49"/>
      <c r="E228" s="49"/>
      <c r="F228" s="52">
        <f>IF(AND(B12="ja",B13&lt;&gt;"NVT",B14="neen"),D223,0)</f>
        <v>0</v>
      </c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</row>
    <row r="229" spans="1:23" ht="15.75" hidden="1">
      <c r="A229" s="77" t="s">
        <v>49</v>
      </c>
      <c r="B229" s="50"/>
      <c r="C229" s="49"/>
      <c r="D229" s="49"/>
      <c r="E229" s="49"/>
      <c r="F229" s="5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</row>
    <row r="230" spans="1:23" ht="15.75" hidden="1">
      <c r="A230" s="77" t="s">
        <v>50</v>
      </c>
      <c r="B230" s="50"/>
      <c r="C230" s="49"/>
      <c r="D230" s="49"/>
      <c r="E230" s="49"/>
      <c r="F230" s="52">
        <f>SUM(F223:F229)</f>
        <v>0</v>
      </c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</row>
    <row r="231" spans="1:23" ht="15.75" hidden="1">
      <c r="A231" s="77" t="s">
        <v>51</v>
      </c>
      <c r="B231" s="50"/>
      <c r="C231" s="49"/>
      <c r="D231" s="49"/>
      <c r="E231" s="49"/>
      <c r="F231" s="49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</row>
    <row r="232" spans="1:23" ht="15.75" hidden="1">
      <c r="A232" s="77" t="s">
        <v>113</v>
      </c>
      <c r="B232" s="50"/>
      <c r="C232" s="49"/>
      <c r="D232" s="49"/>
      <c r="E232" s="49"/>
      <c r="F232" s="49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</row>
    <row r="233" spans="1:23" ht="15.75" hidden="1">
      <c r="A233" s="77" t="s">
        <v>52</v>
      </c>
      <c r="B233" s="50"/>
      <c r="C233" s="49"/>
      <c r="D233" s="49"/>
      <c r="E233" s="49"/>
      <c r="F233" s="49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</row>
    <row r="234" spans="1:23" ht="15.75" hidden="1">
      <c r="A234" s="77" t="s">
        <v>53</v>
      </c>
      <c r="B234" s="50"/>
      <c r="C234" s="49"/>
      <c r="D234" s="49"/>
      <c r="E234" s="49"/>
      <c r="F234" s="49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</row>
    <row r="235" spans="1:23" ht="15.75" hidden="1">
      <c r="A235" s="77" t="s">
        <v>54</v>
      </c>
      <c r="B235" s="50"/>
      <c r="C235" s="49"/>
      <c r="D235" s="49"/>
      <c r="E235" s="49"/>
      <c r="F235" s="49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</row>
    <row r="236" spans="1:23" ht="15.75" hidden="1">
      <c r="A236" s="77" t="s">
        <v>55</v>
      </c>
      <c r="B236" s="49"/>
      <c r="C236" s="49"/>
      <c r="D236" s="49"/>
      <c r="E236" s="49"/>
      <c r="F236" s="49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</row>
    <row r="237" spans="1:23" ht="15.75" hidden="1">
      <c r="A237" s="77" t="s">
        <v>56</v>
      </c>
      <c r="B237" s="49"/>
      <c r="C237" s="49"/>
      <c r="D237" s="49"/>
      <c r="E237" s="49"/>
      <c r="F237" s="49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</row>
    <row r="238" spans="1:23" ht="15.75" hidden="1">
      <c r="A238" s="77" t="s">
        <v>57</v>
      </c>
      <c r="B238" s="49"/>
      <c r="C238" s="49"/>
      <c r="D238" s="49"/>
      <c r="E238" s="49"/>
      <c r="F238" s="49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</row>
    <row r="239" spans="1:23" ht="15.75" hidden="1">
      <c r="A239" s="77" t="s">
        <v>58</v>
      </c>
      <c r="B239" s="49"/>
      <c r="C239" s="49"/>
      <c r="D239" s="49"/>
      <c r="E239" s="49"/>
      <c r="F239" s="49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</row>
    <row r="240" spans="1:23" ht="15.75" hidden="1">
      <c r="A240" s="77" t="s">
        <v>59</v>
      </c>
      <c r="B240" s="49"/>
      <c r="C240" s="49"/>
      <c r="D240" s="49"/>
      <c r="E240" s="49"/>
      <c r="F240" s="49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</row>
    <row r="241" spans="1:23" ht="15.75" hidden="1">
      <c r="A241" s="77" t="s">
        <v>60</v>
      </c>
      <c r="B241" s="49"/>
      <c r="C241" s="49"/>
      <c r="D241" s="49"/>
      <c r="E241" s="49"/>
      <c r="F241" s="49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</row>
    <row r="242" spans="1:23" ht="15.75" hidden="1">
      <c r="A242" s="77" t="s">
        <v>61</v>
      </c>
      <c r="B242" s="49"/>
      <c r="C242" s="49"/>
      <c r="D242" s="49"/>
      <c r="E242" s="49"/>
      <c r="F242" s="49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</row>
    <row r="243" spans="1:23" ht="15.75" hidden="1">
      <c r="A243" s="77" t="s">
        <v>62</v>
      </c>
      <c r="B243" s="53"/>
      <c r="C243" s="49"/>
      <c r="D243" s="49"/>
      <c r="E243" s="49"/>
      <c r="F243" s="49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</row>
    <row r="244" spans="1:23" ht="15.75" hidden="1">
      <c r="A244" s="77" t="s">
        <v>63</v>
      </c>
      <c r="B244" s="53"/>
      <c r="C244" s="49"/>
      <c r="D244" s="49"/>
      <c r="E244" s="49"/>
      <c r="F244" s="49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</row>
    <row r="245" spans="1:23" ht="15.75" hidden="1">
      <c r="A245" s="77" t="s">
        <v>64</v>
      </c>
      <c r="B245" s="49"/>
      <c r="C245" s="49"/>
      <c r="D245" s="49"/>
      <c r="E245" s="49"/>
      <c r="F245" s="49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</row>
    <row r="246" spans="1:23" ht="15.75" hidden="1">
      <c r="A246" s="77" t="s">
        <v>114</v>
      </c>
      <c r="B246" s="49"/>
      <c r="C246" s="49"/>
      <c r="D246" s="49"/>
      <c r="E246" s="49"/>
      <c r="F246" s="49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</row>
    <row r="247" spans="1:23" ht="15.75" hidden="1">
      <c r="A247" s="77" t="s">
        <v>115</v>
      </c>
      <c r="B247" s="49"/>
      <c r="C247" s="49"/>
      <c r="D247" s="49"/>
      <c r="E247" s="49"/>
      <c r="F247" s="49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</row>
    <row r="248" spans="1:23" ht="15.75" hidden="1">
      <c r="A248" s="77" t="s">
        <v>65</v>
      </c>
      <c r="B248" s="54"/>
      <c r="C248" s="49"/>
      <c r="D248" s="49"/>
      <c r="E248" s="55"/>
      <c r="F248" s="55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</row>
    <row r="249" spans="1:23" ht="15.75" hidden="1">
      <c r="A249" s="77" t="s">
        <v>66</v>
      </c>
      <c r="B249" s="48"/>
      <c r="C249" s="48"/>
      <c r="D249" s="48"/>
      <c r="E249" s="55"/>
      <c r="F249" s="55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</row>
    <row r="250" spans="1:23" ht="15.75" hidden="1">
      <c r="A250" s="77" t="s">
        <v>116</v>
      </c>
      <c r="B250" s="48"/>
      <c r="C250" s="48"/>
      <c r="D250" s="48"/>
      <c r="E250" s="48"/>
      <c r="F250" s="48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</row>
    <row r="251" spans="1:23" ht="15.75" hidden="1">
      <c r="A251" s="77" t="s">
        <v>117</v>
      </c>
      <c r="B251" s="48"/>
      <c r="C251" s="48"/>
      <c r="D251" s="48"/>
      <c r="E251" s="48"/>
      <c r="F251" s="48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</row>
    <row r="252" spans="1:23" ht="15.75" hidden="1">
      <c r="A252" s="77" t="s">
        <v>67</v>
      </c>
      <c r="B252" s="48"/>
      <c r="C252" s="48" t="s">
        <v>24</v>
      </c>
      <c r="D252" s="48" t="s">
        <v>25</v>
      </c>
      <c r="E252" s="48"/>
      <c r="F252" s="48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</row>
    <row r="253" spans="1:23" ht="15.75" hidden="1">
      <c r="A253" s="77" t="s">
        <v>68</v>
      </c>
      <c r="B253" s="48"/>
      <c r="C253" s="48"/>
      <c r="D253" s="48">
        <v>525</v>
      </c>
      <c r="E253" s="48"/>
      <c r="F253" s="48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</row>
    <row r="254" spans="1:23" ht="15.75" hidden="1">
      <c r="A254" s="77" t="s">
        <v>69</v>
      </c>
      <c r="B254" s="48"/>
      <c r="C254" s="48"/>
      <c r="D254" s="48">
        <v>100</v>
      </c>
      <c r="E254" s="48"/>
      <c r="F254" s="48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</row>
    <row r="255" spans="1:23" ht="15.75" hidden="1">
      <c r="A255" s="77" t="s">
        <v>70</v>
      </c>
      <c r="B255" s="48"/>
      <c r="C255" s="48"/>
      <c r="D255" s="48">
        <v>675</v>
      </c>
      <c r="E255" s="48"/>
      <c r="F255" s="48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</row>
    <row r="256" spans="1:23" ht="15.75" hidden="1">
      <c r="A256" s="77" t="s">
        <v>71</v>
      </c>
      <c r="B256" s="48"/>
      <c r="C256" s="48"/>
      <c r="D256" s="48"/>
      <c r="E256" s="48"/>
      <c r="F256" s="48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</row>
    <row r="257" spans="1:23" ht="15" hidden="1">
      <c r="A257" s="48"/>
      <c r="B257" s="48"/>
      <c r="C257" s="48"/>
      <c r="D257" s="48"/>
      <c r="E257" s="48"/>
      <c r="F257" s="48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</row>
    <row r="258" spans="1:23" ht="15" hidden="1">
      <c r="A258" s="48"/>
      <c r="B258" s="48"/>
      <c r="C258" s="48"/>
      <c r="D258" s="48"/>
      <c r="E258" s="48"/>
      <c r="F258" s="48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</row>
    <row r="259" spans="1:23" ht="14.25" hidden="1">
      <c r="A259" s="56" t="s">
        <v>26</v>
      </c>
      <c r="B259" s="56"/>
      <c r="C259" s="56" t="s">
        <v>26</v>
      </c>
      <c r="D259" s="57" t="s">
        <v>27</v>
      </c>
      <c r="E259" s="58"/>
      <c r="F259" s="56" t="s">
        <v>7</v>
      </c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</row>
    <row r="260" spans="1:23" ht="15" hidden="1">
      <c r="A260" s="59">
        <v>0</v>
      </c>
      <c r="B260" s="60"/>
      <c r="C260" s="59">
        <v>7500</v>
      </c>
      <c r="D260" s="61">
        <v>4.5600000000000002E-2</v>
      </c>
      <c r="E260" s="62"/>
      <c r="F260" s="59">
        <f>IF(B10&lt;C260,B10*D260,C260*D260)</f>
        <v>0</v>
      </c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</row>
    <row r="261" spans="1:23" ht="15" hidden="1">
      <c r="A261" s="59">
        <v>7500</v>
      </c>
      <c r="B261" s="60"/>
      <c r="C261" s="59">
        <v>17500</v>
      </c>
      <c r="D261" s="61">
        <v>2.8500000000000001E-2</v>
      </c>
      <c r="E261" s="62"/>
      <c r="F261" s="60" t="str">
        <f>IF(B10&lt;=A261," ",IF(B10&lt;C261,(B10-C260)*D261,(C261-A261)*D261))</f>
        <v xml:space="preserve"> </v>
      </c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</row>
    <row r="262" spans="1:23" ht="15" hidden="1">
      <c r="A262" s="59">
        <v>17500</v>
      </c>
      <c r="B262" s="60"/>
      <c r="C262" s="59">
        <v>30000</v>
      </c>
      <c r="D262" s="61">
        <v>2.2800000000000001E-2</v>
      </c>
      <c r="E262" s="62"/>
      <c r="F262" s="60" t="str">
        <f>IF(B10&lt;=A262," ",IF(B10&lt;C262,(B10-C261)*D262,(C262-A262)*D262))</f>
        <v xml:space="preserve"> </v>
      </c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</row>
    <row r="263" spans="1:23" ht="15" hidden="1">
      <c r="A263" s="59">
        <v>30000</v>
      </c>
      <c r="B263" s="60"/>
      <c r="C263" s="59">
        <v>45495</v>
      </c>
      <c r="D263" s="61">
        <v>1.7100000000000001E-2</v>
      </c>
      <c r="E263" s="62"/>
      <c r="F263" s="60" t="str">
        <f>IF(B10&lt;=A263," ",IF(B10&lt;C263,(B10-C262)*D263,(C263-A263)*D263))</f>
        <v xml:space="preserve"> </v>
      </c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</row>
    <row r="264" spans="1:23" ht="15" hidden="1">
      <c r="A264" s="59">
        <v>45495</v>
      </c>
      <c r="B264" s="60"/>
      <c r="C264" s="59">
        <v>64095</v>
      </c>
      <c r="D264" s="61">
        <v>1.14E-2</v>
      </c>
      <c r="E264" s="62"/>
      <c r="F264" s="60" t="str">
        <f>IF(B10&lt;=A264," ",IF(B10&lt;C264,(B10-C263)*D264,(C264-A264)*D264))</f>
        <v xml:space="preserve"> </v>
      </c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</row>
    <row r="265" spans="1:23" ht="15" hidden="1">
      <c r="A265" s="59">
        <v>64095</v>
      </c>
      <c r="B265" s="60"/>
      <c r="C265" s="59">
        <v>250095</v>
      </c>
      <c r="D265" s="61">
        <v>5.7000000000000002E-3</v>
      </c>
      <c r="E265" s="62"/>
      <c r="F265" s="60" t="str">
        <f>IF(B10&lt;=A265," ",IF(B10&lt;C265,(B10-C264)*D265,(C265-A265)*D265))</f>
        <v xml:space="preserve"> </v>
      </c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</row>
    <row r="266" spans="1:23" ht="15" hidden="1">
      <c r="A266" s="59">
        <v>250095</v>
      </c>
      <c r="B266" s="60"/>
      <c r="C266" s="59">
        <v>999999999</v>
      </c>
      <c r="D266" s="61">
        <v>5.6999999999999998E-4</v>
      </c>
      <c r="E266" s="62"/>
      <c r="F266" s="60" t="str">
        <f>IF(B10&lt;=A266," ",IF(B10&lt;C266,(B10-C265)*D266,(C266-A266)*D266))</f>
        <v xml:space="preserve"> </v>
      </c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</row>
    <row r="267" spans="1:23" ht="15" hidden="1">
      <c r="A267" s="63"/>
      <c r="B267" s="64"/>
      <c r="C267" s="64"/>
      <c r="D267" s="65"/>
      <c r="E267" s="66"/>
      <c r="F267" s="66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</row>
    <row r="268" spans="1:23" ht="15" hidden="1">
      <c r="A268" s="56" t="s">
        <v>28</v>
      </c>
      <c r="B268" s="67"/>
      <c r="C268" s="64"/>
      <c r="D268" s="68"/>
      <c r="E268" s="66"/>
      <c r="F268" s="69">
        <f>SUM(F260:F267)</f>
        <v>0</v>
      </c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</row>
    <row r="269" spans="1:23" ht="15" hidden="1">
      <c r="A269" s="48"/>
      <c r="B269" s="48"/>
      <c r="C269" s="48"/>
      <c r="D269" s="48"/>
      <c r="E269" s="48"/>
      <c r="F269" s="48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</row>
    <row r="270" spans="1:23" hidden="1"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</row>
    <row r="271" spans="1:23" hidden="1"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</row>
    <row r="272" spans="1:23" hidden="1"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</row>
    <row r="273" spans="1:23" hidden="1"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</row>
    <row r="274" spans="1:23" hidden="1"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</row>
    <row r="275" spans="1:23" hidden="1"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</row>
    <row r="276" spans="1:23" hidden="1"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</row>
    <row r="277" spans="1:23" hidden="1"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</row>
    <row r="278" spans="1:23" hidden="1">
      <c r="A278" s="26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</row>
    <row r="279" spans="1:23" hidden="1">
      <c r="B279" s="22"/>
      <c r="C279" s="22"/>
      <c r="D279" s="22"/>
      <c r="E279" s="22"/>
      <c r="F279" s="22"/>
      <c r="G279" s="22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2"/>
      <c r="V279" s="22"/>
      <c r="W279" s="22"/>
    </row>
    <row r="280" spans="1:23" hidden="1">
      <c r="A280" s="28"/>
      <c r="B280" s="27"/>
      <c r="C280" s="27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2"/>
      <c r="V280" s="22"/>
      <c r="W280" s="22"/>
    </row>
    <row r="281" spans="1:23" hidden="1">
      <c r="A281" s="28"/>
      <c r="B281" s="12" t="e">
        <f>IF(#REF!="ja",-1500,0)</f>
        <v>#REF!</v>
      </c>
      <c r="C281" s="27" t="e">
        <f>IF(AND(#REF!="ja",#REF!="ja"),-750,0)</f>
        <v>#REF!</v>
      </c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2"/>
      <c r="V281" s="22"/>
      <c r="W281" s="22"/>
    </row>
    <row r="282" spans="1:23" hidden="1">
      <c r="A282" s="28"/>
      <c r="B282" s="12" t="e">
        <f>IF(#REF!="ja",-750,0)</f>
        <v>#REF!</v>
      </c>
      <c r="C282" s="27" t="e">
        <f>IF(AND(#REF!="neen",#REF!="ja"),-1500,0)</f>
        <v>#REF!</v>
      </c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2"/>
      <c r="V282" s="22"/>
      <c r="W282" s="22"/>
    </row>
    <row r="283" spans="1:23" hidden="1">
      <c r="A283" s="28"/>
      <c r="B283" s="27"/>
      <c r="C283" s="27"/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2"/>
      <c r="V283" s="22"/>
      <c r="W283" s="22"/>
    </row>
    <row r="284" spans="1:23" hidden="1">
      <c r="A284" s="28"/>
      <c r="B284" s="27"/>
      <c r="C284" s="27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2"/>
      <c r="V284" s="22"/>
      <c r="W284" s="22"/>
    </row>
    <row r="285" spans="1:23" ht="13.5" hidden="1" thickBot="1">
      <c r="A285" s="28"/>
      <c r="B285" s="27"/>
      <c r="C285" s="27"/>
      <c r="D285" s="27"/>
      <c r="E285" s="27"/>
      <c r="F285" s="27"/>
      <c r="G285" s="27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</row>
    <row r="286" spans="1:23" ht="13.5" hidden="1" thickBot="1">
      <c r="A286" s="6"/>
      <c r="B286" s="29"/>
      <c r="C286" s="23"/>
      <c r="D286" s="23"/>
      <c r="E286" s="23"/>
      <c r="F286" s="23"/>
      <c r="G286" s="23"/>
      <c r="H286" s="30"/>
      <c r="I286" s="30"/>
      <c r="J286" s="30"/>
      <c r="K286" s="30"/>
      <c r="L286" s="30"/>
      <c r="M286" s="30"/>
      <c r="N286" s="30"/>
      <c r="O286" s="30"/>
      <c r="P286" s="30"/>
      <c r="Q286" s="30"/>
      <c r="R286" s="30"/>
      <c r="S286" s="30"/>
      <c r="T286" s="30"/>
      <c r="U286" s="30"/>
      <c r="V286" s="30"/>
      <c r="W286" s="30"/>
    </row>
    <row r="287" spans="1:23" ht="13.5" hidden="1" thickBot="1">
      <c r="A287" s="6"/>
      <c r="B287" s="6"/>
      <c r="C287" s="6"/>
      <c r="D287" s="6"/>
      <c r="E287" s="30"/>
      <c r="F287" s="30"/>
      <c r="G287" s="30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</row>
    <row r="288" spans="1:23" hidden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</row>
    <row r="289" spans="1:23" hidden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</row>
    <row r="290" spans="1:23" hidden="1">
      <c r="A290" s="6" t="s">
        <v>2</v>
      </c>
      <c r="B290" s="6"/>
      <c r="C290" s="6" t="s">
        <v>24</v>
      </c>
      <c r="D290" s="6" t="s">
        <v>25</v>
      </c>
      <c r="E290" s="6"/>
      <c r="F290" s="18" t="s">
        <v>29</v>
      </c>
      <c r="G290" s="18" t="s">
        <v>29</v>
      </c>
      <c r="H290" s="18" t="s">
        <v>29</v>
      </c>
      <c r="I290" s="18" t="s">
        <v>29</v>
      </c>
      <c r="J290" s="6" t="s">
        <v>29</v>
      </c>
      <c r="K290" s="6" t="s">
        <v>29</v>
      </c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</row>
    <row r="291" spans="1:23" hidden="1">
      <c r="A291" s="6"/>
      <c r="B291" s="6"/>
      <c r="C291" s="6"/>
      <c r="D291" s="6">
        <v>525</v>
      </c>
      <c r="E291" s="6"/>
      <c r="F291" s="18" t="s">
        <v>30</v>
      </c>
      <c r="G291" s="18" t="s">
        <v>30</v>
      </c>
      <c r="H291" s="18" t="s">
        <v>30</v>
      </c>
      <c r="I291" s="18" t="s">
        <v>30</v>
      </c>
      <c r="J291" s="6" t="s">
        <v>30</v>
      </c>
      <c r="K291" s="6" t="s">
        <v>30</v>
      </c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</row>
    <row r="292" spans="1:23" hidden="1">
      <c r="A292" s="6"/>
      <c r="B292" s="6"/>
      <c r="C292" s="6"/>
      <c r="D292" s="6">
        <v>100</v>
      </c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</row>
    <row r="293" spans="1:23" hidden="1">
      <c r="A293" s="6"/>
      <c r="B293" s="6"/>
      <c r="C293" s="6"/>
      <c r="D293" s="6">
        <v>675</v>
      </c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</row>
    <row r="294" spans="1:23" hidden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</row>
    <row r="295" spans="1:23" hidden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</row>
    <row r="296" spans="1:23" hidden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</row>
    <row r="297" spans="1:23" ht="14.25" hidden="1">
      <c r="A297" s="31" t="s">
        <v>26</v>
      </c>
      <c r="B297" s="31"/>
      <c r="C297" s="31" t="s">
        <v>26</v>
      </c>
      <c r="D297" s="32" t="s">
        <v>27</v>
      </c>
      <c r="E297" s="33"/>
      <c r="F297" s="31" t="s">
        <v>7</v>
      </c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</row>
    <row r="298" spans="1:23" ht="15" hidden="1">
      <c r="A298" s="34">
        <v>0</v>
      </c>
      <c r="B298" s="35"/>
      <c r="C298" s="34">
        <v>7500</v>
      </c>
      <c r="D298" s="36">
        <v>4.5600000000000002E-2</v>
      </c>
      <c r="E298" s="37"/>
      <c r="F298" s="34">
        <f>IF($B$10&lt;C298,$B$10*D298,C298*D298)</f>
        <v>0</v>
      </c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</row>
    <row r="299" spans="1:23" ht="15" hidden="1">
      <c r="A299" s="34">
        <v>7500</v>
      </c>
      <c r="B299" s="35"/>
      <c r="C299" s="34">
        <v>17500</v>
      </c>
      <c r="D299" s="36">
        <v>2.8500000000000001E-2</v>
      </c>
      <c r="E299" s="37"/>
      <c r="F299" s="35" t="str">
        <f t="shared" ref="F299:F304" si="0">IF($B$10&lt;=A299," ",IF($B$10&lt;C299,($B$10-C298)*D299,(C299-A299)*D299))</f>
        <v xml:space="preserve"> </v>
      </c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</row>
    <row r="300" spans="1:23" ht="15" hidden="1">
      <c r="A300" s="34">
        <v>17500</v>
      </c>
      <c r="B300" s="35"/>
      <c r="C300" s="34">
        <v>30000</v>
      </c>
      <c r="D300" s="36">
        <v>2.2800000000000001E-2</v>
      </c>
      <c r="E300" s="37"/>
      <c r="F300" s="35" t="str">
        <f t="shared" si="0"/>
        <v xml:space="preserve"> </v>
      </c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</row>
    <row r="301" spans="1:23" ht="15" hidden="1">
      <c r="A301" s="34">
        <v>30000</v>
      </c>
      <c r="B301" s="35"/>
      <c r="C301" s="34">
        <v>45495</v>
      </c>
      <c r="D301" s="36">
        <v>1.7100000000000001E-2</v>
      </c>
      <c r="E301" s="37"/>
      <c r="F301" s="35" t="str">
        <f t="shared" si="0"/>
        <v xml:space="preserve"> </v>
      </c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</row>
    <row r="302" spans="1:23" ht="15" hidden="1">
      <c r="A302" s="34">
        <v>45495</v>
      </c>
      <c r="B302" s="35"/>
      <c r="C302" s="34">
        <v>64095</v>
      </c>
      <c r="D302" s="36">
        <v>1.14E-2</v>
      </c>
      <c r="E302" s="37"/>
      <c r="F302" s="35" t="str">
        <f t="shared" si="0"/>
        <v xml:space="preserve"> </v>
      </c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</row>
    <row r="303" spans="1:23" ht="15" hidden="1">
      <c r="A303" s="34">
        <v>64095</v>
      </c>
      <c r="B303" s="35"/>
      <c r="C303" s="34">
        <v>250095</v>
      </c>
      <c r="D303" s="36">
        <v>5.7000000000000002E-3</v>
      </c>
      <c r="E303" s="37"/>
      <c r="F303" s="35" t="str">
        <f t="shared" si="0"/>
        <v xml:space="preserve"> </v>
      </c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</row>
    <row r="304" spans="1:23" ht="15" hidden="1">
      <c r="A304" s="34">
        <v>250095</v>
      </c>
      <c r="B304" s="35"/>
      <c r="C304" s="34">
        <f>$B$10</f>
        <v>0</v>
      </c>
      <c r="D304" s="36">
        <v>5.6999999999999998E-4</v>
      </c>
      <c r="E304" s="37"/>
      <c r="F304" s="35" t="str">
        <f t="shared" si="0"/>
        <v xml:space="preserve"> </v>
      </c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</row>
    <row r="305" spans="1:23" ht="15" hidden="1">
      <c r="A305" s="38"/>
      <c r="B305" s="39"/>
      <c r="C305" s="39"/>
      <c r="D305" s="40"/>
      <c r="E305" s="41"/>
      <c r="F305" s="41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</row>
    <row r="306" spans="1:23" ht="15" hidden="1">
      <c r="A306" s="31" t="s">
        <v>28</v>
      </c>
      <c r="B306" s="42"/>
      <c r="C306" s="39"/>
      <c r="D306" s="43"/>
      <c r="E306" s="41"/>
      <c r="F306" s="44">
        <f>SUM(F298:F305)</f>
        <v>0</v>
      </c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</row>
    <row r="307" spans="1:23" hidden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</row>
    <row r="308" spans="1:23" hidden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</row>
    <row r="309" spans="1:23" hidden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</row>
    <row r="310" spans="1:23" hidden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</row>
    <row r="311" spans="1:23" hidden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</row>
    <row r="312" spans="1:23" hidden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</row>
    <row r="313" spans="1:23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</row>
    <row r="314" spans="1:23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</row>
    <row r="315" spans="1:23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</row>
    <row r="316" spans="1:23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</row>
    <row r="317" spans="1:23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</row>
    <row r="318" spans="1:23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</row>
    <row r="319" spans="1:23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</row>
    <row r="320" spans="1:23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</row>
    <row r="321" spans="1:23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</row>
    <row r="322" spans="1:23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</row>
    <row r="323" spans="1:23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</row>
    <row r="324" spans="1:23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</row>
    <row r="325" spans="1:23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</row>
    <row r="326" spans="1:23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</row>
    <row r="327" spans="1:23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</row>
    <row r="328" spans="1:23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</row>
    <row r="329" spans="1:23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</row>
    <row r="330" spans="1:23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</row>
    <row r="331" spans="1:23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</row>
    <row r="332" spans="1:23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</row>
    <row r="333" spans="1:23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</row>
    <row r="334" spans="1:23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</row>
    <row r="335" spans="1:23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</row>
    <row r="336" spans="1:23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</row>
    <row r="337" spans="1:23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</row>
    <row r="338" spans="1:23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</row>
    <row r="339" spans="1:23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</row>
    <row r="340" spans="1:23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</row>
    <row r="341" spans="1:23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</row>
    <row r="342" spans="1:23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</row>
    <row r="343" spans="1:23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</row>
    <row r="344" spans="1:23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</row>
    <row r="345" spans="1:23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</row>
    <row r="346" spans="1:23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</row>
    <row r="347" spans="1:23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</row>
    <row r="348" spans="1:23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</row>
    <row r="349" spans="1:23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</row>
    <row r="350" spans="1:23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</row>
    <row r="351" spans="1:23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</row>
    <row r="352" spans="1:23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</row>
    <row r="353" spans="1:23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</row>
    <row r="354" spans="1:23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</row>
    <row r="355" spans="1:23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</row>
    <row r="356" spans="1:23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</row>
    <row r="357" spans="1:23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</row>
    <row r="358" spans="1:23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</row>
    <row r="359" spans="1:23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</row>
    <row r="360" spans="1:23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</row>
    <row r="361" spans="1:23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</row>
    <row r="362" spans="1:23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</row>
    <row r="363" spans="1:23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</row>
    <row r="364" spans="1:23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</row>
    <row r="365" spans="1:23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</row>
    <row r="366" spans="1:23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</row>
    <row r="367" spans="1:23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</row>
    <row r="368" spans="1:23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</row>
    <row r="369" spans="1:23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</row>
    <row r="370" spans="1:23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</row>
    <row r="371" spans="1:23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</row>
    <row r="372" spans="1:23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</row>
    <row r="373" spans="1:23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</row>
    <row r="374" spans="1:23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</row>
    <row r="375" spans="1:23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</row>
    <row r="376" spans="1:23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</row>
    <row r="377" spans="1:23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</row>
    <row r="378" spans="1:23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</row>
    <row r="379" spans="1:23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</row>
    <row r="380" spans="1:23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</row>
    <row r="381" spans="1:23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</row>
    <row r="382" spans="1:23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</row>
    <row r="383" spans="1:23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</row>
    <row r="384" spans="1:23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</row>
    <row r="385" spans="1:23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</row>
    <row r="386" spans="1:23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</row>
    <row r="387" spans="1:23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</row>
    <row r="388" spans="1:23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</row>
    <row r="389" spans="1:23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</row>
    <row r="390" spans="1:23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</row>
    <row r="391" spans="1:23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</row>
    <row r="392" spans="1:23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</row>
    <row r="393" spans="1:23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</row>
    <row r="394" spans="1:23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</row>
    <row r="395" spans="1:23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</row>
    <row r="396" spans="1:23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</row>
    <row r="397" spans="1:23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</row>
    <row r="398" spans="1:23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</row>
    <row r="399" spans="1:23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</row>
    <row r="400" spans="1:23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</row>
    <row r="401" spans="1:23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</row>
    <row r="402" spans="1:23">
      <c r="A402" s="6"/>
      <c r="B402" s="6"/>
      <c r="C402" s="6"/>
      <c r="D402" s="6"/>
      <c r="E402" s="6"/>
      <c r="F402" s="6"/>
      <c r="G402" s="6"/>
    </row>
  </sheetData>
  <sheetProtection algorithmName="SHA-512" hashValue="cXEnFzRamRmoUriF1zwC9D3jr6vRdzsYbPOMA4FToNHPw1j6H8AujeV5IQ5/TuEpQqyV59B00dBX+tJs+6zlag==" saltValue="PXn7qxDuG4zjomcbem704g==" spinCount="100000" sheet="1" objects="1" scenarios="1"/>
  <phoneticPr fontId="0" type="noConversion"/>
  <dataValidations count="8">
    <dataValidation type="list" allowBlank="1" showInputMessage="1" showErrorMessage="1" sqref="B7">
      <formula1>$K$290:$K$291</formula1>
    </dataValidation>
    <dataValidation type="list" allowBlank="1" showInputMessage="1" showErrorMessage="1" sqref="B12">
      <formula1>C218:C219</formula1>
    </dataValidation>
    <dataValidation type="list" allowBlank="1" showInputMessage="1" showErrorMessage="1" sqref="B13">
      <formula1>A218:A256</formula1>
    </dataValidation>
    <dataValidation type="list" allowBlank="1" showInputMessage="1" showErrorMessage="1" sqref="B15">
      <formula1>E218:E219</formula1>
    </dataValidation>
    <dataValidation type="list" allowBlank="1" showInputMessage="1" showErrorMessage="1" sqref="B14">
      <formula1>D218:D219</formula1>
    </dataValidation>
    <dataValidation type="list" allowBlank="1" showInputMessage="1" showErrorMessage="1" sqref="B60">
      <formula1>$E$171:$E$172</formula1>
    </dataValidation>
    <dataValidation type="list" allowBlank="1" showInputMessage="1" showErrorMessage="1" sqref="C44:C45">
      <formula1>$G$86:$G$87</formula1>
    </dataValidation>
    <dataValidation type="list" allowBlank="1" showInputMessage="1" showErrorMessage="1" sqref="C37:C40">
      <formula1>$E$114:$E$115</formula1>
    </dataValidation>
  </dataValidations>
  <hyperlinks>
    <hyperlink ref="C110" r:id="rId1"/>
    <hyperlink ref="C108" r:id="rId2"/>
    <hyperlink ref="B108" r:id="rId3"/>
    <hyperlink ref="B112" r:id="rId4"/>
    <hyperlink ref="B110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8</vt:i4>
      </vt:variant>
    </vt:vector>
  </HeadingPairs>
  <TitlesOfParts>
    <vt:vector size="9" baseType="lpstr">
      <vt:lpstr>VKWBTWBREYNELENHV</vt:lpstr>
      <vt:lpstr>VKWBTWBREYNELENHV!_1._Zegels_Minuut_Brevet</vt:lpstr>
      <vt:lpstr>VKWBTWBREYNELENHV!_2._Registratie_Minuut_Brevet</vt:lpstr>
      <vt:lpstr>VKWBTWBREYNELENHV!_3._Registratie_aanhangsel</vt:lpstr>
      <vt:lpstr>VKWBTWBREYNELENHV!Aard</vt:lpstr>
      <vt:lpstr>VKWBTWBREYNELENHV!Afdrukbereik</vt:lpstr>
      <vt:lpstr>VKWBTWBREYNELENHV!Datum</vt:lpstr>
      <vt:lpstr>VKWBTWBREYNELENHV!KOSTENFICHE</vt:lpstr>
      <vt:lpstr>VKWBTWBREYNELENHV!Rep.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2014-11-15T20:25:02Z</dcterms:modified>
</cp:coreProperties>
</file>