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HV" sheetId="1" r:id="rId1"/>
  </sheets>
  <definedNames>
    <definedName name="_1._Zegels_Minuut_Brevet" localSheetId="0">VKWBTWBREYNEPWHV!$A$19:$F$19</definedName>
    <definedName name="_1._Zegels_Minuut_Brevet">#REF!</definedName>
    <definedName name="_10._Tweede_getuigschrift" localSheetId="0">VKWBTWBREYNEPWHV!#REF!</definedName>
    <definedName name="_10._Tweede_getuigschrift">#REF!</definedName>
    <definedName name="_11._Kadaster_uittreksel" localSheetId="0">VKWBTWBREYNEPWHV!#REF!</definedName>
    <definedName name="_11._Kadaster_uittreksel">#REF!</definedName>
    <definedName name="_12._Getuigen" localSheetId="0">VKWBTWBREYNEPWHV!#REF!</definedName>
    <definedName name="_12._Getuigen">#REF!</definedName>
    <definedName name="_13._Allerlei_uitgaven" localSheetId="0">VKWBTWBREYNEPWHV!#REF!</definedName>
    <definedName name="_13._Allerlei_uitgaven">#REF!</definedName>
    <definedName name="_14." localSheetId="0">VKWBTWBREYNEPWHV!#REF!</definedName>
    <definedName name="_14.">#REF!</definedName>
    <definedName name="_15." localSheetId="0">VKWBTWBREYNEPWHV!#REF!</definedName>
    <definedName name="_15.">#REF!</definedName>
    <definedName name="_2._Registratie_Minuut_Brevet" localSheetId="0">VKWBTWBREYNEPWHV!$B$22:$G$22</definedName>
    <definedName name="_2._Registratie_Minuut_Brevet">#REF!</definedName>
    <definedName name="_3._Registratie_aanhangsel" localSheetId="0">VKWBTWBREYNEPWHV!$E$23:$G$23</definedName>
    <definedName name="_3._Registratie_aanhangsel">#REF!</definedName>
    <definedName name="_4.Zegels_afschrift_grosse" localSheetId="0">VKWBTWBREYNEPWHV!#REF!</definedName>
    <definedName name="_4.Zegels_afschrift_grosse">#REF!</definedName>
    <definedName name="_5._Hypotheek__inschr._overschr._doorh." localSheetId="0">VKWBTWBREYNEPWHV!#REF!</definedName>
    <definedName name="_5._Hypotheek__inschr._overschr._doorh.">#REF!</definedName>
    <definedName name="_6._Loon_pandbewaarder" localSheetId="0">VKWBTWBREYNEPWHV!#REF!</definedName>
    <definedName name="_6._Loon_pandbewaarder">#REF!</definedName>
    <definedName name="_7._Zegels__bord._aanh." localSheetId="0">VKWBTWBREYNEPWHV!#REF!</definedName>
    <definedName name="_7._Zegels__bord._aanh.">#REF!</definedName>
    <definedName name="_8._Opzoekingen" localSheetId="0">VKWBTWBREYNEPWHV!#REF!</definedName>
    <definedName name="_8._Opzoekingen">#REF!</definedName>
    <definedName name="_9._Hypothecair_getuigschrift" localSheetId="0">VKWBTWBREYNEPWHV!#REF!</definedName>
    <definedName name="_9._Hypothecair_getuigschrift">#REF!</definedName>
    <definedName name="Aard" localSheetId="0">VKWBTWBREYNEPWHV!$B$4:$F$4</definedName>
    <definedName name="Aard">#REF!</definedName>
    <definedName name="_xlnm.Print_Area" localSheetId="0">VKWBTWBREYNEPWHV!$A$1:$E$104</definedName>
    <definedName name="Datum" localSheetId="0">VKWBTWBREYNEPWHV!$B$4:$G$50</definedName>
    <definedName name="Datum">#REF!</definedName>
    <definedName name="gemeentelijke_info">#REF!</definedName>
    <definedName name="Kantoor_van_Notaris_J._SIMONART_te_Leuven" localSheetId="0">VKWBTWBREYNEPWHV!#REF!</definedName>
    <definedName name="Kantoor_van_Notaris_J._SIMONART_te_Leuven">#REF!</definedName>
    <definedName name="KOSTENFICHE" localSheetId="0">VKWBTWBREYNEPWHV!$A$1:$G$50</definedName>
    <definedName name="KOSTENFICHE">#REF!</definedName>
    <definedName name="Last_Row">IF(Values_Entered,Header_Row+Number_of_Payments,Header_Row)</definedName>
    <definedName name="Naam" localSheetId="0">VKWBTWBREYNEPWHV!#REF!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VKWBTWBREYNEPWHV!$F$4:$F$50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VKWBTWBREYNEPWHV!#REF!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VKWBTWBREYNEPWHV!$A$3:$G$50</definedName>
  </definedNames>
  <calcPr calcId="152511"/>
</workbook>
</file>

<file path=xl/calcChain.xml><?xml version="1.0" encoding="utf-8"?>
<calcChain xmlns="http://schemas.openxmlformats.org/spreadsheetml/2006/main">
  <c r="B10" i="1" l="1"/>
  <c r="F335" i="1"/>
  <c r="D21" i="1"/>
  <c r="D23" i="1"/>
  <c r="C56" i="1"/>
  <c r="G210" i="1" s="1"/>
  <c r="C60" i="1"/>
  <c r="G198" i="1" s="1"/>
  <c r="B65" i="1"/>
  <c r="B66" i="1"/>
  <c r="H173" i="1" s="1"/>
  <c r="H174" i="1" s="1"/>
  <c r="H175" i="1" s="1"/>
  <c r="H176" i="1" s="1"/>
  <c r="C68" i="1" s="1"/>
  <c r="C70" i="1"/>
  <c r="C72" i="1"/>
  <c r="C74" i="1"/>
  <c r="B88" i="1"/>
  <c r="F141" i="1"/>
  <c r="E115" i="1"/>
  <c r="E119" i="1" s="1"/>
  <c r="D42" i="1" s="1"/>
  <c r="F115" i="1"/>
  <c r="E116" i="1"/>
  <c r="F116" i="1"/>
  <c r="E117" i="1"/>
  <c r="F117" i="1"/>
  <c r="E118" i="1"/>
  <c r="F118" i="1"/>
  <c r="D43" i="1"/>
  <c r="E121" i="1"/>
  <c r="E125" i="1"/>
  <c r="D45" i="1" s="1"/>
  <c r="D50" i="1" s="1"/>
  <c r="E122" i="1"/>
  <c r="F122" i="1"/>
  <c r="E123" i="1"/>
  <c r="F123" i="1"/>
  <c r="E124" i="1"/>
  <c r="F124" i="1"/>
  <c r="F125" i="1"/>
  <c r="D46" i="1" s="1"/>
  <c r="H132" i="1"/>
  <c r="I132" i="1"/>
  <c r="H134" i="1" s="1"/>
  <c r="C95" i="1" s="1"/>
  <c r="J132" i="1"/>
  <c r="F140" i="1"/>
  <c r="G161" i="1"/>
  <c r="H161" i="1"/>
  <c r="J202" i="1"/>
  <c r="G205" i="1"/>
  <c r="J205" i="1"/>
  <c r="J211" i="1"/>
  <c r="J215" i="1"/>
  <c r="G217" i="1"/>
  <c r="J227" i="1"/>
  <c r="G230" i="1"/>
  <c r="J230" i="1"/>
  <c r="G236" i="1"/>
  <c r="G244" i="1"/>
  <c r="J240" i="1"/>
  <c r="G243" i="1"/>
  <c r="J243" i="1"/>
  <c r="C294" i="1"/>
  <c r="F299" i="1" s="1"/>
  <c r="F303" i="1" s="1"/>
  <c r="D20" i="1" s="1"/>
  <c r="D26" i="1" s="1"/>
  <c r="D29" i="1" s="1"/>
  <c r="D48" i="1" s="1"/>
  <c r="C295" i="1"/>
  <c r="C296" i="1"/>
  <c r="D296" i="1"/>
  <c r="F296" i="1"/>
  <c r="C297" i="1"/>
  <c r="D297" i="1"/>
  <c r="F297" i="1"/>
  <c r="F298" i="1"/>
  <c r="F300" i="1"/>
  <c r="F301" i="1"/>
  <c r="F333" i="1"/>
  <c r="F334" i="1"/>
  <c r="F336" i="1"/>
  <c r="F337" i="1"/>
  <c r="F338" i="1"/>
  <c r="D372" i="1"/>
  <c r="D373" i="1"/>
  <c r="D374" i="1"/>
  <c r="D375" i="1"/>
  <c r="H382" i="1"/>
  <c r="J387" i="1"/>
  <c r="J388" i="1"/>
  <c r="J389" i="1"/>
  <c r="J390" i="1"/>
  <c r="J391" i="1"/>
  <c r="J392" i="1"/>
  <c r="J393" i="1"/>
  <c r="I396" i="1" s="1"/>
  <c r="I394" i="1"/>
  <c r="F425" i="1"/>
  <c r="F426" i="1"/>
  <c r="F428" i="1"/>
  <c r="F429" i="1"/>
  <c r="F430" i="1"/>
  <c r="F431" i="1"/>
  <c r="F144" i="1"/>
  <c r="F145" i="1"/>
  <c r="J239" i="1"/>
  <c r="J217" i="1"/>
  <c r="J214" i="1"/>
  <c r="J242" i="1"/>
  <c r="J238" i="1"/>
  <c r="J213" i="1"/>
  <c r="J241" i="1"/>
  <c r="J237" i="1"/>
  <c r="I246" i="1" s="1"/>
  <c r="J216" i="1"/>
  <c r="J212" i="1"/>
  <c r="I220" i="1" s="1"/>
  <c r="C431" i="1"/>
  <c r="F427" i="1"/>
  <c r="F433" i="1"/>
  <c r="D19" i="1" s="1"/>
  <c r="D27" i="1" s="1"/>
  <c r="F339" i="1"/>
  <c r="F341" i="1"/>
  <c r="F143" i="1"/>
  <c r="D138" i="1"/>
  <c r="F146" i="1"/>
  <c r="F142" i="1"/>
  <c r="J226" i="1"/>
  <c r="J201" i="1"/>
  <c r="I244" i="1"/>
  <c r="J229" i="1"/>
  <c r="J225" i="1"/>
  <c r="J204" i="1"/>
  <c r="J200" i="1"/>
  <c r="K157" i="1"/>
  <c r="K159" i="1"/>
  <c r="K161" i="1" s="1"/>
  <c r="C63" i="1" s="1"/>
  <c r="B67" i="1"/>
  <c r="J228" i="1"/>
  <c r="J224" i="1"/>
  <c r="I233" i="1" s="1"/>
  <c r="J203" i="1"/>
  <c r="J199" i="1"/>
  <c r="I208" i="1" s="1"/>
  <c r="E62" i="1" s="1"/>
  <c r="J148" i="1"/>
  <c r="J149" i="1" s="1"/>
  <c r="E92" i="1" s="1"/>
  <c r="E97" i="1" s="1"/>
  <c r="I206" i="1" l="1"/>
  <c r="G206" i="1"/>
  <c r="I218" i="1"/>
  <c r="G218" i="1"/>
  <c r="E99" i="1"/>
  <c r="E103" i="1" s="1"/>
  <c r="E63" i="1"/>
  <c r="E80" i="1" s="1"/>
  <c r="E76" i="1"/>
  <c r="E78" i="1" s="1"/>
  <c r="C97" i="1"/>
  <c r="E98" i="1" s="1"/>
  <c r="E101" i="1"/>
  <c r="A165" i="1"/>
  <c r="C76" i="1" s="1"/>
  <c r="E77" i="1" s="1"/>
  <c r="G223" i="1"/>
  <c r="I231" i="1" l="1"/>
  <c r="G231" i="1"/>
  <c r="E82" i="1"/>
</calcChain>
</file>

<file path=xl/sharedStrings.xml><?xml version="1.0" encoding="utf-8"?>
<sst xmlns="http://schemas.openxmlformats.org/spreadsheetml/2006/main" count="220" uniqueCount="129">
  <si>
    <t>Dossier</t>
  </si>
  <si>
    <t>Cliënt</t>
  </si>
  <si>
    <t>Prijs</t>
  </si>
  <si>
    <t>Lasten:</t>
  </si>
  <si>
    <t>Betaald voorschot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</si>
  <si>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</si>
  <si>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</si>
  <si>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</si>
  <si>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</si>
  <si>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</si>
  <si>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</si>
  <si>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</si>
  <si>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</si>
  <si>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</si>
  <si>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</si>
  <si>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</si>
  <si>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</si>
  <si>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</si>
  <si>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</si>
  <si>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</si>
  <si>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</si>
  <si>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</si>
  <si>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</si>
  <si>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</si>
  <si>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</si>
  <si>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</si>
  <si>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</si>
  <si>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</si>
  <si>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</si>
  <si>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</si>
  <si>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</si>
  <si>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</si>
  <si>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</si>
  <si>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</si>
  <si>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</si>
  <si>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</si>
  <si>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</si>
  <si>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Boekje</t>
  </si>
  <si>
    <t>Klein beschrijf?</t>
  </si>
  <si>
    <t>NVT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</si>
  <si>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</si>
  <si>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</si>
  <si>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</si>
  <si>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</si>
  <si>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</si>
  <si>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</si>
  <si>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</si>
  <si>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</si>
  <si>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</si>
  <si>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</si>
  <si>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</si>
  <si>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</si>
  <si>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</si>
  <si>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</si>
  <si>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</si>
  <si>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</si>
  <si>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</si>
  <si>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</si>
  <si>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</si>
  <si>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</si>
  <si>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</si>
  <si>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</si>
  <si>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</si>
  <si>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</si>
  <si>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</si>
  <si>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</si>
  <si>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</si>
  <si>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</si>
  <si>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</si>
  <si>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</si>
  <si>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</si>
  <si>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</si>
  <si>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Gebied met vastgoeddruk?</t>
  </si>
  <si>
    <t xml:space="preserve">KRO Soc. Wall. of Fam. Nombr.? </t>
  </si>
  <si>
    <t>Sociaal krediet voor minstens 50%?</t>
  </si>
  <si>
    <t>Bodemattesten (?)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</si>
  <si>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</si>
  <si>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</si>
  <si>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</si>
  <si>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</si>
  <si>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</si>
  <si>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</si>
  <si>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</si>
  <si>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</si>
  <si>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Hoofdsom</t>
  </si>
  <si>
    <t>Aanhor.</t>
  </si>
  <si>
    <t>Totaal uitgaven</t>
  </si>
  <si>
    <t>Totaal</t>
  </si>
  <si>
    <t>Tot. Uitg.</t>
  </si>
  <si>
    <t>Samen</t>
  </si>
  <si>
    <t>Totaal:</t>
  </si>
  <si>
    <t>Loon hypotheekbewaarder doorhaling</t>
  </si>
  <si>
    <t>PANDWISSEL BIJ AANKOOP</t>
  </si>
  <si>
    <t>Oude inschrijving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</si>
  <si>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</si>
  <si>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</si>
  <si>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</si>
  <si>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</si>
  <si>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</si>
  <si>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</si>
  <si>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</si>
  <si>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</si>
  <si>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</si>
  <si>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</si>
  <si>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</si>
  <si>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plus BTW</t>
  </si>
  <si>
    <t>Tarief</t>
  </si>
  <si>
    <t>Ereloon G</t>
  </si>
  <si>
    <t>Lening</t>
  </si>
  <si>
    <t>Hypothecaire volmacht</t>
  </si>
  <si>
    <t>HYPOTHECAIRE VOLMACHT</t>
  </si>
  <si>
    <t>Hoeveel hypotheekkantoren?</t>
  </si>
  <si>
    <t>Recht op geschriften</t>
  </si>
  <si>
    <t>Registratierecht akte</t>
  </si>
  <si>
    <t>Registratierecht bijlagen</t>
  </si>
  <si>
    <t>Donceel</t>
  </si>
  <si>
    <t>Genappe</t>
  </si>
  <si>
    <t>Perwez</t>
  </si>
  <si>
    <t>Profondeville</t>
  </si>
  <si>
    <t>Sainte-Ode</t>
  </si>
  <si>
    <t>Silly</t>
  </si>
  <si>
    <t>koper</t>
  </si>
  <si>
    <t>verkoper</t>
  </si>
  <si>
    <t>Kosten ten laste van de verkoper of de koper (maak de keuze)</t>
  </si>
  <si>
    <t>Andere</t>
  </si>
  <si>
    <t>Totaal bijkomende kosten koper</t>
  </si>
  <si>
    <t>Totaal bijkomende kosten verkoper:</t>
  </si>
  <si>
    <t>Algemeen totaal koper:</t>
  </si>
  <si>
    <t>VERKOOP ONROEREND GOED met BTW - WALLONIE + PANDWISSEL + HYPOTHECAIRE VOLMACHT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</si>
</sst>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  <numFmt numFmtId="182" formatCode="0.0000%"/>
  </numFmts>
  <fonts count="20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9"/>
      <color indexed="9"/>
      <name val="Arial"/>
      <family val="2"/>
    </font>
    <font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7" fontId="8" fillId="0" borderId="1">
      <protection locked="0"/>
    </xf>
    <xf numFmtId="0" fontId="19" fillId="0" borderId="12" applyNumberFormat="0" applyFill="0" applyAlignment="0" applyProtection="0"/>
  </cellStyleXfs>
  <cellXfs count="151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3" xfId="13" applyNumberFormat="1" applyFont="1" applyFill="1" applyBorder="1" applyProtection="1">
      <protection hidden="1"/>
    </xf>
    <xf numFmtId="169" fontId="5" fillId="2" borderId="4" xfId="13" applyNumberFormat="1" applyFont="1" applyFill="1" applyBorder="1" applyAlignment="1" applyProtection="1">
      <alignment horizontal="center"/>
      <protection hidden="1"/>
    </xf>
    <xf numFmtId="0" fontId="5" fillId="2" borderId="4" xfId="13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168" fontId="6" fillId="2" borderId="4" xfId="13" applyNumberFormat="1" applyFont="1" applyFill="1" applyBorder="1" applyProtection="1">
      <protection hidden="1"/>
    </xf>
    <xf numFmtId="169" fontId="6" fillId="2" borderId="4" xfId="13" applyNumberFormat="1" applyFont="1" applyFill="1" applyBorder="1" applyProtection="1">
      <protection hidden="1"/>
    </xf>
    <xf numFmtId="170" fontId="6" fillId="2" borderId="4" xfId="13" applyNumberFormat="1" applyFont="1" applyFill="1" applyBorder="1" applyProtection="1">
      <protection hidden="1"/>
    </xf>
    <xf numFmtId="170" fontId="6" fillId="2" borderId="5" xfId="13" applyNumberFormat="1" applyFont="1" applyFill="1" applyBorder="1" applyProtection="1">
      <protection hidden="1"/>
    </xf>
    <xf numFmtId="0" fontId="6" fillId="2" borderId="6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7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7" xfId="13" applyFont="1" applyFill="1" applyBorder="1" applyProtection="1">
      <protection hidden="1"/>
    </xf>
    <xf numFmtId="168" fontId="5" fillId="2" borderId="4" xfId="13" applyNumberFormat="1" applyFont="1" applyFill="1" applyBorder="1" applyProtection="1">
      <protection hidden="1"/>
    </xf>
    <xf numFmtId="0" fontId="13" fillId="3" borderId="8" xfId="13" applyFont="1" applyFill="1" applyBorder="1" applyAlignment="1" applyProtection="1">
      <alignment horizontal="left"/>
      <protection hidden="1"/>
    </xf>
    <xf numFmtId="0" fontId="14" fillId="3" borderId="8" xfId="13" applyFont="1" applyFill="1" applyBorder="1" applyAlignment="1" applyProtection="1">
      <alignment horizontal="left"/>
      <protection hidden="1"/>
    </xf>
    <xf numFmtId="0" fontId="2" fillId="4" borderId="9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4" xfId="0" applyNumberFormat="1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168" fontId="6" fillId="2" borderId="4" xfId="0" applyNumberFormat="1" applyFont="1" applyFill="1" applyBorder="1" applyProtection="1">
      <protection hidden="1"/>
    </xf>
    <xf numFmtId="169" fontId="6" fillId="2" borderId="4" xfId="0" applyNumberFormat="1" applyFont="1" applyFill="1" applyBorder="1" applyProtection="1">
      <protection hidden="1"/>
    </xf>
    <xf numFmtId="170" fontId="6" fillId="2" borderId="4" xfId="0" applyNumberFormat="1" applyFont="1" applyFill="1" applyBorder="1" applyProtection="1">
      <protection hidden="1"/>
    </xf>
    <xf numFmtId="170" fontId="6" fillId="2" borderId="5" xfId="0" applyNumberFormat="1" applyFont="1" applyFill="1" applyBorder="1" applyProtection="1">
      <protection hidden="1"/>
    </xf>
    <xf numFmtId="0" fontId="6" fillId="2" borderId="6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7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7" xfId="0" applyFont="1" applyFill="1" applyBorder="1" applyProtection="1">
      <protection hidden="1"/>
    </xf>
    <xf numFmtId="168" fontId="5" fillId="2" borderId="4" xfId="0" applyNumberFormat="1" applyFont="1" applyFill="1" applyBorder="1" applyProtection="1">
      <protection hidden="1"/>
    </xf>
    <xf numFmtId="168" fontId="5" fillId="2" borderId="0" xfId="0" applyNumberFormat="1" applyFon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165" fontId="11" fillId="5" borderId="0" xfId="0" applyNumberFormat="1" applyFont="1" applyFill="1" applyBorder="1" applyAlignment="1" applyProtection="1">
      <alignment horizontal="left"/>
      <protection locked="0"/>
    </xf>
    <xf numFmtId="165" fontId="1" fillId="2" borderId="0" xfId="13" applyNumberFormat="1" applyFill="1" applyBorder="1" applyProtection="1">
      <protection hidden="1"/>
    </xf>
    <xf numFmtId="0" fontId="1" fillId="2" borderId="0" xfId="13" applyFill="1" applyBorder="1" applyAlignment="1" applyProtection="1">
      <protection hidden="1"/>
    </xf>
    <xf numFmtId="0" fontId="1" fillId="2" borderId="0" xfId="13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6" fillId="6" borderId="0" xfId="13" applyFont="1" applyFill="1" applyBorder="1" applyAlignment="1" applyProtection="1">
      <alignment horizontal="left"/>
      <protection hidden="1"/>
    </xf>
    <xf numFmtId="0" fontId="16" fillId="6" borderId="0" xfId="13" applyFont="1" applyFill="1" applyBorder="1" applyAlignment="1" applyProtection="1">
      <alignment horizontal="right"/>
      <protection hidden="1"/>
    </xf>
    <xf numFmtId="0" fontId="5" fillId="2" borderId="0" xfId="13" applyFont="1" applyFill="1" applyBorder="1" applyAlignment="1" applyProtection="1">
      <alignment horizontal="left"/>
      <protection hidden="1"/>
    </xf>
    <xf numFmtId="181" fontId="6" fillId="2" borderId="0" xfId="13" applyNumberFormat="1" applyFont="1" applyFill="1" applyBorder="1" applyProtection="1">
      <protection hidden="1"/>
    </xf>
    <xf numFmtId="169" fontId="6" fillId="2" borderId="0" xfId="13" applyNumberFormat="1" applyFont="1" applyFill="1" applyBorder="1" applyProtection="1">
      <protection hidden="1"/>
    </xf>
    <xf numFmtId="168" fontId="6" fillId="2" borderId="0" xfId="13" applyNumberFormat="1" applyFont="1" applyFill="1" applyBorder="1" applyProtection="1">
      <protection hidden="1"/>
    </xf>
    <xf numFmtId="170" fontId="6" fillId="2" borderId="0" xfId="13" applyNumberFormat="1" applyFont="1" applyFill="1" applyBorder="1" applyProtection="1">
      <protection hidden="1"/>
    </xf>
    <xf numFmtId="182" fontId="6" fillId="2" borderId="0" xfId="13" applyNumberFormat="1" applyFont="1" applyFill="1" applyBorder="1" applyProtection="1">
      <protection hidden="1"/>
    </xf>
    <xf numFmtId="168" fontId="5" fillId="2" borderId="0" xfId="13" applyNumberFormat="1" applyFont="1" applyFill="1" applyBorder="1" applyProtection="1">
      <protection hidden="1"/>
    </xf>
    <xf numFmtId="165" fontId="1" fillId="2" borderId="0" xfId="13" applyNumberFormat="1" applyFill="1"/>
    <xf numFmtId="165" fontId="1" fillId="2" borderId="0" xfId="13" applyNumberFormat="1" applyFill="1" applyProtection="1">
      <protection hidden="1"/>
    </xf>
    <xf numFmtId="0" fontId="1" fillId="3" borderId="8" xfId="13" applyNumberFormat="1" applyFill="1" applyBorder="1" applyAlignment="1" applyProtection="1">
      <protection hidden="1"/>
    </xf>
    <xf numFmtId="0" fontId="17" fillId="2" borderId="0" xfId="13" applyFont="1" applyFill="1" applyAlignment="1" applyProtection="1">
      <alignment vertical="center"/>
      <protection hidden="1"/>
    </xf>
    <xf numFmtId="0" fontId="1" fillId="2" borderId="0" xfId="13" applyNumberFormat="1" applyFill="1"/>
    <xf numFmtId="0" fontId="1" fillId="7" borderId="0" xfId="0" applyFont="1" applyFill="1" applyProtection="1">
      <protection hidden="1"/>
    </xf>
    <xf numFmtId="0" fontId="15" fillId="7" borderId="0" xfId="0" applyFont="1" applyFill="1" applyProtection="1">
      <protection hidden="1"/>
    </xf>
    <xf numFmtId="3" fontId="1" fillId="8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179" fontId="2" fillId="4" borderId="9" xfId="0" applyNumberFormat="1" applyFont="1" applyFill="1" applyBorder="1" applyAlignment="1" applyProtection="1">
      <alignment horizontal="right"/>
      <protection hidden="1"/>
    </xf>
    <xf numFmtId="166" fontId="1" fillId="3" borderId="8" xfId="13" applyNumberFormat="1" applyFill="1" applyBorder="1" applyAlignment="1" applyProtection="1">
      <protection hidden="1"/>
    </xf>
    <xf numFmtId="0" fontId="1" fillId="3" borderId="0" xfId="13" applyFill="1"/>
    <xf numFmtId="0" fontId="2" fillId="10" borderId="0" xfId="13" applyNumberFormat="1" applyFont="1" applyFill="1" applyBorder="1" applyAlignment="1" applyProtection="1">
      <alignment horizontal="left"/>
      <protection locked="0" hidden="1"/>
    </xf>
    <xf numFmtId="0" fontId="1" fillId="11" borderId="0" xfId="13" applyFont="1" applyFill="1" applyBorder="1" applyAlignment="1" applyProtection="1">
      <alignment horizontal="left"/>
      <protection locked="0" hidden="1"/>
    </xf>
    <xf numFmtId="0" fontId="1" fillId="11" borderId="0" xfId="13" applyFill="1" applyBorder="1" applyAlignment="1" applyProtection="1">
      <alignment horizontal="left"/>
      <protection hidden="1"/>
    </xf>
    <xf numFmtId="165" fontId="1" fillId="11" borderId="0" xfId="13" applyNumberFormat="1" applyFont="1" applyFill="1" applyBorder="1" applyAlignment="1" applyProtection="1">
      <alignment horizontal="right"/>
      <protection locked="0" hidden="1"/>
    </xf>
    <xf numFmtId="165" fontId="1" fillId="12" borderId="0" xfId="13" applyNumberFormat="1" applyFont="1" applyFill="1" applyBorder="1" applyAlignment="1" applyProtection="1">
      <alignment horizontal="right"/>
      <protection locked="0" hidden="1"/>
    </xf>
    <xf numFmtId="0" fontId="1" fillId="10" borderId="0" xfId="13" applyFont="1" applyFill="1" applyBorder="1" applyAlignment="1" applyProtection="1">
      <alignment horizontal="center"/>
      <protection locked="0" hidden="1"/>
    </xf>
    <xf numFmtId="165" fontId="1" fillId="13" borderId="0" xfId="13" applyNumberFormat="1" applyFill="1" applyBorder="1" applyAlignment="1" applyProtection="1">
      <protection locked="0" hidden="1"/>
    </xf>
    <xf numFmtId="165" fontId="1" fillId="10" borderId="0" xfId="13" applyNumberFormat="1" applyFill="1" applyBorder="1" applyAlignment="1" applyProtection="1">
      <protection locked="0" hidden="1"/>
    </xf>
    <xf numFmtId="165" fontId="1" fillId="14" borderId="0" xfId="13" applyNumberFormat="1" applyFont="1" applyFill="1" applyBorder="1" applyAlignment="1" applyProtection="1">
      <alignment horizontal="right"/>
      <protection hidden="1"/>
    </xf>
    <xf numFmtId="0" fontId="0" fillId="10" borderId="0" xfId="0" applyFill="1" applyBorder="1" applyAlignment="1" applyProtection="1">
      <alignment horizontal="center"/>
      <protection locked="0" hidden="1"/>
    </xf>
    <xf numFmtId="166" fontId="1" fillId="15" borderId="10" xfId="13" applyNumberFormat="1" applyFont="1" applyFill="1" applyBorder="1" applyAlignment="1" applyProtection="1">
      <alignment horizontal="left"/>
      <protection hidden="1"/>
    </xf>
    <xf numFmtId="0" fontId="2" fillId="15" borderId="0" xfId="13" applyFont="1" applyFill="1" applyBorder="1" applyAlignment="1" applyProtection="1">
      <alignment horizontal="left"/>
      <protection hidden="1"/>
    </xf>
    <xf numFmtId="0" fontId="1" fillId="15" borderId="0" xfId="13" applyFill="1"/>
    <xf numFmtId="165" fontId="1" fillId="15" borderId="10" xfId="13" applyNumberFormat="1" applyFill="1" applyBorder="1" applyProtection="1">
      <protection hidden="1"/>
    </xf>
    <xf numFmtId="165" fontId="1" fillId="10" borderId="0" xfId="13" applyNumberFormat="1" applyFill="1" applyBorder="1" applyAlignment="1" applyProtection="1">
      <alignment horizontal="left"/>
      <protection locked="0" hidden="1"/>
    </xf>
    <xf numFmtId="0" fontId="1" fillId="10" borderId="0" xfId="13" applyFill="1" applyBorder="1" applyAlignment="1" applyProtection="1">
      <alignment horizontal="center"/>
      <protection locked="0" hidden="1"/>
    </xf>
    <xf numFmtId="165" fontId="1" fillId="10" borderId="0" xfId="13" applyNumberFormat="1" applyFill="1" applyBorder="1" applyAlignment="1" applyProtection="1">
      <alignment horizontal="left"/>
      <protection locked="0"/>
    </xf>
    <xf numFmtId="0" fontId="1" fillId="15" borderId="10" xfId="13" applyFont="1" applyFill="1" applyBorder="1" applyAlignment="1" applyProtection="1">
      <alignment horizontal="left"/>
      <protection hidden="1"/>
    </xf>
    <xf numFmtId="0" fontId="1" fillId="15" borderId="0" xfId="13" applyFill="1" applyBorder="1" applyAlignment="1" applyProtection="1">
      <alignment horizontal="left"/>
      <protection hidden="1"/>
    </xf>
    <xf numFmtId="165" fontId="1" fillId="15" borderId="10" xfId="13" applyNumberFormat="1" applyFill="1" applyBorder="1" applyAlignment="1" applyProtection="1">
      <alignment horizontal="left"/>
      <protection hidden="1"/>
    </xf>
    <xf numFmtId="0" fontId="1" fillId="15" borderId="10" xfId="13" applyFont="1" applyFill="1" applyBorder="1" applyProtection="1">
      <protection hidden="1"/>
    </xf>
    <xf numFmtId="0" fontId="1" fillId="15" borderId="11" xfId="13" applyFont="1" applyFill="1" applyBorder="1" applyAlignment="1" applyProtection="1">
      <alignment horizontal="left"/>
      <protection hidden="1"/>
    </xf>
    <xf numFmtId="165" fontId="1" fillId="16" borderId="9" xfId="13" applyNumberFormat="1" applyFill="1" applyBorder="1" applyProtection="1">
      <protection hidden="1"/>
    </xf>
    <xf numFmtId="0" fontId="2" fillId="17" borderId="9" xfId="0" applyFont="1" applyFill="1" applyBorder="1" applyAlignment="1" applyProtection="1">
      <alignment horizontal="left"/>
      <protection hidden="1"/>
    </xf>
    <xf numFmtId="0" fontId="2" fillId="15" borderId="11" xfId="0" applyFont="1" applyFill="1" applyBorder="1" applyAlignment="1" applyProtection="1">
      <alignment horizontal="left"/>
      <protection hidden="1"/>
    </xf>
    <xf numFmtId="0" fontId="2" fillId="15" borderId="9" xfId="0" applyFont="1" applyFill="1" applyBorder="1" applyAlignment="1" applyProtection="1">
      <alignment horizontal="left"/>
      <protection hidden="1"/>
    </xf>
    <xf numFmtId="0" fontId="1" fillId="15" borderId="10" xfId="0" applyFont="1" applyFill="1" applyBorder="1" applyAlignment="1" applyProtection="1">
      <alignment horizontal="left"/>
      <protection hidden="1"/>
    </xf>
    <xf numFmtId="0" fontId="0" fillId="15" borderId="0" xfId="0" applyFill="1" applyBorder="1" applyAlignment="1" applyProtection="1">
      <alignment horizontal="left"/>
      <protection hidden="1"/>
    </xf>
    <xf numFmtId="164" fontId="1" fillId="15" borderId="0" xfId="0" applyNumberFormat="1" applyFont="1" applyFill="1" applyAlignment="1" applyProtection="1">
      <alignment horizontal="right"/>
      <protection hidden="1"/>
    </xf>
    <xf numFmtId="0" fontId="1" fillId="15" borderId="0" xfId="0" applyFont="1" applyFill="1" applyBorder="1" applyAlignment="1" applyProtection="1">
      <alignment horizontal="left"/>
      <protection hidden="1"/>
    </xf>
    <xf numFmtId="0" fontId="1" fillId="15" borderId="10" xfId="0" applyFont="1" applyFill="1" applyBorder="1" applyProtection="1">
      <protection hidden="1"/>
    </xf>
    <xf numFmtId="179" fontId="2" fillId="17" borderId="9" xfId="0" applyNumberFormat="1" applyFont="1" applyFill="1" applyBorder="1" applyAlignment="1" applyProtection="1">
      <alignment horizontal="right"/>
      <protection hidden="1"/>
    </xf>
    <xf numFmtId="0" fontId="1" fillId="15" borderId="0" xfId="13" applyFill="1" applyProtection="1">
      <protection hidden="1"/>
    </xf>
    <xf numFmtId="165" fontId="1" fillId="14" borderId="0" xfId="13" applyNumberFormat="1" applyFill="1"/>
    <xf numFmtId="165" fontId="1" fillId="18" borderId="0" xfId="13" applyNumberFormat="1" applyFill="1"/>
    <xf numFmtId="165" fontId="1" fillId="19" borderId="9" xfId="13" applyNumberFormat="1" applyFill="1" applyBorder="1"/>
    <xf numFmtId="0" fontId="13" fillId="3" borderId="0" xfId="13" applyFont="1" applyFill="1" applyAlignment="1" applyProtection="1">
      <alignment horizontal="left" vertical="center"/>
      <protection hidden="1"/>
    </xf>
    <xf numFmtId="0" fontId="13" fillId="3" borderId="0" xfId="13" applyFont="1" applyFill="1" applyAlignment="1" applyProtection="1">
      <alignment vertical="center"/>
      <protection hidden="1"/>
    </xf>
    <xf numFmtId="164" fontId="1" fillId="20" borderId="0" xfId="0" applyNumberFormat="1" applyFont="1" applyFill="1" applyAlignment="1" applyProtection="1">
      <alignment horizontal="right"/>
      <protection locked="0"/>
    </xf>
    <xf numFmtId="0" fontId="0" fillId="5" borderId="0" xfId="0" applyFill="1" applyBorder="1" applyAlignment="1" applyProtection="1">
      <alignment horizontal="left"/>
      <protection locked="0"/>
    </xf>
    <xf numFmtId="164" fontId="1" fillId="9" borderId="0" xfId="0" applyNumberFormat="1" applyFont="1" applyFill="1" applyAlignment="1" applyProtection="1">
      <alignment horizontal="right"/>
      <protection locked="0"/>
    </xf>
    <xf numFmtId="0" fontId="1" fillId="2" borderId="0" xfId="13" applyFill="1" applyAlignment="1">
      <alignment horizontal="right"/>
    </xf>
    <xf numFmtId="165" fontId="1" fillId="2" borderId="0" xfId="13" applyNumberFormat="1" applyFill="1" applyAlignment="1">
      <alignment horizontal="right"/>
    </xf>
    <xf numFmtId="165" fontId="1" fillId="10" borderId="0" xfId="13" applyNumberFormat="1" applyFill="1" applyProtection="1">
      <protection locked="0"/>
    </xf>
    <xf numFmtId="165" fontId="1" fillId="11" borderId="0" xfId="13" applyNumberFormat="1" applyFill="1" applyProtection="1">
      <protection locked="0"/>
    </xf>
    <xf numFmtId="0" fontId="1" fillId="11" borderId="0" xfId="13" applyFill="1" applyAlignment="1" applyProtection="1">
      <alignment horizontal="center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PWHVAK.xlsx" TargetMode="External"/><Relationship Id="rId2" Type="http://schemas.openxmlformats.org/officeDocument/2006/relationships/hyperlink" Target="VKWBTWBREYNEPWHVAV.xlsx" TargetMode="External"/><Relationship Id="rId1" Type="http://schemas.openxmlformats.org/officeDocument/2006/relationships/hyperlink" Target="VKWBTWBREYNEPW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9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9.5703125" style="1" customWidth="1"/>
    <col min="3" max="3" width="18.28515625" style="1" customWidth="1"/>
    <col min="4" max="4" width="15.7109375" style="1" customWidth="1"/>
    <col min="5" max="5" width="16.7109375" style="1" customWidth="1"/>
    <col min="6" max="6" width="1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8" ht="27.75" customHeight="1" thickTop="1">
      <c r="A1" s="46" t="s">
        <v>128</v>
      </c>
      <c r="B1" s="47"/>
      <c r="C1" s="47"/>
      <c r="D1" s="47"/>
      <c r="E1" s="91"/>
      <c r="F1" s="103"/>
      <c r="G1" s="103"/>
      <c r="H1" s="104"/>
    </row>
    <row r="2" spans="1:8">
      <c r="A2" s="2"/>
      <c r="B2" s="2"/>
      <c r="C2" s="2"/>
      <c r="D2" s="2"/>
      <c r="E2" s="3"/>
      <c r="F2" s="3"/>
      <c r="G2" s="3"/>
    </row>
    <row r="3" spans="1:8">
      <c r="A3" s="2" t="s">
        <v>0</v>
      </c>
      <c r="B3" s="105"/>
      <c r="C3" s="2"/>
      <c r="D3" s="2"/>
      <c r="E3" s="3"/>
      <c r="F3" s="3"/>
      <c r="G3" s="4"/>
    </row>
    <row r="4" spans="1:8">
      <c r="A4" s="2" t="s">
        <v>1</v>
      </c>
      <c r="B4" s="106"/>
      <c r="C4" s="107"/>
      <c r="E4" s="6"/>
      <c r="F4" s="3"/>
    </row>
    <row r="5" spans="1:8">
      <c r="A5" s="2" t="s">
        <v>31</v>
      </c>
      <c r="B5" s="108">
        <v>0</v>
      </c>
      <c r="C5" s="5"/>
      <c r="E5" s="6"/>
      <c r="F5" s="3"/>
    </row>
    <row r="6" spans="1:8">
      <c r="A6" s="2" t="s">
        <v>32</v>
      </c>
      <c r="B6" s="109">
        <v>0</v>
      </c>
      <c r="C6" s="5"/>
      <c r="E6" s="6"/>
      <c r="F6" s="3"/>
    </row>
    <row r="7" spans="1:8">
      <c r="A7" s="2" t="s">
        <v>33</v>
      </c>
      <c r="B7" s="110" t="s">
        <v>29</v>
      </c>
      <c r="C7" s="5"/>
      <c r="E7" s="6"/>
      <c r="F7" s="3"/>
    </row>
    <row r="8" spans="1:8">
      <c r="A8" s="3" t="s">
        <v>34</v>
      </c>
      <c r="B8" s="111">
        <v>0</v>
      </c>
      <c r="C8" s="5"/>
      <c r="D8" s="3"/>
      <c r="E8" s="7"/>
      <c r="F8" s="3"/>
    </row>
    <row r="9" spans="1:8">
      <c r="A9" s="3" t="s">
        <v>3</v>
      </c>
      <c r="B9" s="112">
        <v>0</v>
      </c>
      <c r="C9" s="5"/>
      <c r="D9" s="3"/>
      <c r="E9" s="7"/>
      <c r="F9" s="3"/>
    </row>
    <row r="10" spans="1:8">
      <c r="A10" s="9" t="s">
        <v>35</v>
      </c>
      <c r="B10" s="113">
        <f>IF(B8&lt;B6,B6/2+B5+B9,B6+B5+B9)</f>
        <v>0</v>
      </c>
      <c r="C10" s="8"/>
      <c r="D10" s="3"/>
      <c r="E10" s="7"/>
      <c r="F10" s="3"/>
    </row>
    <row r="11" spans="1:8">
      <c r="A11" s="8" t="s">
        <v>4</v>
      </c>
      <c r="B11" s="111">
        <v>0</v>
      </c>
      <c r="C11" s="5"/>
      <c r="D11" s="3"/>
      <c r="E11" s="7"/>
      <c r="F11" s="3"/>
    </row>
    <row r="12" spans="1:8" ht="15">
      <c r="A12" s="13" t="s">
        <v>38</v>
      </c>
      <c r="B12" s="114" t="s">
        <v>30</v>
      </c>
      <c r="D12" s="3"/>
      <c r="E12" s="7"/>
      <c r="F12" s="3"/>
    </row>
    <row r="13" spans="1:8" ht="15">
      <c r="A13" s="13" t="s">
        <v>72</v>
      </c>
      <c r="B13" s="114" t="s">
        <v>39</v>
      </c>
      <c r="E13" s="6"/>
      <c r="F13" s="3"/>
    </row>
    <row r="14" spans="1:8" ht="15">
      <c r="A14" s="13" t="s">
        <v>73</v>
      </c>
      <c r="B14" s="114" t="s">
        <v>30</v>
      </c>
      <c r="D14" s="5"/>
      <c r="E14" s="9"/>
      <c r="F14" s="3"/>
      <c r="G14" s="7"/>
    </row>
    <row r="15" spans="1:8">
      <c r="A15" s="8" t="s">
        <v>74</v>
      </c>
      <c r="B15" s="110" t="s">
        <v>30</v>
      </c>
      <c r="E15" s="6"/>
      <c r="F15" s="3"/>
      <c r="G15" s="3"/>
    </row>
    <row r="16" spans="1:8" ht="13.5" thickBot="1">
      <c r="A16" s="10" t="s">
        <v>5</v>
      </c>
      <c r="B16" s="2"/>
      <c r="C16" s="2"/>
      <c r="D16" s="2"/>
      <c r="E16" s="3"/>
      <c r="F16" s="3"/>
      <c r="G16" s="3"/>
    </row>
    <row r="17" spans="1:7" ht="14.25" thickTop="1" thickBot="1">
      <c r="A17" s="48" t="s">
        <v>6</v>
      </c>
      <c r="B17" s="11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115" t="s">
        <v>7</v>
      </c>
      <c r="B19" s="116"/>
      <c r="C19" s="116"/>
      <c r="D19" s="118">
        <f>(IF(AND(B12="ja",B15="ja"),F433-250,F433))</f>
        <v>0</v>
      </c>
      <c r="F19" s="6"/>
    </row>
    <row r="20" spans="1:7" ht="13.5" thickTop="1">
      <c r="A20" s="8" t="s">
        <v>8</v>
      </c>
      <c r="B20" s="5"/>
      <c r="C20" s="5"/>
      <c r="D20" s="73">
        <f>IF(B7="ja",0,F303)</f>
        <v>0</v>
      </c>
      <c r="E20" s="74"/>
      <c r="F20" s="9"/>
      <c r="G20" s="7"/>
    </row>
    <row r="21" spans="1:7">
      <c r="A21" s="8" t="s">
        <v>13</v>
      </c>
      <c r="B21" s="8"/>
      <c r="C21" s="5"/>
      <c r="D21" s="73">
        <f>IF(B7="ja",(B5+B8)*21%,B8*21%)</f>
        <v>0</v>
      </c>
      <c r="E21" s="74"/>
      <c r="F21" s="9"/>
      <c r="G21" s="7"/>
    </row>
    <row r="22" spans="1:7">
      <c r="A22" s="5" t="s">
        <v>9</v>
      </c>
      <c r="B22" s="5"/>
      <c r="C22" s="5"/>
      <c r="D22" s="119">
        <v>0</v>
      </c>
      <c r="E22" s="74"/>
      <c r="F22" s="3"/>
      <c r="G22" s="3"/>
    </row>
    <row r="23" spans="1:7">
      <c r="A23" s="8" t="s">
        <v>10</v>
      </c>
      <c r="B23" s="120">
        <v>0</v>
      </c>
      <c r="C23" s="5"/>
      <c r="D23" s="73">
        <f>B23*30</f>
        <v>0</v>
      </c>
      <c r="E23" s="74"/>
      <c r="F23" s="3"/>
      <c r="G23" s="3"/>
    </row>
    <row r="24" spans="1:7">
      <c r="A24" s="8" t="s">
        <v>11</v>
      </c>
      <c r="B24" s="5"/>
      <c r="C24" s="5"/>
      <c r="D24" s="121">
        <v>770</v>
      </c>
      <c r="E24" s="74"/>
      <c r="F24" s="3"/>
      <c r="G24" s="3"/>
    </row>
    <row r="25" spans="1:7" ht="15.75" thickBot="1">
      <c r="A25" s="13" t="s">
        <v>36</v>
      </c>
      <c r="B25" s="14"/>
      <c r="C25" s="14"/>
      <c r="D25" s="75">
        <v>0</v>
      </c>
      <c r="E25" s="74"/>
      <c r="F25" s="3"/>
      <c r="G25" s="3"/>
    </row>
    <row r="26" spans="1:7" ht="14.25" thickTop="1" thickBot="1">
      <c r="A26" s="122" t="s">
        <v>12</v>
      </c>
      <c r="B26" s="123"/>
      <c r="C26" s="123"/>
      <c r="D26" s="124">
        <f>SUM(D20:D25)</f>
        <v>770</v>
      </c>
      <c r="F26" s="3"/>
      <c r="G26" s="3"/>
    </row>
    <row r="27" spans="1:7" ht="14.25" thickTop="1" thickBot="1">
      <c r="A27" s="117"/>
      <c r="B27" s="123"/>
      <c r="C27" s="125" t="s">
        <v>13</v>
      </c>
      <c r="D27" s="118">
        <f>(D19+D24)*21%</f>
        <v>161.69999999999999</v>
      </c>
      <c r="F27" s="3"/>
      <c r="G27" s="3"/>
    </row>
    <row r="28" spans="1:7" ht="14.25" thickTop="1" thickBot="1">
      <c r="A28" s="15"/>
      <c r="B28" s="5"/>
      <c r="C28" s="5"/>
      <c r="D28" s="16"/>
      <c r="E28" s="76"/>
      <c r="F28" s="3"/>
      <c r="G28" s="3"/>
    </row>
    <row r="29" spans="1:7" ht="14.25" thickTop="1" thickBot="1">
      <c r="A29" s="126" t="s">
        <v>14</v>
      </c>
      <c r="B29" s="18"/>
      <c r="C29" s="5"/>
      <c r="D29" s="127">
        <f>SUM(D19:D27)-D26</f>
        <v>931.7</v>
      </c>
      <c r="F29" s="3"/>
      <c r="G29" s="3"/>
    </row>
    <row r="30" spans="1:7" ht="14.25" thickTop="1" thickBot="1">
      <c r="A30" s="8"/>
      <c r="B30" s="5"/>
      <c r="C30" s="5"/>
      <c r="D30" s="19"/>
      <c r="E30" s="20"/>
      <c r="F30" s="3"/>
      <c r="G30" s="3"/>
    </row>
    <row r="31" spans="1:7" ht="16.5" thickTop="1" thickBot="1">
      <c r="A31" s="128" t="s">
        <v>15</v>
      </c>
      <c r="B31" s="97"/>
      <c r="C31" s="14"/>
      <c r="D31" s="98"/>
      <c r="E31" s="99"/>
      <c r="F31" s="3"/>
      <c r="G31" s="3"/>
    </row>
    <row r="32" spans="1:7" ht="15.75" thickTop="1">
      <c r="A32" s="13"/>
      <c r="B32" s="14"/>
      <c r="C32" s="14"/>
      <c r="D32" s="98"/>
      <c r="E32" s="99"/>
      <c r="F32" s="3"/>
      <c r="G32" s="3"/>
    </row>
    <row r="33" spans="1:7" ht="15">
      <c r="A33" s="13" t="s">
        <v>17</v>
      </c>
      <c r="B33" s="14"/>
      <c r="C33" s="14"/>
      <c r="D33" s="143">
        <v>0</v>
      </c>
      <c r="E33" s="99"/>
      <c r="F33" s="3"/>
      <c r="G33" s="3"/>
    </row>
    <row r="34" spans="1:7" ht="15.75" thickBot="1">
      <c r="A34" s="13"/>
      <c r="B34" s="14"/>
      <c r="C34" s="14"/>
      <c r="D34" s="100"/>
      <c r="E34" s="99"/>
      <c r="F34" s="3"/>
      <c r="G34" s="3"/>
    </row>
    <row r="35" spans="1:7" ht="16.5" thickTop="1" thickBot="1">
      <c r="A35" s="129" t="s">
        <v>123</v>
      </c>
      <c r="B35" s="130"/>
      <c r="C35" s="97"/>
      <c r="D35" s="97"/>
      <c r="E35" s="101"/>
      <c r="F35" s="3"/>
      <c r="G35" s="3"/>
    </row>
    <row r="36" spans="1:7" ht="15.75" thickTop="1">
      <c r="A36" s="13"/>
      <c r="B36" s="14"/>
      <c r="C36" s="14"/>
      <c r="D36" s="100"/>
      <c r="E36" s="101"/>
      <c r="F36" s="3"/>
      <c r="G36" s="3"/>
    </row>
    <row r="37" spans="1:7" ht="15">
      <c r="A37" s="13" t="s">
        <v>16</v>
      </c>
      <c r="B37" s="14"/>
      <c r="C37" s="144" t="s">
        <v>122</v>
      </c>
      <c r="D37" s="145">
        <v>0</v>
      </c>
      <c r="E37" s="101"/>
      <c r="F37" s="3"/>
      <c r="G37" s="3"/>
    </row>
    <row r="38" spans="1:7" ht="15">
      <c r="A38" s="13" t="s">
        <v>18</v>
      </c>
      <c r="B38" s="14"/>
      <c r="C38" s="144" t="s">
        <v>122</v>
      </c>
      <c r="D38" s="145">
        <v>0</v>
      </c>
      <c r="E38" s="101"/>
      <c r="F38" s="3"/>
      <c r="G38" s="3"/>
    </row>
    <row r="39" spans="1:7" ht="15">
      <c r="A39" s="13" t="s">
        <v>75</v>
      </c>
      <c r="B39" s="14"/>
      <c r="C39" s="144" t="s">
        <v>122</v>
      </c>
      <c r="D39" s="145">
        <v>0</v>
      </c>
      <c r="E39" s="101"/>
      <c r="F39" s="3"/>
      <c r="G39" s="3"/>
    </row>
    <row r="40" spans="1:7" ht="15">
      <c r="A40" s="13" t="s">
        <v>124</v>
      </c>
      <c r="B40" s="14"/>
      <c r="C40" s="144" t="s">
        <v>122</v>
      </c>
      <c r="D40" s="145">
        <v>0</v>
      </c>
      <c r="E40" s="101"/>
      <c r="F40" s="3"/>
      <c r="G40" s="3"/>
    </row>
    <row r="41" spans="1:7" ht="15.75" thickBot="1">
      <c r="A41" s="13"/>
      <c r="B41" s="14"/>
      <c r="C41" s="14"/>
      <c r="D41" s="100"/>
      <c r="E41" s="101"/>
      <c r="F41" s="3"/>
      <c r="G41" s="3"/>
    </row>
    <row r="42" spans="1:7" ht="16.5" thickTop="1" thickBot="1">
      <c r="A42" s="131" t="s">
        <v>125</v>
      </c>
      <c r="B42" s="132"/>
      <c r="C42" s="132"/>
      <c r="D42" s="133">
        <f>E119</f>
        <v>0</v>
      </c>
      <c r="E42" s="101"/>
      <c r="F42" s="3"/>
      <c r="G42" s="3"/>
    </row>
    <row r="43" spans="1:7" ht="16.5" thickTop="1" thickBot="1">
      <c r="A43" s="134"/>
      <c r="B43" s="132"/>
      <c r="C43" s="135" t="s">
        <v>13</v>
      </c>
      <c r="D43" s="133">
        <f>F118</f>
        <v>0</v>
      </c>
      <c r="E43" s="101"/>
      <c r="F43" s="3"/>
      <c r="G43" s="3"/>
    </row>
    <row r="44" spans="1:7" ht="16.5" thickTop="1" thickBot="1">
      <c r="A44" s="13"/>
      <c r="B44" s="14"/>
      <c r="C44" s="14"/>
      <c r="D44" s="100"/>
      <c r="E44" s="101"/>
      <c r="F44" s="3"/>
      <c r="G44" s="3"/>
    </row>
    <row r="45" spans="1:7" ht="16.5" thickTop="1" thickBot="1">
      <c r="A45" s="131" t="s">
        <v>126</v>
      </c>
      <c r="B45" s="132"/>
      <c r="C45" s="132"/>
      <c r="D45" s="133">
        <f>E125</f>
        <v>0</v>
      </c>
      <c r="E45" s="101"/>
      <c r="F45" s="3"/>
      <c r="G45" s="3"/>
    </row>
    <row r="46" spans="1:7" ht="16.5" thickTop="1" thickBot="1">
      <c r="A46" s="134"/>
      <c r="B46" s="132"/>
      <c r="C46" s="135" t="s">
        <v>13</v>
      </c>
      <c r="D46" s="133">
        <f>F125</f>
        <v>0</v>
      </c>
      <c r="E46" s="101"/>
      <c r="F46" s="3"/>
      <c r="G46" s="3"/>
    </row>
    <row r="47" spans="1:7" ht="16.5" thickTop="1" thickBot="1">
      <c r="A47" s="13"/>
      <c r="B47" s="14"/>
      <c r="C47" s="14"/>
      <c r="D47" s="100"/>
      <c r="E47" s="101"/>
      <c r="F47" s="3"/>
      <c r="G47" s="3"/>
    </row>
    <row r="48" spans="1:7" ht="16.5" thickTop="1" thickBot="1">
      <c r="A48" s="130" t="s">
        <v>127</v>
      </c>
      <c r="B48" s="14"/>
      <c r="C48" s="14"/>
      <c r="D48" s="102">
        <f>D29+D42+D43</f>
        <v>931.7</v>
      </c>
      <c r="F48" s="3"/>
      <c r="G48" s="3"/>
    </row>
    <row r="49" spans="1:7" ht="16.5" thickTop="1" thickBot="1">
      <c r="A49" s="14"/>
      <c r="B49" s="14"/>
      <c r="C49" s="14"/>
      <c r="D49" s="100"/>
      <c r="E49" s="101"/>
      <c r="F49" s="3"/>
      <c r="G49" s="7"/>
    </row>
    <row r="50" spans="1:7" ht="16.5" thickTop="1" thickBot="1">
      <c r="A50" s="130" t="s">
        <v>19</v>
      </c>
      <c r="B50" s="14"/>
      <c r="C50" s="14"/>
      <c r="D50" s="136">
        <f>D33+D45+D46</f>
        <v>0</v>
      </c>
      <c r="F50" s="3"/>
      <c r="G50" s="7"/>
    </row>
    <row r="51" spans="1:7" ht="13.5" thickTop="1">
      <c r="A51" s="8"/>
      <c r="B51" s="5"/>
      <c r="C51" s="5"/>
      <c r="D51" s="5"/>
      <c r="E51" s="7"/>
      <c r="F51" s="3"/>
      <c r="G51" s="7"/>
    </row>
    <row r="52" spans="1:7" ht="20.25">
      <c r="A52" s="141" t="s">
        <v>92</v>
      </c>
      <c r="B52" s="6"/>
      <c r="C52" s="6"/>
      <c r="D52" s="6"/>
      <c r="E52" s="6"/>
      <c r="F52" s="6"/>
      <c r="G52" s="7"/>
    </row>
    <row r="53" spans="1:7">
      <c r="A53" s="6"/>
      <c r="B53" s="6"/>
      <c r="C53" s="6"/>
      <c r="D53" s="6"/>
      <c r="E53" s="6"/>
      <c r="F53" s="6"/>
      <c r="G53" s="7"/>
    </row>
    <row r="54" spans="1:7">
      <c r="A54" s="137" t="s">
        <v>93</v>
      </c>
      <c r="B54" s="6" t="s">
        <v>84</v>
      </c>
      <c r="C54" s="148">
        <v>0</v>
      </c>
      <c r="D54" s="6"/>
      <c r="E54" s="6"/>
      <c r="F54" s="6"/>
      <c r="G54" s="7"/>
    </row>
    <row r="55" spans="1:7">
      <c r="A55" s="137"/>
      <c r="B55" s="6" t="s">
        <v>85</v>
      </c>
      <c r="C55" s="148">
        <v>0</v>
      </c>
      <c r="D55" s="6"/>
      <c r="E55" s="6"/>
      <c r="F55" s="6"/>
      <c r="G55" s="7"/>
    </row>
    <row r="56" spans="1:7">
      <c r="A56" s="137"/>
      <c r="B56" s="6" t="s">
        <v>83</v>
      </c>
      <c r="C56" s="138">
        <f>SUM(C54:C55)</f>
        <v>0</v>
      </c>
      <c r="D56" s="6"/>
      <c r="E56" s="6"/>
      <c r="F56" s="6"/>
      <c r="G56" s="7"/>
    </row>
    <row r="57" spans="1:7">
      <c r="A57" s="137"/>
      <c r="B57" s="6"/>
      <c r="C57" s="89"/>
      <c r="D57" s="6"/>
      <c r="E57" s="6"/>
      <c r="F57" s="6"/>
      <c r="G57" s="7"/>
    </row>
    <row r="58" spans="1:7">
      <c r="A58" s="137" t="s">
        <v>94</v>
      </c>
      <c r="B58" s="6" t="s">
        <v>84</v>
      </c>
      <c r="C58" s="149">
        <v>0</v>
      </c>
      <c r="D58" s="6"/>
      <c r="E58" s="6"/>
      <c r="F58" s="6"/>
      <c r="G58" s="7"/>
    </row>
    <row r="59" spans="1:7">
      <c r="A59" s="6"/>
      <c r="B59" s="6" t="s">
        <v>85</v>
      </c>
      <c r="C59" s="149">
        <v>0</v>
      </c>
      <c r="D59" s="6"/>
      <c r="E59" s="6"/>
      <c r="F59" s="6"/>
      <c r="G59" s="7"/>
    </row>
    <row r="60" spans="1:7">
      <c r="A60" s="6"/>
      <c r="B60" s="6" t="s">
        <v>83</v>
      </c>
      <c r="C60" s="139">
        <f>SUM(C58:C59)</f>
        <v>0</v>
      </c>
      <c r="D60" s="6"/>
      <c r="E60" s="6"/>
      <c r="F60" s="6"/>
      <c r="G60" s="7"/>
    </row>
    <row r="61" spans="1:7">
      <c r="A61" s="6" t="s">
        <v>5</v>
      </c>
      <c r="B61" s="6"/>
      <c r="C61" s="90"/>
      <c r="D61" s="6"/>
      <c r="E61" s="6"/>
      <c r="F61" s="6"/>
      <c r="G61" s="74"/>
    </row>
    <row r="62" spans="1:7">
      <c r="A62" s="6"/>
      <c r="B62" s="6"/>
      <c r="C62" s="89"/>
      <c r="D62" s="146" t="s">
        <v>7</v>
      </c>
      <c r="E62" s="89">
        <f>IF(C60&gt;C56,I220+(I233-I246),I208)</f>
        <v>0</v>
      </c>
      <c r="G62" s="74"/>
    </row>
    <row r="63" spans="1:7">
      <c r="A63" s="6" t="s">
        <v>95</v>
      </c>
      <c r="B63" s="6"/>
      <c r="C63" s="89">
        <f>K161</f>
        <v>75</v>
      </c>
      <c r="D63" s="146" t="s">
        <v>96</v>
      </c>
      <c r="E63" s="89">
        <f>E62*21/100</f>
        <v>0</v>
      </c>
      <c r="G63" s="74"/>
    </row>
    <row r="64" spans="1:7">
      <c r="A64" s="6" t="s">
        <v>97</v>
      </c>
      <c r="B64" s="6"/>
      <c r="C64" s="148">
        <v>0</v>
      </c>
      <c r="D64" s="146"/>
      <c r="G64" s="74"/>
    </row>
    <row r="65" spans="1:7">
      <c r="A65" s="6" t="s">
        <v>98</v>
      </c>
      <c r="B65" s="90">
        <f>(A155+ROUNDDOWN((C54+C55-1)/G156,0)*A156)</f>
        <v>67.31</v>
      </c>
      <c r="C65" s="89"/>
      <c r="D65" s="146"/>
      <c r="G65" s="74"/>
    </row>
    <row r="66" spans="1:7">
      <c r="A66" s="6" t="s">
        <v>99</v>
      </c>
      <c r="B66" s="90">
        <f>(A168+ROUNDDOWN((C58+C59-1)/G169,0)*A169)</f>
        <v>117.11</v>
      </c>
      <c r="C66" s="89"/>
      <c r="D66" s="146"/>
      <c r="G66" s="74"/>
    </row>
    <row r="67" spans="1:7">
      <c r="A67" s="6" t="s">
        <v>100</v>
      </c>
      <c r="B67" s="90">
        <f>IF(C60&gt;C56,(C60-C56)*0.3%,0)</f>
        <v>0</v>
      </c>
      <c r="C67" s="89"/>
      <c r="D67" s="146"/>
      <c r="G67" s="74"/>
    </row>
    <row r="68" spans="1:7">
      <c r="A68" s="6" t="s">
        <v>101</v>
      </c>
      <c r="B68" s="6"/>
      <c r="C68" s="89">
        <f>H176+B67</f>
        <v>220</v>
      </c>
      <c r="D68" s="146"/>
      <c r="G68" s="74"/>
    </row>
    <row r="69" spans="1:7">
      <c r="A69" s="6" t="s">
        <v>102</v>
      </c>
      <c r="B69" s="6"/>
      <c r="C69" s="89">
        <v>0</v>
      </c>
      <c r="D69" s="146"/>
      <c r="G69" s="74"/>
    </row>
    <row r="70" spans="1:7">
      <c r="A70" s="6"/>
      <c r="B70" s="6" t="s">
        <v>96</v>
      </c>
      <c r="C70" s="89">
        <f>C69*21/100</f>
        <v>0</v>
      </c>
      <c r="D70" s="146"/>
      <c r="G70" s="74"/>
    </row>
    <row r="71" spans="1:7">
      <c r="A71" s="6" t="s">
        <v>103</v>
      </c>
      <c r="B71" s="6"/>
      <c r="C71" s="148">
        <v>710</v>
      </c>
      <c r="D71" s="146"/>
      <c r="G71" s="74"/>
    </row>
    <row r="72" spans="1:7">
      <c r="A72" s="6"/>
      <c r="B72" s="6" t="s">
        <v>96</v>
      </c>
      <c r="C72" s="89">
        <f>C71*21/100</f>
        <v>149.1</v>
      </c>
      <c r="D72" s="146"/>
      <c r="G72" s="74"/>
    </row>
    <row r="73" spans="1:7">
      <c r="A73" s="6" t="s">
        <v>104</v>
      </c>
      <c r="B73" s="6"/>
      <c r="C73" s="148">
        <v>0</v>
      </c>
      <c r="D73" s="146"/>
      <c r="G73" s="74"/>
    </row>
    <row r="74" spans="1:7">
      <c r="A74" s="6"/>
      <c r="B74" s="6" t="s">
        <v>96</v>
      </c>
      <c r="C74" s="89">
        <f>C73*21/100</f>
        <v>0</v>
      </c>
      <c r="D74" s="146"/>
      <c r="G74" s="74"/>
    </row>
    <row r="75" spans="1:7">
      <c r="A75" s="6"/>
      <c r="B75" s="6"/>
      <c r="C75" s="89"/>
      <c r="D75" s="146"/>
      <c r="G75" s="74"/>
    </row>
    <row r="76" spans="1:7">
      <c r="A76" s="6"/>
      <c r="B76" s="6" t="s">
        <v>86</v>
      </c>
      <c r="C76" s="89">
        <f>A165</f>
        <v>1004.9999999999999</v>
      </c>
      <c r="D76" s="146" t="s">
        <v>87</v>
      </c>
      <c r="E76" s="89">
        <f>E62</f>
        <v>0</v>
      </c>
      <c r="G76" s="74"/>
    </row>
    <row r="77" spans="1:7">
      <c r="A77" s="6"/>
      <c r="B77" s="6"/>
      <c r="D77" s="146" t="s">
        <v>88</v>
      </c>
      <c r="E77" s="89">
        <f>C76</f>
        <v>1004.9999999999999</v>
      </c>
      <c r="G77" s="74"/>
    </row>
    <row r="78" spans="1:7">
      <c r="A78" s="6"/>
      <c r="B78" s="6"/>
      <c r="D78" s="146" t="s">
        <v>89</v>
      </c>
      <c r="E78" s="89">
        <f>SUM(E76+C76)</f>
        <v>1004.9999999999999</v>
      </c>
      <c r="G78" s="74"/>
    </row>
    <row r="79" spans="1:7">
      <c r="A79" s="6"/>
      <c r="B79" s="6"/>
      <c r="D79" s="146"/>
      <c r="E79" s="89"/>
      <c r="G79" s="74"/>
    </row>
    <row r="80" spans="1:7">
      <c r="A80" s="6"/>
      <c r="B80" s="6"/>
      <c r="D80" s="146" t="s">
        <v>105</v>
      </c>
      <c r="E80" s="89">
        <f>C70+C72+C74+E63</f>
        <v>149.1</v>
      </c>
      <c r="G80" s="74"/>
    </row>
    <row r="81" spans="1:7" ht="13.5" thickBot="1">
      <c r="A81" s="6"/>
      <c r="B81" s="6"/>
      <c r="D81" s="146"/>
      <c r="E81" s="89"/>
      <c r="G81" s="74"/>
    </row>
    <row r="82" spans="1:7" ht="14.25" thickTop="1" thickBot="1">
      <c r="A82" s="6"/>
      <c r="B82" s="6"/>
      <c r="D82" s="146" t="s">
        <v>90</v>
      </c>
      <c r="E82" s="140">
        <f>SUM(E78:E80)</f>
        <v>1154.0999999999999</v>
      </c>
      <c r="G82" s="7"/>
    </row>
    <row r="83" spans="1:7" ht="13.5" thickTop="1">
      <c r="A83" s="6"/>
      <c r="B83" s="6"/>
      <c r="F83" s="89"/>
      <c r="G83" s="7"/>
    </row>
    <row r="84" spans="1:7" ht="20.25">
      <c r="A84" s="142" t="s">
        <v>110</v>
      </c>
      <c r="B84" s="6"/>
      <c r="F84" s="89"/>
    </row>
    <row r="85" spans="1:7" ht="18">
      <c r="A85" s="92"/>
      <c r="B85" s="6"/>
      <c r="F85" s="89"/>
    </row>
    <row r="86" spans="1:7">
      <c r="A86" s="6" t="s">
        <v>84</v>
      </c>
      <c r="B86" s="148">
        <v>0</v>
      </c>
      <c r="E86" s="89"/>
    </row>
    <row r="87" spans="1:7">
      <c r="A87" s="6" t="s">
        <v>85</v>
      </c>
      <c r="B87" s="148">
        <v>0</v>
      </c>
      <c r="E87" s="89"/>
    </row>
    <row r="88" spans="1:7">
      <c r="A88" s="6" t="s">
        <v>83</v>
      </c>
      <c r="B88" s="138">
        <f>SUM(B86:B87)</f>
        <v>0</v>
      </c>
      <c r="E88" s="89"/>
    </row>
    <row r="89" spans="1:7">
      <c r="A89" s="6"/>
      <c r="E89" s="89"/>
    </row>
    <row r="90" spans="1:7">
      <c r="A90" s="6" t="s">
        <v>111</v>
      </c>
      <c r="B90" s="150">
        <v>1</v>
      </c>
      <c r="E90" s="89"/>
    </row>
    <row r="91" spans="1:7">
      <c r="A91" s="6" t="s">
        <v>5</v>
      </c>
      <c r="E91" s="89"/>
    </row>
    <row r="92" spans="1:7">
      <c r="A92" s="6" t="s">
        <v>112</v>
      </c>
      <c r="C92" s="89">
        <v>50</v>
      </c>
      <c r="D92" s="147" t="s">
        <v>7</v>
      </c>
      <c r="E92" s="89">
        <f>J149</f>
        <v>0</v>
      </c>
    </row>
    <row r="93" spans="1:7">
      <c r="A93" s="6" t="s">
        <v>113</v>
      </c>
      <c r="C93" s="89">
        <v>50</v>
      </c>
      <c r="D93" s="147"/>
      <c r="E93" s="89"/>
    </row>
    <row r="94" spans="1:7">
      <c r="A94" s="6" t="s">
        <v>114</v>
      </c>
      <c r="C94" s="148"/>
      <c r="D94" s="147"/>
      <c r="E94" s="89"/>
    </row>
    <row r="95" spans="1:7">
      <c r="A95" s="6" t="s">
        <v>82</v>
      </c>
      <c r="C95" s="148">
        <f>H134</f>
        <v>185</v>
      </c>
      <c r="D95" s="147"/>
      <c r="E95" s="89"/>
    </row>
    <row r="96" spans="1:7">
      <c r="A96" s="6"/>
      <c r="C96" s="89"/>
      <c r="D96" s="147"/>
      <c r="E96" s="89"/>
    </row>
    <row r="97" spans="1:23">
      <c r="A97" s="6"/>
      <c r="B97" s="1" t="s">
        <v>86</v>
      </c>
      <c r="C97" s="89">
        <f>SUM(C92:C95)</f>
        <v>285</v>
      </c>
      <c r="D97" s="147" t="s">
        <v>87</v>
      </c>
      <c r="E97" s="89">
        <f>E92</f>
        <v>0</v>
      </c>
    </row>
    <row r="98" spans="1:23">
      <c r="A98" s="6"/>
      <c r="D98" s="147" t="s">
        <v>88</v>
      </c>
      <c r="E98" s="89">
        <f>C97</f>
        <v>285</v>
      </c>
    </row>
    <row r="99" spans="1:23">
      <c r="A99" s="6"/>
      <c r="D99" s="147" t="s">
        <v>89</v>
      </c>
      <c r="E99" s="89">
        <f>SUM(E97+C97)</f>
        <v>285</v>
      </c>
    </row>
    <row r="100" spans="1:23">
      <c r="A100" s="6"/>
      <c r="D100" s="147"/>
      <c r="E100" s="89"/>
    </row>
    <row r="101" spans="1:23">
      <c r="A101" s="6"/>
      <c r="D101" s="147" t="s">
        <v>13</v>
      </c>
      <c r="E101" s="89">
        <f>(C92+C95+E92)*21%</f>
        <v>49.35</v>
      </c>
    </row>
    <row r="102" spans="1:23" ht="13.5" thickBot="1">
      <c r="A102" s="6"/>
      <c r="D102" s="147"/>
      <c r="E102" s="89"/>
    </row>
    <row r="103" spans="1:23" ht="14.25" thickTop="1" thickBot="1">
      <c r="A103" s="6"/>
      <c r="D103" s="147" t="s">
        <v>90</v>
      </c>
      <c r="E103" s="140">
        <f>SUM(E99:E101)</f>
        <v>334.35</v>
      </c>
    </row>
    <row r="104" spans="1:23" ht="13.5" thickTop="1">
      <c r="A104" s="6"/>
      <c r="B104" s="6"/>
      <c r="F104" s="89"/>
      <c r="G104" s="7"/>
    </row>
    <row r="105" spans="1:23">
      <c r="A105" s="6"/>
      <c r="B105" s="6"/>
      <c r="E105" s="6"/>
    </row>
    <row r="106" spans="1:23">
      <c r="A106" s="6"/>
      <c r="B106" s="21" t="s">
        <v>20</v>
      </c>
      <c r="C106" s="21" t="s">
        <v>21</v>
      </c>
      <c r="E106" s="6"/>
      <c r="F106" s="20"/>
      <c r="G106" s="6"/>
    </row>
    <row r="107" spans="1:23">
      <c r="A107" s="6"/>
      <c r="B107" s="6"/>
      <c r="C107" s="19"/>
      <c r="E107" s="6"/>
      <c r="F107" s="19"/>
      <c r="G107" s="17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</row>
    <row r="108" spans="1:23">
      <c r="A108" s="6"/>
      <c r="B108" s="22" t="s">
        <v>22</v>
      </c>
      <c r="C108" s="49" t="s">
        <v>23</v>
      </c>
      <c r="E108" s="6"/>
      <c r="F108" s="25"/>
      <c r="G108" s="24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</row>
    <row r="109" spans="1:23">
      <c r="B109" s="24"/>
      <c r="C109" s="24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</row>
    <row r="110" spans="1:23" ht="14.25">
      <c r="B110" s="21" t="s">
        <v>37</v>
      </c>
      <c r="C110" s="26"/>
      <c r="D110" s="26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</row>
    <row r="111" spans="1:23" ht="14.25" hidden="1">
      <c r="B111" s="23"/>
      <c r="C111" s="21"/>
      <c r="D111" s="26"/>
      <c r="E111" s="96" t="s">
        <v>121</v>
      </c>
      <c r="F111" s="96" t="s">
        <v>121</v>
      </c>
      <c r="G111" s="96" t="s">
        <v>121</v>
      </c>
      <c r="H111" s="96" t="s">
        <v>121</v>
      </c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</row>
    <row r="112" spans="1:23" ht="14.25" hidden="1">
      <c r="B112" s="23"/>
      <c r="C112" s="21"/>
      <c r="D112" s="26"/>
      <c r="E112" s="96" t="s">
        <v>122</v>
      </c>
      <c r="F112" s="96" t="s">
        <v>122</v>
      </c>
      <c r="G112" s="96" t="s">
        <v>122</v>
      </c>
      <c r="H112" s="96" t="s">
        <v>122</v>
      </c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</row>
    <row r="113" spans="2:23" ht="14.25" hidden="1">
      <c r="B113" s="23"/>
      <c r="C113" s="21"/>
      <c r="D113" s="26"/>
      <c r="E113" s="96"/>
      <c r="F113" s="96"/>
      <c r="G113" s="96"/>
      <c r="H113" s="96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</row>
    <row r="114" spans="2:23" ht="14.25" hidden="1">
      <c r="B114" s="23"/>
      <c r="C114" s="21"/>
      <c r="D114" s="26"/>
      <c r="E114" s="96"/>
      <c r="F114" s="96"/>
      <c r="G114" s="96" t="s">
        <v>121</v>
      </c>
      <c r="H114" s="96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</row>
    <row r="115" spans="2:23" ht="14.25" hidden="1">
      <c r="B115" s="23"/>
      <c r="C115" s="21"/>
      <c r="D115" s="26"/>
      <c r="E115" s="96">
        <f>IF(C37="koper",D37,0)</f>
        <v>0</v>
      </c>
      <c r="F115" s="96">
        <f>IF(C37="koper",D37*21%,0)</f>
        <v>0</v>
      </c>
      <c r="G115" s="96" t="s">
        <v>122</v>
      </c>
      <c r="H115" s="96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</row>
    <row r="116" spans="2:23" ht="14.25" hidden="1">
      <c r="B116" s="23"/>
      <c r="C116" s="21"/>
      <c r="D116" s="26"/>
      <c r="E116" s="96">
        <f>IF(C38="koper",D38,0)</f>
        <v>0</v>
      </c>
      <c r="F116" s="96">
        <f>IF(C39="koper",D39*21%,0)</f>
        <v>0</v>
      </c>
      <c r="G116" s="96"/>
      <c r="H116" s="96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</row>
    <row r="117" spans="2:23" ht="14.25" hidden="1">
      <c r="B117" s="23"/>
      <c r="C117" s="21"/>
      <c r="D117" s="26"/>
      <c r="E117" s="96">
        <f>IF(C39="koper",D39,0)</f>
        <v>0</v>
      </c>
      <c r="F117" s="96">
        <f>IF(C40="koper",D40*21%,0)</f>
        <v>0</v>
      </c>
      <c r="G117" s="96"/>
      <c r="H117" s="96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</row>
    <row r="118" spans="2:23" ht="14.25" hidden="1">
      <c r="B118" s="23"/>
      <c r="C118" s="21"/>
      <c r="D118" s="26"/>
      <c r="E118" s="96">
        <f>IF(C40="koper",D40,0)</f>
        <v>0</v>
      </c>
      <c r="F118" s="96">
        <f>SUM(F115:F117)</f>
        <v>0</v>
      </c>
      <c r="G118" s="96"/>
      <c r="H118" s="96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</row>
    <row r="119" spans="2:23" ht="14.25" hidden="1">
      <c r="B119" s="23"/>
      <c r="C119" s="21"/>
      <c r="D119" s="26"/>
      <c r="E119" s="96">
        <f>SUM(E115:E118)</f>
        <v>0</v>
      </c>
      <c r="F119" s="96"/>
      <c r="G119" s="96"/>
      <c r="H119" s="96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</row>
    <row r="120" spans="2:23" ht="14.25" hidden="1">
      <c r="B120" s="23"/>
      <c r="C120" s="21"/>
      <c r="D120" s="26"/>
      <c r="E120" s="96"/>
      <c r="F120" s="96"/>
      <c r="G120" s="96"/>
      <c r="H120" s="96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</row>
    <row r="121" spans="2:23" ht="14.25" hidden="1">
      <c r="B121" s="23"/>
      <c r="C121" s="21"/>
      <c r="D121" s="26"/>
      <c r="E121" s="96">
        <f>IF(C37="verkoper",D37,0)</f>
        <v>0</v>
      </c>
      <c r="F121" s="96"/>
      <c r="G121" s="96"/>
      <c r="H121" s="96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</row>
    <row r="122" spans="2:23" ht="14.25" hidden="1">
      <c r="B122" s="23"/>
      <c r="C122" s="21"/>
      <c r="D122" s="26"/>
      <c r="E122" s="96">
        <f>IF(C38="verkoper",D38,0)</f>
        <v>0</v>
      </c>
      <c r="F122" s="96">
        <f>IF(C37="verkoper",D37*21%,0)</f>
        <v>0</v>
      </c>
      <c r="G122" s="96"/>
      <c r="H122" s="96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</row>
    <row r="123" spans="2:23" ht="14.25" hidden="1">
      <c r="B123" s="23"/>
      <c r="C123" s="21"/>
      <c r="D123" s="26"/>
      <c r="E123" s="96">
        <f>IF(C39="verkoper",D39,0)</f>
        <v>0</v>
      </c>
      <c r="F123" s="96">
        <f>IF(C39="verkoper",D39*21%,0)</f>
        <v>0</v>
      </c>
      <c r="G123" s="96"/>
      <c r="H123" s="96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</row>
    <row r="124" spans="2:23" ht="14.25" hidden="1">
      <c r="B124" s="23"/>
      <c r="C124" s="21"/>
      <c r="D124" s="26"/>
      <c r="E124" s="96">
        <f>IF(C40="verkoper",D40,0)</f>
        <v>0</v>
      </c>
      <c r="F124" s="96">
        <f>IF(C40="verkoper",D40*21%,0)</f>
        <v>0</v>
      </c>
      <c r="G124" s="96"/>
      <c r="H124" s="96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</row>
    <row r="125" spans="2:23" ht="14.25" hidden="1">
      <c r="B125" s="23"/>
      <c r="C125" s="21"/>
      <c r="D125" s="26"/>
      <c r="E125" s="96">
        <f>SUM(E121:E124)</f>
        <v>0</v>
      </c>
      <c r="F125" s="96">
        <f>SUM(F122:F124)</f>
        <v>0</v>
      </c>
      <c r="G125" s="96"/>
      <c r="H125" s="96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</row>
    <row r="126" spans="2:23" ht="14.25" hidden="1">
      <c r="B126" s="23"/>
      <c r="C126" s="21"/>
      <c r="D126" s="26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</row>
    <row r="127" spans="2:23" ht="14.25" hidden="1">
      <c r="B127" s="23"/>
      <c r="C127" s="21"/>
      <c r="D127" s="26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</row>
    <row r="128" spans="2:23" ht="14.25" hidden="1">
      <c r="B128" s="23"/>
      <c r="C128" s="21"/>
      <c r="D128" s="26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</row>
    <row r="129" spans="1:23" ht="14.25" hidden="1">
      <c r="B129" s="23"/>
      <c r="C129" s="21"/>
      <c r="D129" s="26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</row>
    <row r="130" spans="1:23" ht="14.25" hidden="1">
      <c r="B130" s="23"/>
      <c r="C130" s="21"/>
      <c r="D130" s="26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</row>
    <row r="131" spans="1:23" ht="14.25" hidden="1">
      <c r="B131" s="23"/>
      <c r="C131" s="21"/>
      <c r="D131" s="26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</row>
    <row r="132" spans="1:23" hidden="1">
      <c r="A132" s="6"/>
      <c r="E132" s="89"/>
      <c r="H132" s="1">
        <f>IF(B90=1,185,0)</f>
        <v>185</v>
      </c>
      <c r="I132" s="1">
        <f>IF(B90=2,385,0)</f>
        <v>0</v>
      </c>
      <c r="J132" s="1">
        <f>IF(B90&gt;2,(385+(B90-2)*200),0)</f>
        <v>0</v>
      </c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</row>
    <row r="133" spans="1:23" hidden="1">
      <c r="A133" s="6"/>
      <c r="E133" s="89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</row>
    <row r="134" spans="1:23" hidden="1">
      <c r="A134" s="6"/>
      <c r="E134" s="89"/>
      <c r="H134" s="1">
        <f>SUM(H132:J132)</f>
        <v>185</v>
      </c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</row>
    <row r="135" spans="1:23" hidden="1">
      <c r="A135" s="6"/>
      <c r="E135" s="89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</row>
    <row r="136" spans="1:23" hidden="1">
      <c r="A136" s="6"/>
      <c r="E136" s="89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</row>
    <row r="137" spans="1:23" hidden="1">
      <c r="A137" s="6"/>
      <c r="E137" s="89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</row>
    <row r="138" spans="1:23" hidden="1">
      <c r="A138" s="6"/>
      <c r="B138" s="1" t="s">
        <v>83</v>
      </c>
      <c r="D138" s="89">
        <f>B88</f>
        <v>0</v>
      </c>
      <c r="E138" s="89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</row>
    <row r="139" spans="1:23" hidden="1">
      <c r="A139" s="6"/>
      <c r="B139" s="1" t="s">
        <v>26</v>
      </c>
      <c r="D139" s="1" t="s">
        <v>26</v>
      </c>
      <c r="E139" s="89" t="s">
        <v>106</v>
      </c>
      <c r="F139" s="1" t="s">
        <v>107</v>
      </c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</row>
    <row r="140" spans="1:23" hidden="1">
      <c r="A140" s="6"/>
      <c r="B140" s="1">
        <v>0</v>
      </c>
      <c r="D140" s="1">
        <v>7500</v>
      </c>
      <c r="E140" s="93">
        <v>1.4250000000000001E-2</v>
      </c>
      <c r="F140" s="1">
        <f>IF(B88&lt;D140,B88*E140,D140*E140)</f>
        <v>0</v>
      </c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</row>
    <row r="141" spans="1:23" hidden="1">
      <c r="A141" s="6"/>
      <c r="B141" s="1">
        <v>7500</v>
      </c>
      <c r="D141" s="1">
        <v>17500</v>
      </c>
      <c r="E141" s="93">
        <v>1.14E-2</v>
      </c>
      <c r="F141" s="1" t="str">
        <f>IF(B88&lt;=B141," ",IF(B88&lt;D141,(B88-D140)*E141,(D141-B141)*E141))</f>
        <v xml:space="preserve"> </v>
      </c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</row>
    <row r="142" spans="1:23" hidden="1">
      <c r="A142" s="6"/>
      <c r="B142" s="1">
        <v>17500</v>
      </c>
      <c r="D142" s="1">
        <v>30000</v>
      </c>
      <c r="E142" s="93">
        <v>6.8399999999999997E-3</v>
      </c>
      <c r="F142" s="1" t="str">
        <f>IF(B88&lt;=B142," ",IF(B88&lt;D142,(B88-D141)*E142,(D142-B142)*E142))</f>
        <v xml:space="preserve"> </v>
      </c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</row>
    <row r="143" spans="1:23" hidden="1">
      <c r="A143" s="6"/>
      <c r="B143" s="1">
        <v>30000</v>
      </c>
      <c r="D143" s="1">
        <v>45495</v>
      </c>
      <c r="E143" s="93">
        <v>5.7000000000000002E-3</v>
      </c>
      <c r="F143" s="1" t="str">
        <f>IF(B88&lt;=B143," ",IF(B88&lt;D143,(B88-D142)*E143,(D143-B143)*E143))</f>
        <v xml:space="preserve"> </v>
      </c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</row>
    <row r="144" spans="1:23" hidden="1">
      <c r="A144" s="6"/>
      <c r="B144" s="1">
        <v>45495</v>
      </c>
      <c r="D144" s="1">
        <v>64095</v>
      </c>
      <c r="E144" s="93">
        <v>4.5599999999999998E-3</v>
      </c>
      <c r="F144" s="1" t="str">
        <f>IF(B88&lt;=B144," ",IF(B88&lt;D144,(B88-D143)*E144,(D144-B144)*E144))</f>
        <v xml:space="preserve"> </v>
      </c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</row>
    <row r="145" spans="1:23" hidden="1">
      <c r="A145" s="6"/>
      <c r="B145" s="1">
        <v>64095</v>
      </c>
      <c r="D145" s="1">
        <v>250095</v>
      </c>
      <c r="E145" s="93">
        <v>2.2799999999999999E-3</v>
      </c>
      <c r="F145" s="1" t="str">
        <f>IF(B88&lt;=B145," ",IF(B88&lt;D145,(B88-D144)*E145,(D145-B145)*E145))</f>
        <v xml:space="preserve"> </v>
      </c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</row>
    <row r="146" spans="1:23" hidden="1">
      <c r="A146" s="6"/>
      <c r="B146" s="1">
        <v>250095</v>
      </c>
      <c r="D146" s="1">
        <v>99999999999</v>
      </c>
      <c r="E146" s="93">
        <v>4.5600000000000003E-4</v>
      </c>
      <c r="F146" s="1" t="str">
        <f>IF(B88&lt;=B146," ",IF(B88&lt;D146,(B88-D145)*E146,(D146-B146)*E146))</f>
        <v xml:space="preserve"> </v>
      </c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</row>
    <row r="147" spans="1:23" hidden="1">
      <c r="A147" s="6"/>
      <c r="E147" s="89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</row>
    <row r="148" spans="1:23" hidden="1">
      <c r="A148" s="6"/>
      <c r="B148" s="1" t="s">
        <v>28</v>
      </c>
      <c r="E148" s="89"/>
      <c r="I148" s="1" t="s">
        <v>108</v>
      </c>
      <c r="J148" s="1">
        <f>SUM(F140:F147)</f>
        <v>0</v>
      </c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</row>
    <row r="149" spans="1:23" hidden="1">
      <c r="A149" s="6"/>
      <c r="E149" s="89"/>
      <c r="I149" s="1" t="s">
        <v>109</v>
      </c>
      <c r="J149" s="1">
        <f>J148/4</f>
        <v>0</v>
      </c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</row>
    <row r="150" spans="1:23" ht="14.25" hidden="1">
      <c r="B150" s="23"/>
      <c r="C150" s="21"/>
      <c r="D150" s="26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</row>
    <row r="151" spans="1:23" ht="14.25" hidden="1">
      <c r="B151" s="23"/>
      <c r="C151" s="21"/>
      <c r="D151" s="26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</row>
    <row r="152" spans="1:23" ht="14.25" hidden="1">
      <c r="B152" s="23"/>
      <c r="C152" s="21"/>
      <c r="D152" s="26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</row>
    <row r="153" spans="1:23" ht="14.25" hidden="1">
      <c r="B153" s="23"/>
      <c r="C153" s="21"/>
      <c r="D153" s="26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</row>
    <row r="154" spans="1:23" ht="14.25" hidden="1">
      <c r="B154" s="23"/>
      <c r="C154" s="21"/>
      <c r="D154" s="26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</row>
    <row r="155" spans="1:23" hidden="1">
      <c r="A155" s="77">
        <v>67.31</v>
      </c>
      <c r="B155" s="77" t="s">
        <v>78</v>
      </c>
      <c r="C155" s="77"/>
      <c r="D155" s="77"/>
      <c r="E155" s="77"/>
      <c r="F155" s="77"/>
      <c r="G155" s="77">
        <v>25000</v>
      </c>
      <c r="H155" s="77"/>
      <c r="I155" s="78"/>
      <c r="J155" s="78"/>
      <c r="K155" s="78"/>
      <c r="L155" s="6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</row>
    <row r="156" spans="1:23" hidden="1">
      <c r="A156" s="77">
        <v>23.56</v>
      </c>
      <c r="B156" s="77" t="s">
        <v>79</v>
      </c>
      <c r="C156" s="77"/>
      <c r="D156" s="77"/>
      <c r="E156" s="77"/>
      <c r="F156" s="77"/>
      <c r="G156" s="77">
        <v>25000</v>
      </c>
      <c r="H156" s="77" t="s">
        <v>80</v>
      </c>
      <c r="I156" s="78"/>
      <c r="J156" s="78"/>
      <c r="K156" s="78"/>
      <c r="L156" s="6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</row>
    <row r="157" spans="1:23" hidden="1">
      <c r="A157" s="78"/>
      <c r="B157" s="78"/>
      <c r="C157" s="78"/>
      <c r="D157" s="78"/>
      <c r="E157" s="78"/>
      <c r="F157" s="78"/>
      <c r="G157" s="78"/>
      <c r="H157" s="78"/>
      <c r="I157" s="78"/>
      <c r="J157" s="78"/>
      <c r="K157" s="17">
        <f>C60-C56</f>
        <v>0</v>
      </c>
      <c r="L157" s="6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</row>
    <row r="158" spans="1:23" hidden="1">
      <c r="A158" s="78"/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6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</row>
    <row r="159" spans="1:23" hidden="1">
      <c r="A159" s="78"/>
      <c r="B159" s="78"/>
      <c r="C159" s="78"/>
      <c r="D159" s="78"/>
      <c r="E159" s="78"/>
      <c r="F159" s="78"/>
      <c r="G159" s="78"/>
      <c r="H159" s="78"/>
      <c r="I159" s="78"/>
      <c r="J159" s="78"/>
      <c r="K159" s="78">
        <f>IF(K157&gt;0,K157*0.01,75)</f>
        <v>75</v>
      </c>
      <c r="L159" s="6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</row>
    <row r="160" spans="1:23" hidden="1">
      <c r="A160" s="78" t="s">
        <v>81</v>
      </c>
      <c r="B160" s="78"/>
      <c r="C160" s="78"/>
      <c r="D160" s="78"/>
      <c r="E160" s="78"/>
      <c r="F160" s="78"/>
      <c r="G160" s="78" t="s">
        <v>26</v>
      </c>
      <c r="H160" s="78" t="s">
        <v>82</v>
      </c>
      <c r="I160" s="78"/>
      <c r="J160" s="78"/>
      <c r="K160" s="78"/>
      <c r="L160" s="6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</row>
    <row r="161" spans="1:23" hidden="1">
      <c r="A161" s="78"/>
      <c r="B161" s="78"/>
      <c r="C161" s="78"/>
      <c r="D161" s="78"/>
      <c r="E161" s="78"/>
      <c r="F161" s="78"/>
      <c r="G161" s="17">
        <f>H64</f>
        <v>0</v>
      </c>
      <c r="H161" s="78">
        <f>IF(H64=0,575,550)</f>
        <v>575</v>
      </c>
      <c r="I161" s="78"/>
      <c r="J161" s="78"/>
      <c r="K161" s="78">
        <f>IF(K159&lt;75,75,K159)</f>
        <v>75</v>
      </c>
      <c r="L161" s="6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</row>
    <row r="162" spans="1:23" hidden="1">
      <c r="A162" s="78"/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6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</row>
    <row r="163" spans="1:23" hidden="1">
      <c r="A163" s="78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6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</row>
    <row r="164" spans="1:23" hidden="1">
      <c r="A164" s="78"/>
      <c r="B164" s="78"/>
      <c r="C164" s="78"/>
      <c r="D164" s="78"/>
      <c r="E164" s="78"/>
      <c r="F164" s="78"/>
      <c r="G164" s="78"/>
      <c r="H164" s="78"/>
      <c r="I164" s="78"/>
      <c r="J164" s="78"/>
      <c r="K164" s="78"/>
      <c r="L164" s="6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</row>
    <row r="165" spans="1:23" hidden="1">
      <c r="A165" s="79">
        <f>SUM(C62:C74)-C70-C72-C74</f>
        <v>1004.9999999999999</v>
      </c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6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</row>
    <row r="166" spans="1:23" hidden="1">
      <c r="A166" s="78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6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</row>
    <row r="167" spans="1:23" hidden="1">
      <c r="A167" s="80" t="s">
        <v>91</v>
      </c>
      <c r="B167" s="81"/>
      <c r="C167" s="81"/>
      <c r="D167" s="81"/>
      <c r="E167" s="81"/>
      <c r="F167" s="81"/>
      <c r="G167" s="81"/>
      <c r="H167" s="81"/>
      <c r="I167" s="78"/>
      <c r="J167" s="78"/>
      <c r="K167" s="78"/>
      <c r="L167" s="6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</row>
    <row r="168" spans="1:23" hidden="1">
      <c r="A168" s="77">
        <v>117.11</v>
      </c>
      <c r="B168" s="77" t="s">
        <v>78</v>
      </c>
      <c r="C168" s="77"/>
      <c r="D168" s="77"/>
      <c r="E168" s="77"/>
      <c r="F168" s="77"/>
      <c r="G168" s="77">
        <v>25000</v>
      </c>
      <c r="H168" s="77"/>
      <c r="I168" s="78"/>
      <c r="J168" s="78"/>
      <c r="K168" s="78"/>
      <c r="L168" s="6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</row>
    <row r="169" spans="1:23" hidden="1">
      <c r="A169" s="77">
        <v>23.56</v>
      </c>
      <c r="B169" s="77" t="s">
        <v>79</v>
      </c>
      <c r="C169" s="77"/>
      <c r="D169" s="77"/>
      <c r="E169" s="77"/>
      <c r="F169" s="77"/>
      <c r="G169" s="77">
        <v>25000</v>
      </c>
      <c r="H169" s="77" t="s">
        <v>80</v>
      </c>
      <c r="I169" s="78"/>
      <c r="J169" s="78"/>
      <c r="K169" s="78"/>
      <c r="L169" s="6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</row>
    <row r="170" spans="1:23" hidden="1">
      <c r="A170" s="78"/>
      <c r="B170" s="78"/>
      <c r="C170" s="78"/>
      <c r="D170" s="78"/>
      <c r="E170" s="78"/>
      <c r="F170" s="78"/>
      <c r="G170" s="78"/>
      <c r="H170" s="78"/>
      <c r="I170" s="78"/>
      <c r="J170" s="78"/>
      <c r="K170" s="78"/>
      <c r="L170" s="6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</row>
    <row r="171" spans="1:23" hidden="1">
      <c r="A171" s="78"/>
      <c r="B171" s="78"/>
      <c r="C171" s="78"/>
      <c r="D171" s="78"/>
      <c r="E171" s="78"/>
      <c r="F171" s="78"/>
      <c r="G171" s="78"/>
      <c r="H171" s="78"/>
      <c r="I171" s="78"/>
      <c r="J171" s="78"/>
      <c r="K171" s="78"/>
      <c r="L171" s="6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</row>
    <row r="172" spans="1:23" hidden="1">
      <c r="A172" s="78"/>
      <c r="B172" s="78"/>
      <c r="C172" s="78"/>
      <c r="D172" s="78"/>
      <c r="E172" s="78"/>
      <c r="F172" s="78"/>
      <c r="G172" s="78"/>
      <c r="H172" s="78"/>
      <c r="I172" s="78"/>
      <c r="J172" s="78"/>
      <c r="K172" s="78"/>
      <c r="L172" s="6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</row>
    <row r="173" spans="1:23" hidden="1">
      <c r="A173" s="78"/>
      <c r="B173" s="78"/>
      <c r="C173" s="78"/>
      <c r="D173" s="78"/>
      <c r="E173" s="78"/>
      <c r="F173" s="78"/>
      <c r="G173" s="78"/>
      <c r="H173" s="17">
        <f>ROUNDUP(B65+B66,-2)</f>
        <v>200</v>
      </c>
      <c r="I173" s="78"/>
      <c r="J173" s="78"/>
      <c r="K173" s="78"/>
      <c r="L173" s="6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</row>
    <row r="174" spans="1:23" hidden="1">
      <c r="A174" s="78"/>
      <c r="B174" s="78"/>
      <c r="C174" s="78"/>
      <c r="D174" s="78"/>
      <c r="E174" s="78"/>
      <c r="F174" s="78"/>
      <c r="G174" s="78"/>
      <c r="H174" s="78">
        <f>IF((H173-B65-B66)&gt;90,H173-50,H173)</f>
        <v>200</v>
      </c>
      <c r="I174" s="78"/>
      <c r="J174" s="78"/>
      <c r="K174" s="78"/>
      <c r="L174" s="6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</row>
    <row r="175" spans="1:23" hidden="1">
      <c r="A175" s="78"/>
      <c r="B175" s="78"/>
      <c r="C175" s="78"/>
      <c r="D175" s="78"/>
      <c r="E175" s="78"/>
      <c r="F175" s="78"/>
      <c r="G175" s="78"/>
      <c r="H175" s="78">
        <f>IF((H174-B65-B66)&lt;30,(B65+B66+30),H174)</f>
        <v>214.42000000000002</v>
      </c>
      <c r="I175" s="78"/>
      <c r="J175" s="78"/>
      <c r="K175" s="78"/>
      <c r="L175" s="6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</row>
    <row r="176" spans="1:23" hidden="1">
      <c r="A176" s="78"/>
      <c r="B176" s="78"/>
      <c r="C176" s="78"/>
      <c r="D176" s="78"/>
      <c r="E176" s="78"/>
      <c r="F176" s="78"/>
      <c r="G176" s="78"/>
      <c r="H176" s="78">
        <f>ROUNDUP(H175,-1)</f>
        <v>220</v>
      </c>
      <c r="I176" s="78"/>
      <c r="J176" s="78"/>
      <c r="K176" s="78"/>
      <c r="L176" s="6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</row>
    <row r="177" spans="1:23" hidden="1">
      <c r="J177" s="6"/>
      <c r="K177" s="6"/>
      <c r="L177" s="6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</row>
    <row r="178" spans="1:23" hidden="1">
      <c r="J178" s="6"/>
      <c r="K178" s="6"/>
      <c r="L178" s="6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</row>
    <row r="179" spans="1:23" hidden="1">
      <c r="J179" s="6"/>
      <c r="K179" s="6"/>
      <c r="L179" s="6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</row>
    <row r="180" spans="1:23" hidden="1">
      <c r="J180" s="6"/>
      <c r="K180" s="6"/>
      <c r="L180" s="6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</row>
    <row r="181" spans="1:23" hidden="1">
      <c r="J181" s="6"/>
      <c r="K181" s="6"/>
      <c r="L181" s="6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</row>
    <row r="182" spans="1:23" hidden="1">
      <c r="J182" s="6"/>
      <c r="K182" s="6"/>
      <c r="L182" s="6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</row>
    <row r="183" spans="1:23" hidden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</row>
    <row r="184" spans="1:23" hidden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</row>
    <row r="185" spans="1:23" hidden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</row>
    <row r="186" spans="1:23" hidden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</row>
    <row r="187" spans="1:23" hidden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</row>
    <row r="188" spans="1:23" hidden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</row>
    <row r="189" spans="1:23" hidden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</row>
    <row r="190" spans="1:23" hidden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</row>
    <row r="191" spans="1:23" hidden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</row>
    <row r="192" spans="1:23" hidden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</row>
    <row r="193" spans="1:23" hidden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</row>
    <row r="194" spans="1:23" hidden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</row>
    <row r="195" spans="1:23" hidden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</row>
    <row r="196" spans="1:23" hidden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</row>
    <row r="197" spans="1:23" hidden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</row>
    <row r="198" spans="1:23" ht="15" hidden="1">
      <c r="A198" s="82" t="s">
        <v>83</v>
      </c>
      <c r="B198" s="82"/>
      <c r="C198" s="82"/>
      <c r="D198" s="82"/>
      <c r="E198" s="82"/>
      <c r="F198" s="82"/>
      <c r="G198" s="83">
        <f>C60</f>
        <v>0</v>
      </c>
      <c r="H198" s="84"/>
      <c r="I198" s="40"/>
      <c r="J198" s="78"/>
      <c r="K198" s="78"/>
      <c r="L198" s="6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</row>
    <row r="199" spans="1:23" ht="15" hidden="1">
      <c r="A199" s="85">
        <v>0</v>
      </c>
      <c r="B199" s="84"/>
      <c r="C199" s="84"/>
      <c r="D199" s="84"/>
      <c r="E199" s="84"/>
      <c r="F199" s="84"/>
      <c r="G199" s="85">
        <v>7500</v>
      </c>
      <c r="H199" s="86">
        <v>8.5500000000000003E-3</v>
      </c>
      <c r="I199" s="86"/>
      <c r="J199" s="85">
        <f>IF(C60&lt;G199,C60*H199,G199*H199)</f>
        <v>0</v>
      </c>
      <c r="K199" s="78"/>
      <c r="L199" s="6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</row>
    <row r="200" spans="1:23" ht="15" hidden="1">
      <c r="A200" s="85">
        <v>7500</v>
      </c>
      <c r="B200" s="84"/>
      <c r="C200" s="84"/>
      <c r="D200" s="84"/>
      <c r="E200" s="84"/>
      <c r="F200" s="84"/>
      <c r="G200" s="85">
        <v>17500</v>
      </c>
      <c r="H200" s="86">
        <v>6.8399999999999997E-3</v>
      </c>
      <c r="I200" s="86"/>
      <c r="J200" s="84" t="str">
        <f>IF(C60&lt;=A200," ",IF(C60&lt;G200,(C60-G199)*H200,(G200-A200)*H200))</f>
        <v xml:space="preserve"> </v>
      </c>
      <c r="K200" s="78"/>
      <c r="L200" s="6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</row>
    <row r="201" spans="1:23" ht="15" hidden="1">
      <c r="A201" s="85">
        <v>17500</v>
      </c>
      <c r="B201" s="84"/>
      <c r="C201" s="84"/>
      <c r="D201" s="84"/>
      <c r="E201" s="84"/>
      <c r="F201" s="84"/>
      <c r="G201" s="85">
        <v>30000</v>
      </c>
      <c r="H201" s="86">
        <v>4.5599999999999998E-3</v>
      </c>
      <c r="I201" s="86"/>
      <c r="J201" s="84" t="str">
        <f>IF(C60&lt;=A201," ",IF(C60&lt;G201,(C60-G200)*H201,(G201-A201)*H201))</f>
        <v xml:space="preserve"> </v>
      </c>
      <c r="K201" s="78"/>
      <c r="L201" s="6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</row>
    <row r="202" spans="1:23" ht="15" hidden="1">
      <c r="A202" s="85">
        <v>30000</v>
      </c>
      <c r="B202" s="84"/>
      <c r="C202" s="84"/>
      <c r="D202" s="84"/>
      <c r="E202" s="84"/>
      <c r="F202" s="84"/>
      <c r="G202" s="85">
        <v>45495</v>
      </c>
      <c r="H202" s="86">
        <v>3.4199999999999999E-3</v>
      </c>
      <c r="I202" s="86"/>
      <c r="J202" s="84" t="str">
        <f>IF(C60&lt;=A202," ",IF(C60&lt;G202,(C60-G201)*H202,(G202-A202)*H202))</f>
        <v xml:space="preserve"> </v>
      </c>
      <c r="K202" s="78"/>
      <c r="L202" s="6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</row>
    <row r="203" spans="1:23" ht="15" hidden="1">
      <c r="A203" s="85">
        <v>45495</v>
      </c>
      <c r="B203" s="84"/>
      <c r="C203" s="84"/>
      <c r="D203" s="84"/>
      <c r="E203" s="84"/>
      <c r="F203" s="84"/>
      <c r="G203" s="85">
        <v>64095</v>
      </c>
      <c r="H203" s="86">
        <v>2.2799999999999999E-3</v>
      </c>
      <c r="I203" s="86"/>
      <c r="J203" s="84" t="str">
        <f>IF(C60&lt;=A203," ",IF(C60&lt;G203,(C60-G202)*H203,(G203-A203)*H203))</f>
        <v xml:space="preserve"> </v>
      </c>
      <c r="K203" s="78"/>
      <c r="L203" s="6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</row>
    <row r="204" spans="1:23" ht="15" hidden="1">
      <c r="A204" s="85">
        <v>64095</v>
      </c>
      <c r="B204" s="84"/>
      <c r="C204" s="84"/>
      <c r="D204" s="84"/>
      <c r="E204" s="84"/>
      <c r="F204" s="84"/>
      <c r="G204" s="85">
        <v>250095</v>
      </c>
      <c r="H204" s="86">
        <v>1.14E-3</v>
      </c>
      <c r="I204" s="86"/>
      <c r="J204" s="84" t="str">
        <f>IF(C60&lt;=A204," ",IF(C60&lt;G204,(C60-G203)*H204,(G204-A204)*H204))</f>
        <v xml:space="preserve"> </v>
      </c>
      <c r="K204" s="78"/>
      <c r="L204" s="6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</row>
    <row r="205" spans="1:23" ht="15" hidden="1">
      <c r="A205" s="85">
        <v>250095</v>
      </c>
      <c r="B205" s="84"/>
      <c r="C205" s="84"/>
      <c r="D205" s="84"/>
      <c r="E205" s="84"/>
      <c r="F205" s="84"/>
      <c r="G205" s="85">
        <f>$H$8</f>
        <v>0</v>
      </c>
      <c r="H205" s="87">
        <v>3.4200000000000002E-4</v>
      </c>
      <c r="I205" s="86"/>
      <c r="J205" s="84" t="str">
        <f>IF(C60&lt;=A205," ",IF(C60&lt;G205,(C60-G204)*H205,(G205-A205)*H205))</f>
        <v xml:space="preserve"> </v>
      </c>
      <c r="K205" s="78"/>
      <c r="L205" s="6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</row>
    <row r="206" spans="1:23" ht="15" hidden="1">
      <c r="A206" s="83">
        <v>10075000</v>
      </c>
      <c r="B206" s="83"/>
      <c r="C206" s="83"/>
      <c r="D206" s="83"/>
      <c r="E206" s="83"/>
      <c r="F206" s="83"/>
      <c r="G206" s="83">
        <f>G198</f>
        <v>0</v>
      </c>
      <c r="H206" s="87">
        <v>4.5600000000000003E-4</v>
      </c>
      <c r="I206" s="83" t="str">
        <f>IF(G198&lt;=A206," E90",IF(G198&lt;G206,(G198-G205)*H206,(G206-A206)*H206))</f>
        <v xml:space="preserve"> E90</v>
      </c>
      <c r="J206" s="78"/>
      <c r="K206" s="78"/>
      <c r="L206" s="6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</row>
    <row r="207" spans="1:23" ht="15" hidden="1">
      <c r="A207" s="40"/>
      <c r="B207" s="40"/>
      <c r="C207" s="40"/>
      <c r="D207" s="40"/>
      <c r="E207" s="40"/>
      <c r="F207" s="40"/>
      <c r="G207" s="40"/>
      <c r="H207" s="40"/>
      <c r="I207" s="40"/>
      <c r="J207" s="78"/>
      <c r="K207" s="78"/>
      <c r="L207" s="6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</row>
    <row r="208" spans="1:23" ht="15" hidden="1">
      <c r="A208" s="43" t="s">
        <v>28</v>
      </c>
      <c r="B208" s="43"/>
      <c r="C208" s="43"/>
      <c r="D208" s="43"/>
      <c r="E208" s="43"/>
      <c r="F208" s="43"/>
      <c r="G208" s="40"/>
      <c r="H208" s="40"/>
      <c r="I208" s="88">
        <f>SUM(J199:J206)</f>
        <v>0</v>
      </c>
      <c r="J208" s="78"/>
      <c r="K208" s="78"/>
      <c r="L208" s="6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</row>
    <row r="209" spans="1:23" ht="15" hidden="1">
      <c r="A209" s="43"/>
      <c r="B209" s="43"/>
      <c r="C209" s="43"/>
      <c r="D209" s="43"/>
      <c r="E209" s="43"/>
      <c r="F209" s="43"/>
      <c r="G209" s="40"/>
      <c r="H209" s="40"/>
      <c r="I209" s="88"/>
      <c r="J209" s="78"/>
      <c r="K209" s="78"/>
      <c r="L209" s="6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</row>
    <row r="210" spans="1:23" ht="15" hidden="1">
      <c r="A210" s="82" t="s">
        <v>83</v>
      </c>
      <c r="B210" s="82"/>
      <c r="C210" s="82"/>
      <c r="D210" s="82"/>
      <c r="E210" s="82"/>
      <c r="F210" s="82"/>
      <c r="G210" s="83">
        <f>C56</f>
        <v>0</v>
      </c>
      <c r="H210" s="84"/>
      <c r="I210" s="40"/>
      <c r="J210" s="78"/>
      <c r="K210" s="78"/>
      <c r="L210" s="6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</row>
    <row r="211" spans="1:23" ht="15" hidden="1">
      <c r="A211" s="85">
        <v>0</v>
      </c>
      <c r="B211" s="84"/>
      <c r="C211" s="84"/>
      <c r="D211" s="84"/>
      <c r="E211" s="84"/>
      <c r="F211" s="84"/>
      <c r="G211" s="85">
        <v>7500</v>
      </c>
      <c r="H211" s="86">
        <v>8.5500000000000003E-3</v>
      </c>
      <c r="I211" s="86"/>
      <c r="J211" s="85">
        <f>IF(C56&lt;G211,C56*H211,G211*H211)</f>
        <v>0</v>
      </c>
      <c r="K211" s="78"/>
      <c r="L211" s="6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</row>
    <row r="212" spans="1:23" ht="15" hidden="1">
      <c r="A212" s="85">
        <v>7500</v>
      </c>
      <c r="B212" s="84"/>
      <c r="C212" s="84"/>
      <c r="D212" s="84"/>
      <c r="E212" s="84"/>
      <c r="F212" s="84"/>
      <c r="G212" s="85">
        <v>17500</v>
      </c>
      <c r="H212" s="86">
        <v>6.8399999999999997E-3</v>
      </c>
      <c r="I212" s="86"/>
      <c r="J212" s="84" t="str">
        <f>IF(C56&lt;=A212," ",IF(C56&lt;G212,(C56-G211)*H212,(G212-A212)*H212))</f>
        <v xml:space="preserve"> </v>
      </c>
      <c r="K212" s="78"/>
      <c r="L212" s="6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</row>
    <row r="213" spans="1:23" ht="15" hidden="1">
      <c r="A213" s="85">
        <v>17500</v>
      </c>
      <c r="B213" s="84"/>
      <c r="C213" s="84"/>
      <c r="D213" s="84"/>
      <c r="E213" s="84"/>
      <c r="F213" s="84"/>
      <c r="G213" s="85">
        <v>30000</v>
      </c>
      <c r="H213" s="86">
        <v>4.5599999999999998E-3</v>
      </c>
      <c r="I213" s="86"/>
      <c r="J213" s="84" t="str">
        <f>IF(C56&lt;=A213," ",IF(C56&lt;G213,(C56-G212)*H213,(G213-A213)*H213))</f>
        <v xml:space="preserve"> </v>
      </c>
      <c r="K213" s="78"/>
      <c r="L213" s="6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</row>
    <row r="214" spans="1:23" ht="15" hidden="1">
      <c r="A214" s="85">
        <v>30000</v>
      </c>
      <c r="B214" s="84"/>
      <c r="C214" s="84"/>
      <c r="D214" s="84"/>
      <c r="E214" s="84"/>
      <c r="F214" s="84"/>
      <c r="G214" s="85">
        <v>45495</v>
      </c>
      <c r="H214" s="86">
        <v>3.4199999999999999E-3</v>
      </c>
      <c r="I214" s="86"/>
      <c r="J214" s="84" t="str">
        <f>IF(C56&lt;=A214," ",IF(C56&lt;G214,(C56-G213)*H214,(G214-A214)*H214))</f>
        <v xml:space="preserve"> </v>
      </c>
      <c r="K214" s="78"/>
      <c r="L214" s="6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</row>
    <row r="215" spans="1:23" ht="15" hidden="1">
      <c r="A215" s="85">
        <v>45495</v>
      </c>
      <c r="B215" s="84"/>
      <c r="C215" s="84"/>
      <c r="D215" s="84"/>
      <c r="E215" s="84"/>
      <c r="F215" s="84"/>
      <c r="G215" s="85">
        <v>64095</v>
      </c>
      <c r="H215" s="86">
        <v>2.2799999999999999E-3</v>
      </c>
      <c r="I215" s="86"/>
      <c r="J215" s="84" t="str">
        <f>IF(C56&lt;=A215," ",IF(C56&lt;G215,(C56-G214)*H215,(G215-A215)*H215))</f>
        <v xml:space="preserve"> </v>
      </c>
      <c r="K215" s="78"/>
      <c r="L215" s="6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</row>
    <row r="216" spans="1:23" ht="15" hidden="1">
      <c r="A216" s="85">
        <v>64095</v>
      </c>
      <c r="B216" s="84"/>
      <c r="C216" s="84"/>
      <c r="D216" s="84"/>
      <c r="E216" s="84"/>
      <c r="F216" s="84"/>
      <c r="G216" s="85">
        <v>250095</v>
      </c>
      <c r="H216" s="86">
        <v>1.14E-3</v>
      </c>
      <c r="I216" s="86"/>
      <c r="J216" s="84" t="str">
        <f>IF(C56&lt;=A216," ",IF(C56&lt;G216,(C56-G215)*H216,(G216-A216)*H216))</f>
        <v xml:space="preserve"> </v>
      </c>
      <c r="K216" s="78"/>
      <c r="L216" s="6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</row>
    <row r="217" spans="1:23" ht="15" hidden="1">
      <c r="A217" s="85">
        <v>250095</v>
      </c>
      <c r="B217" s="84"/>
      <c r="C217" s="84"/>
      <c r="D217" s="84"/>
      <c r="E217" s="84"/>
      <c r="F217" s="84"/>
      <c r="G217" s="85">
        <f>$H$8</f>
        <v>0</v>
      </c>
      <c r="H217" s="87">
        <v>3.4200000000000002E-4</v>
      </c>
      <c r="I217" s="86"/>
      <c r="J217" s="84" t="str">
        <f>IF(C56&lt;=A217," ",IF(C56&lt;G217,(C56-G216)*H217,(G217-A217)*H217))</f>
        <v xml:space="preserve"> </v>
      </c>
      <c r="K217" s="78"/>
      <c r="L217" s="6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</row>
    <row r="218" spans="1:23" ht="15" hidden="1">
      <c r="A218" s="83">
        <v>10075000</v>
      </c>
      <c r="B218" s="83"/>
      <c r="C218" s="83"/>
      <c r="D218" s="83"/>
      <c r="E218" s="83"/>
      <c r="F218" s="83"/>
      <c r="G218" s="83">
        <f>G210</f>
        <v>0</v>
      </c>
      <c r="H218" s="87">
        <v>4.5600000000000003E-4</v>
      </c>
      <c r="I218" s="83" t="str">
        <f>IF(G210&lt;=A218," E90",IF(G210&lt;G218,(G210-G217)*H218,(G218-A218)*H218))</f>
        <v xml:space="preserve"> E90</v>
      </c>
      <c r="J218" s="78"/>
      <c r="K218" s="78"/>
      <c r="L218" s="6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</row>
    <row r="219" spans="1:23" ht="15" hidden="1">
      <c r="A219" s="40"/>
      <c r="B219" s="40"/>
      <c r="C219" s="40"/>
      <c r="D219" s="40"/>
      <c r="E219" s="40"/>
      <c r="F219" s="40"/>
      <c r="G219" s="40"/>
      <c r="H219" s="40"/>
      <c r="I219" s="40"/>
      <c r="J219" s="78"/>
      <c r="K219" s="78"/>
      <c r="L219" s="6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</row>
    <row r="220" spans="1:23" ht="15" hidden="1">
      <c r="A220" s="43" t="s">
        <v>28</v>
      </c>
      <c r="B220" s="43"/>
      <c r="C220" s="43"/>
      <c r="D220" s="43"/>
      <c r="E220" s="43"/>
      <c r="F220" s="43"/>
      <c r="G220" s="40"/>
      <c r="H220" s="40"/>
      <c r="I220" s="88">
        <f>SUM(J211:J218)</f>
        <v>0</v>
      </c>
      <c r="J220" s="78"/>
      <c r="K220" s="78"/>
      <c r="L220" s="6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</row>
    <row r="221" spans="1:23" hidden="1">
      <c r="A221" s="78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6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</row>
    <row r="222" spans="1:23" hidden="1">
      <c r="A222" s="78"/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6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</row>
    <row r="223" spans="1:23" ht="15" hidden="1">
      <c r="A223" s="82" t="s">
        <v>83</v>
      </c>
      <c r="B223" s="82"/>
      <c r="C223" s="82"/>
      <c r="D223" s="82"/>
      <c r="E223" s="82"/>
      <c r="F223" s="82"/>
      <c r="G223" s="83">
        <f>C60</f>
        <v>0</v>
      </c>
      <c r="H223" s="84"/>
      <c r="I223" s="40"/>
      <c r="J223" s="78"/>
      <c r="K223" s="78"/>
      <c r="L223" s="6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</row>
    <row r="224" spans="1:23" ht="15" hidden="1">
      <c r="A224" s="85">
        <v>0</v>
      </c>
      <c r="B224" s="84"/>
      <c r="C224" s="84"/>
      <c r="D224" s="84"/>
      <c r="E224" s="84"/>
      <c r="F224" s="84"/>
      <c r="G224" s="85">
        <v>7500</v>
      </c>
      <c r="H224" s="86">
        <v>1.7100000000000001E-2</v>
      </c>
      <c r="I224" s="86"/>
      <c r="J224" s="85">
        <f>IF(C60&lt;G224,C60*H224,G224*H224)</f>
        <v>0</v>
      </c>
      <c r="K224" s="78"/>
      <c r="L224" s="6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</row>
    <row r="225" spans="1:23" ht="15" hidden="1">
      <c r="A225" s="85">
        <v>7500</v>
      </c>
      <c r="B225" s="84"/>
      <c r="C225" s="84"/>
      <c r="D225" s="84"/>
      <c r="E225" s="84"/>
      <c r="F225" s="84"/>
      <c r="G225" s="85">
        <v>17500</v>
      </c>
      <c r="H225" s="86">
        <v>1.3679999999999999E-2</v>
      </c>
      <c r="I225" s="86"/>
      <c r="J225" s="84" t="str">
        <f>IF(C60&lt;=A225," ",IF(C60&lt;G225,(C60-G224)*H225,(G225-A225)*H225))</f>
        <v xml:space="preserve"> </v>
      </c>
      <c r="K225" s="78"/>
      <c r="L225" s="6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</row>
    <row r="226" spans="1:23" ht="15" hidden="1">
      <c r="A226" s="85">
        <v>17500</v>
      </c>
      <c r="B226" s="84"/>
      <c r="C226" s="84"/>
      <c r="D226" s="84"/>
      <c r="E226" s="84"/>
      <c r="F226" s="84"/>
      <c r="G226" s="85">
        <v>30000</v>
      </c>
      <c r="H226" s="86">
        <v>9.1199999999999996E-3</v>
      </c>
      <c r="I226" s="86"/>
      <c r="J226" s="84" t="str">
        <f>IF(C60&lt;=A226," ",IF(C60&lt;G226,(C60-G225)*H226,(G226-A226)*H226))</f>
        <v xml:space="preserve"> </v>
      </c>
      <c r="K226" s="78"/>
      <c r="L226" s="6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</row>
    <row r="227" spans="1:23" ht="15" hidden="1">
      <c r="A227" s="85">
        <v>30000</v>
      </c>
      <c r="B227" s="84"/>
      <c r="C227" s="84"/>
      <c r="D227" s="84"/>
      <c r="E227" s="84"/>
      <c r="F227" s="84"/>
      <c r="G227" s="85">
        <v>45495</v>
      </c>
      <c r="H227" s="86">
        <v>6.8399999999999997E-3</v>
      </c>
      <c r="I227" s="86"/>
      <c r="J227" s="84" t="str">
        <f>IF(C60&lt;=A227," ",IF(C60&lt;G227,(C60-G226)*H227,(G227-A227)*H227))</f>
        <v xml:space="preserve"> </v>
      </c>
      <c r="K227" s="78"/>
      <c r="L227" s="6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</row>
    <row r="228" spans="1:23" ht="15" hidden="1">
      <c r="A228" s="85">
        <v>45495</v>
      </c>
      <c r="B228" s="84"/>
      <c r="C228" s="84"/>
      <c r="D228" s="84"/>
      <c r="E228" s="84"/>
      <c r="F228" s="84"/>
      <c r="G228" s="85">
        <v>64095</v>
      </c>
      <c r="H228" s="86">
        <v>4.5599999999999998E-3</v>
      </c>
      <c r="I228" s="86"/>
      <c r="J228" s="84" t="str">
        <f>IF(C60&lt;=A228," ",IF(C60&lt;G228,(C60-G227)*H228,(G228-A228)*H228))</f>
        <v xml:space="preserve"> </v>
      </c>
      <c r="K228" s="78"/>
      <c r="L228" s="6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</row>
    <row r="229" spans="1:23" ht="15" hidden="1">
      <c r="A229" s="85">
        <v>64095</v>
      </c>
      <c r="B229" s="84"/>
      <c r="C229" s="84"/>
      <c r="D229" s="84"/>
      <c r="E229" s="84"/>
      <c r="F229" s="84"/>
      <c r="G229" s="85">
        <v>250095</v>
      </c>
      <c r="H229" s="86">
        <v>2.2799999999999999E-3</v>
      </c>
      <c r="I229" s="86"/>
      <c r="J229" s="84" t="str">
        <f>IF(C60&lt;=A229," ",IF(C60&lt;G229,(C60-G228)*H229,(G229-A229)*H229))</f>
        <v xml:space="preserve"> </v>
      </c>
      <c r="K229" s="78"/>
      <c r="L229" s="6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</row>
    <row r="230" spans="1:23" ht="15" hidden="1">
      <c r="A230" s="85">
        <v>250095</v>
      </c>
      <c r="B230" s="84"/>
      <c r="C230" s="84"/>
      <c r="D230" s="84"/>
      <c r="E230" s="84"/>
      <c r="F230" s="84"/>
      <c r="G230" s="85">
        <f>$H$8</f>
        <v>0</v>
      </c>
      <c r="H230" s="87">
        <v>4.5600000000000003E-4</v>
      </c>
      <c r="I230" s="86"/>
      <c r="J230" s="84" t="str">
        <f>IF(C60&lt;=A230," ",IF(C60&lt;G230,(C60-G229)*H230,(G230-A230)*H230))</f>
        <v xml:space="preserve"> </v>
      </c>
      <c r="K230" s="78"/>
      <c r="L230" s="6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</row>
    <row r="231" spans="1:23" ht="15" hidden="1">
      <c r="A231" s="83">
        <v>10075000</v>
      </c>
      <c r="B231" s="83"/>
      <c r="C231" s="83"/>
      <c r="D231" s="83"/>
      <c r="E231" s="83"/>
      <c r="F231" s="83"/>
      <c r="G231" s="83">
        <f>G223</f>
        <v>0</v>
      </c>
      <c r="H231" s="87">
        <v>4.5600000000000003E-4</v>
      </c>
      <c r="I231" s="83" t="str">
        <f>IF(G223&lt;=A231," E90",IF(G223&lt;G231,(_C178C185)*H231,(G231-A231)*H231))</f>
        <v xml:space="preserve"> E90</v>
      </c>
      <c r="J231" s="78"/>
      <c r="K231" s="78"/>
      <c r="L231" s="6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</row>
    <row r="232" spans="1:23" ht="15" hidden="1">
      <c r="A232" s="40"/>
      <c r="B232" s="40"/>
      <c r="C232" s="40"/>
      <c r="D232" s="40"/>
      <c r="E232" s="40"/>
      <c r="F232" s="40"/>
      <c r="G232" s="40"/>
      <c r="H232" s="40"/>
      <c r="I232" s="40"/>
      <c r="J232" s="78"/>
      <c r="K232" s="78"/>
      <c r="L232" s="6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</row>
    <row r="233" spans="1:23" ht="15" hidden="1">
      <c r="A233" s="43" t="s">
        <v>28</v>
      </c>
      <c r="B233" s="43"/>
      <c r="C233" s="43"/>
      <c r="D233" s="43"/>
      <c r="E233" s="43"/>
      <c r="F233" s="43"/>
      <c r="G233" s="40"/>
      <c r="H233" s="40"/>
      <c r="I233" s="88">
        <f>SUM(J224:J231)</f>
        <v>0</v>
      </c>
      <c r="J233" s="78"/>
      <c r="K233" s="78"/>
      <c r="L233" s="6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</row>
    <row r="234" spans="1:23" hidden="1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6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</row>
    <row r="235" spans="1:23" hidden="1">
      <c r="A235" s="78"/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6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</row>
    <row r="236" spans="1:23" ht="15" hidden="1">
      <c r="A236" s="82" t="s">
        <v>83</v>
      </c>
      <c r="B236" s="82"/>
      <c r="C236" s="82"/>
      <c r="D236" s="82"/>
      <c r="E236" s="82"/>
      <c r="F236" s="82"/>
      <c r="G236" s="83">
        <f>C56</f>
        <v>0</v>
      </c>
      <c r="H236" s="84"/>
      <c r="I236" s="40"/>
      <c r="J236" s="78"/>
      <c r="K236" s="78"/>
      <c r="L236" s="6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</row>
    <row r="237" spans="1:23" ht="15" hidden="1">
      <c r="A237" s="85">
        <v>0</v>
      </c>
      <c r="B237" s="84"/>
      <c r="C237" s="84"/>
      <c r="D237" s="84"/>
      <c r="E237" s="84"/>
      <c r="F237" s="84"/>
      <c r="G237" s="85">
        <v>7500</v>
      </c>
      <c r="H237" s="86">
        <v>1.7100000000000001E-2</v>
      </c>
      <c r="I237" s="86"/>
      <c r="J237" s="85">
        <f>IF(C56&lt;G237,C56*H237,G237*H237)</f>
        <v>0</v>
      </c>
      <c r="K237" s="78"/>
      <c r="L237" s="6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</row>
    <row r="238" spans="1:23" ht="15" hidden="1">
      <c r="A238" s="85">
        <v>7500</v>
      </c>
      <c r="B238" s="84"/>
      <c r="C238" s="84"/>
      <c r="D238" s="84"/>
      <c r="E238" s="84"/>
      <c r="F238" s="84"/>
      <c r="G238" s="85">
        <v>17500</v>
      </c>
      <c r="H238" s="86">
        <v>1.3679999999999999E-2</v>
      </c>
      <c r="I238" s="86"/>
      <c r="J238" s="84" t="str">
        <f>IF(C56&lt;=A238," ",IF(C56&lt;G238,(C56-G237)*H238,(G238-A238)*H238))</f>
        <v xml:space="preserve"> </v>
      </c>
      <c r="K238" s="78"/>
      <c r="L238" s="6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</row>
    <row r="239" spans="1:23" ht="15" hidden="1">
      <c r="A239" s="85">
        <v>17500</v>
      </c>
      <c r="B239" s="84"/>
      <c r="C239" s="84"/>
      <c r="D239" s="84"/>
      <c r="E239" s="84"/>
      <c r="F239" s="84"/>
      <c r="G239" s="85">
        <v>30000</v>
      </c>
      <c r="H239" s="86">
        <v>9.1199999999999996E-3</v>
      </c>
      <c r="I239" s="86"/>
      <c r="J239" s="84" t="str">
        <f>IF(C56&lt;=A239," ",IF(C56&lt;G239,(C56-G238)*H239,(G239-A239)*H239))</f>
        <v xml:space="preserve"> </v>
      </c>
      <c r="K239" s="78"/>
      <c r="L239" s="6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</row>
    <row r="240" spans="1:23" ht="15" hidden="1">
      <c r="A240" s="85">
        <v>30000</v>
      </c>
      <c r="B240" s="84"/>
      <c r="C240" s="84"/>
      <c r="D240" s="84"/>
      <c r="E240" s="84"/>
      <c r="F240" s="84"/>
      <c r="G240" s="85">
        <v>45495</v>
      </c>
      <c r="H240" s="86">
        <v>6.8399999999999997E-3</v>
      </c>
      <c r="I240" s="86"/>
      <c r="J240" s="84" t="str">
        <f>IF(C56&lt;=A240," ",IF(C56&lt;G240,(C56-G239)*H240,(G240-A240)*H240))</f>
        <v xml:space="preserve"> </v>
      </c>
      <c r="K240" s="78"/>
      <c r="L240" s="6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</row>
    <row r="241" spans="1:23" ht="15" hidden="1">
      <c r="A241" s="85">
        <v>45495</v>
      </c>
      <c r="B241" s="84"/>
      <c r="C241" s="84"/>
      <c r="D241" s="84"/>
      <c r="E241" s="84"/>
      <c r="F241" s="84"/>
      <c r="G241" s="85">
        <v>64095</v>
      </c>
      <c r="H241" s="86">
        <v>4.5599999999999998E-3</v>
      </c>
      <c r="I241" s="86"/>
      <c r="J241" s="84" t="str">
        <f>IF(C56&lt;=A241," ",IF(C56&lt;G241,(C56-G240)*H241,(G241-A241)*H241))</f>
        <v xml:space="preserve"> </v>
      </c>
      <c r="K241" s="78"/>
      <c r="L241" s="6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</row>
    <row r="242" spans="1:23" ht="15" hidden="1">
      <c r="A242" s="85">
        <v>64095</v>
      </c>
      <c r="B242" s="84"/>
      <c r="C242" s="84"/>
      <c r="D242" s="84"/>
      <c r="E242" s="84"/>
      <c r="F242" s="84"/>
      <c r="G242" s="85">
        <v>250095</v>
      </c>
      <c r="H242" s="86">
        <v>2.2799999999999999E-3</v>
      </c>
      <c r="I242" s="86"/>
      <c r="J242" s="84" t="str">
        <f>IF(C56&lt;=A242," ",IF(C56&lt;G242,(C56-G241)*H242,(G242-A242)*H242))</f>
        <v xml:space="preserve"> </v>
      </c>
      <c r="K242" s="78"/>
      <c r="L242" s="6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</row>
    <row r="243" spans="1:23" ht="15" hidden="1">
      <c r="A243" s="85">
        <v>250095</v>
      </c>
      <c r="B243" s="84"/>
      <c r="C243" s="84"/>
      <c r="D243" s="84"/>
      <c r="E243" s="84"/>
      <c r="F243" s="84"/>
      <c r="G243" s="85">
        <f>$H$8</f>
        <v>0</v>
      </c>
      <c r="H243" s="87">
        <v>4.5600000000000003E-4</v>
      </c>
      <c r="I243" s="86"/>
      <c r="J243" s="84" t="str">
        <f>IF(C56&lt;=A243," ",IF(C56&lt;G243,(C56-G242)*H243,(G243-A243)*H243))</f>
        <v xml:space="preserve"> </v>
      </c>
      <c r="K243" s="78"/>
      <c r="L243" s="6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</row>
    <row r="244" spans="1:23" ht="15" hidden="1">
      <c r="A244" s="83">
        <v>10075000</v>
      </c>
      <c r="B244" s="83"/>
      <c r="C244" s="83"/>
      <c r="D244" s="83"/>
      <c r="E244" s="83"/>
      <c r="F244" s="83"/>
      <c r="G244" s="83">
        <f>G236</f>
        <v>0</v>
      </c>
      <c r="H244" s="87">
        <v>4.5600000000000003E-4</v>
      </c>
      <c r="I244" s="83" t="str">
        <f>IF(G236&lt;=A244," E90",IF(G236&lt;G244,(G236-G243)*H244,(G244-A244)*H244))</f>
        <v xml:space="preserve"> E90</v>
      </c>
      <c r="J244" s="78"/>
      <c r="K244" s="78"/>
      <c r="L244" s="6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</row>
    <row r="245" spans="1:23" ht="15" hidden="1">
      <c r="A245" s="40"/>
      <c r="B245" s="40"/>
      <c r="C245" s="40"/>
      <c r="D245" s="40"/>
      <c r="E245" s="40"/>
      <c r="F245" s="40"/>
      <c r="G245" s="40"/>
      <c r="H245" s="40"/>
      <c r="I245" s="40"/>
      <c r="J245" s="78"/>
      <c r="K245" s="78"/>
      <c r="L245" s="6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</row>
    <row r="246" spans="1:23" ht="15" hidden="1">
      <c r="A246" s="43" t="s">
        <v>28</v>
      </c>
      <c r="B246" s="43"/>
      <c r="C246" s="43"/>
      <c r="D246" s="43"/>
      <c r="E246" s="43"/>
      <c r="F246" s="43"/>
      <c r="G246" s="40"/>
      <c r="H246" s="40"/>
      <c r="I246" s="88">
        <f>SUM(J237:J244)</f>
        <v>0</v>
      </c>
      <c r="J246" s="78"/>
      <c r="K246" s="78"/>
      <c r="L246" s="6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</row>
    <row r="247" spans="1:23" ht="14.25" hidden="1">
      <c r="B247" s="23"/>
      <c r="C247" s="21"/>
      <c r="D247" s="26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</row>
    <row r="248" spans="1:23" ht="14.25" hidden="1">
      <c r="B248" s="23"/>
      <c r="C248" s="21"/>
      <c r="D248" s="26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</row>
    <row r="249" spans="1:23" ht="14.25" hidden="1">
      <c r="B249" s="23"/>
      <c r="C249" s="21"/>
      <c r="D249" s="26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</row>
    <row r="250" spans="1:23" ht="14.25" hidden="1">
      <c r="B250" s="23"/>
      <c r="C250" s="21"/>
      <c r="D250" s="26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</row>
    <row r="251" spans="1:23" ht="14.25" hidden="1">
      <c r="B251" s="23"/>
      <c r="C251" s="21"/>
      <c r="D251" s="26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</row>
    <row r="252" spans="1:23" ht="14.25" hidden="1">
      <c r="B252" s="23"/>
      <c r="C252" s="21"/>
      <c r="D252" s="26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</row>
    <row r="253" spans="1:23" ht="14.25" hidden="1">
      <c r="B253" s="23"/>
      <c r="C253" s="21"/>
      <c r="D253" s="26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</row>
    <row r="254" spans="1:23" ht="14.25" hidden="1">
      <c r="B254" s="23"/>
      <c r="C254" s="21"/>
      <c r="D254" s="26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</row>
    <row r="255" spans="1:23" ht="14.25" hidden="1">
      <c r="B255" s="23"/>
      <c r="C255" s="21"/>
      <c r="D255" s="26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</row>
    <row r="256" spans="1:23" ht="14.25" hidden="1">
      <c r="B256" s="23"/>
      <c r="C256" s="21"/>
      <c r="D256" s="26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</row>
    <row r="257" spans="2:23" ht="14.25" hidden="1">
      <c r="B257" s="23"/>
      <c r="C257" s="21"/>
      <c r="D257" s="26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</row>
    <row r="258" spans="2:23" ht="14.25" hidden="1">
      <c r="B258" s="23"/>
      <c r="C258" s="21"/>
      <c r="D258" s="26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</row>
    <row r="259" spans="2:23" ht="14.25" hidden="1">
      <c r="B259" s="23"/>
      <c r="C259" s="21"/>
      <c r="D259" s="26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</row>
    <row r="260" spans="2:23" ht="14.25" hidden="1">
      <c r="B260" s="23"/>
      <c r="C260" s="21"/>
      <c r="D260" s="26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</row>
    <row r="261" spans="2:23" ht="14.25" hidden="1">
      <c r="B261" s="23"/>
      <c r="C261" s="21"/>
      <c r="D261" s="26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</row>
    <row r="262" spans="2:23" ht="14.25" hidden="1">
      <c r="B262" s="23"/>
      <c r="C262" s="21"/>
      <c r="D262" s="26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</row>
    <row r="263" spans="2:23" ht="14.25" hidden="1">
      <c r="B263" s="23"/>
      <c r="C263" s="21"/>
      <c r="D263" s="26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</row>
    <row r="264" spans="2:23" ht="14.25" hidden="1">
      <c r="B264" s="23"/>
      <c r="C264" s="21"/>
      <c r="D264" s="26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</row>
    <row r="265" spans="2:23" ht="14.25" hidden="1">
      <c r="B265" s="23"/>
      <c r="C265" s="21"/>
      <c r="D265" s="26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</row>
    <row r="266" spans="2:23" ht="14.25" hidden="1">
      <c r="B266" s="23"/>
      <c r="C266" s="21"/>
      <c r="D266" s="26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</row>
    <row r="267" spans="2:23" ht="14.25" hidden="1">
      <c r="B267" s="23"/>
      <c r="C267" s="21"/>
      <c r="D267" s="26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</row>
    <row r="268" spans="2:23" ht="14.25" hidden="1">
      <c r="B268" s="23"/>
      <c r="C268" s="21"/>
      <c r="D268" s="26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</row>
    <row r="269" spans="2:23" ht="14.25" hidden="1">
      <c r="B269" s="23"/>
      <c r="C269" s="21"/>
      <c r="D269" s="26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</row>
    <row r="270" spans="2:23" ht="14.25" hidden="1">
      <c r="B270" s="23"/>
      <c r="C270" s="21"/>
      <c r="D270" s="26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</row>
    <row r="271" spans="2:23" ht="14.25" hidden="1">
      <c r="B271" s="23"/>
      <c r="C271" s="21"/>
      <c r="D271" s="26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</row>
    <row r="272" spans="2:23" ht="14.25" hidden="1">
      <c r="B272" s="23"/>
      <c r="C272" s="21"/>
      <c r="D272" s="26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</row>
    <row r="273" spans="2:23" ht="14.25" hidden="1">
      <c r="B273" s="23"/>
      <c r="C273" s="21"/>
      <c r="D273" s="26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</row>
    <row r="274" spans="2:23" ht="14.25" hidden="1">
      <c r="B274" s="23"/>
      <c r="C274" s="21"/>
      <c r="D274" s="26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</row>
    <row r="275" spans="2:23" ht="14.25" hidden="1">
      <c r="B275" s="23"/>
      <c r="C275" s="21"/>
      <c r="D275" s="26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</row>
    <row r="276" spans="2:23" ht="14.25" hidden="1">
      <c r="B276" s="23"/>
      <c r="C276" s="21"/>
      <c r="D276" s="26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</row>
    <row r="277" spans="2:23" ht="14.25" hidden="1">
      <c r="B277" s="23"/>
      <c r="C277" s="21"/>
      <c r="D277" s="26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</row>
    <row r="278" spans="2:23" ht="14.25" hidden="1">
      <c r="B278" s="23"/>
      <c r="C278" s="21"/>
      <c r="D278" s="26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</row>
    <row r="279" spans="2:23" ht="14.25" hidden="1">
      <c r="B279" s="23"/>
      <c r="C279" s="21"/>
      <c r="D279" s="26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</row>
    <row r="280" spans="2:23" ht="14.25" hidden="1">
      <c r="B280" s="23"/>
      <c r="C280" s="21"/>
      <c r="D280" s="26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</row>
    <row r="281" spans="2:23" ht="14.25" hidden="1">
      <c r="B281" s="23"/>
      <c r="C281" s="21"/>
      <c r="D281" s="26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</row>
    <row r="282" spans="2:23" ht="14.25" hidden="1">
      <c r="B282" s="23"/>
      <c r="C282" s="21"/>
      <c r="D282" s="26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</row>
    <row r="283" spans="2:23" ht="14.25" hidden="1">
      <c r="B283" s="23"/>
      <c r="C283" s="21"/>
      <c r="D283" s="26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</row>
    <row r="284" spans="2:23" ht="14.25" hidden="1">
      <c r="B284" s="23"/>
      <c r="C284" s="21"/>
      <c r="D284" s="26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</row>
    <row r="285" spans="2:23" ht="14.25" hidden="1">
      <c r="B285" s="23"/>
      <c r="C285" s="21"/>
      <c r="D285" s="26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</row>
    <row r="286" spans="2:23" ht="14.25" hidden="1">
      <c r="B286" s="23"/>
      <c r="C286" s="21"/>
      <c r="D286" s="26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</row>
    <row r="287" spans="2:23" ht="14.25" hidden="1">
      <c r="B287" s="23"/>
      <c r="C287" s="21"/>
      <c r="D287" s="26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</row>
    <row r="288" spans="2:23" ht="14.25" hidden="1">
      <c r="B288" s="23"/>
      <c r="C288" s="21"/>
      <c r="D288" s="26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</row>
    <row r="289" spans="1:23" ht="14.25" hidden="1">
      <c r="B289" s="23"/>
      <c r="C289" s="26"/>
      <c r="D289" s="26"/>
      <c r="E289" s="21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</row>
    <row r="290" spans="1:23" ht="14.25" hidden="1">
      <c r="B290" s="23"/>
      <c r="D290" s="26"/>
      <c r="E290" s="21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</row>
    <row r="291" spans="1:23" hidden="1">
      <c r="A291" s="94" t="s">
        <v>39</v>
      </c>
      <c r="B291" s="51"/>
      <c r="C291" s="51" t="s">
        <v>29</v>
      </c>
      <c r="D291" s="51" t="s">
        <v>29</v>
      </c>
      <c r="E291" s="51" t="s">
        <v>29</v>
      </c>
      <c r="F291" s="51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</row>
    <row r="292" spans="1:23" ht="15.75" hidden="1">
      <c r="A292" s="95" t="s">
        <v>40</v>
      </c>
      <c r="B292" s="52"/>
      <c r="C292" s="51" t="s">
        <v>30</v>
      </c>
      <c r="D292" s="51" t="s">
        <v>30</v>
      </c>
      <c r="E292" s="51" t="s">
        <v>30</v>
      </c>
      <c r="F292" s="51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</row>
    <row r="293" spans="1:23" ht="15.75" hidden="1">
      <c r="A293" s="95" t="s">
        <v>41</v>
      </c>
      <c r="B293" s="52"/>
      <c r="C293" s="51"/>
      <c r="D293" s="51"/>
      <c r="E293" s="51"/>
      <c r="F293" s="51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</row>
    <row r="294" spans="1:23" ht="15.75" hidden="1">
      <c r="A294" s="95" t="s">
        <v>42</v>
      </c>
      <c r="B294" s="52"/>
      <c r="C294" s="53">
        <f>B5*12.5/100</f>
        <v>0</v>
      </c>
      <c r="D294" s="51"/>
      <c r="E294" s="51"/>
      <c r="F294" s="51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</row>
    <row r="295" spans="1:23" ht="15.75" hidden="1">
      <c r="A295" s="95" t="s">
        <v>43</v>
      </c>
      <c r="B295" s="52"/>
      <c r="C295" s="54">
        <f>B5*10%</f>
        <v>0</v>
      </c>
      <c r="D295" s="51"/>
      <c r="E295" s="51"/>
      <c r="F295" s="51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</row>
    <row r="296" spans="1:23" ht="15.75" hidden="1">
      <c r="A296" s="95" t="s">
        <v>44</v>
      </c>
      <c r="B296" s="52"/>
      <c r="C296" s="54">
        <f>IF(B5&gt;150000,9000+(B5-150000)*12.5%,B5*6%)</f>
        <v>0</v>
      </c>
      <c r="D296" s="54">
        <f>IF(B5&gt;160000,9600+(B5-160000)*12.5%,B5*6%)</f>
        <v>0</v>
      </c>
      <c r="E296" s="51"/>
      <c r="F296" s="54">
        <f>IF(AND(B12="ja",B13="NVT",B14="ja"),C297,0)</f>
        <v>0</v>
      </c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</row>
    <row r="297" spans="1:23" ht="15.75" hidden="1">
      <c r="A297" s="95" t="s">
        <v>45</v>
      </c>
      <c r="B297" s="52"/>
      <c r="C297" s="54">
        <f>IF(B5&gt;150000,7500+(B5-150000)*10%,B5*5%)</f>
        <v>0</v>
      </c>
      <c r="D297" s="54">
        <f>IF(B5&gt;160000,8000+(B5-160000)*10%,B5*5%)</f>
        <v>0</v>
      </c>
      <c r="E297" s="51"/>
      <c r="F297" s="54">
        <f>IF(AND(B12="ja",B13="NVT",B14="neen"),C296,0)</f>
        <v>0</v>
      </c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</row>
    <row r="298" spans="1:23" ht="15.75" hidden="1">
      <c r="A298" s="95" t="s">
        <v>46</v>
      </c>
      <c r="B298" s="52"/>
      <c r="C298" s="51"/>
      <c r="D298" s="51"/>
      <c r="E298" s="51"/>
      <c r="F298" s="54">
        <f>IF(AND(B12="neen",B14="ja"),C295,0)</f>
        <v>0</v>
      </c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</row>
    <row r="299" spans="1:23" ht="15.75" hidden="1">
      <c r="A299" s="95" t="s">
        <v>47</v>
      </c>
      <c r="B299" s="52"/>
      <c r="C299" s="51"/>
      <c r="D299" s="51"/>
      <c r="E299" s="51"/>
      <c r="F299" s="54">
        <f>IF(AND(B12="neen",B14="neen"),C294,0)</f>
        <v>0</v>
      </c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</row>
    <row r="300" spans="1:23" ht="15.75" hidden="1">
      <c r="A300" s="95" t="s">
        <v>48</v>
      </c>
      <c r="B300" s="52"/>
      <c r="C300" s="51"/>
      <c r="D300" s="51"/>
      <c r="E300" s="51"/>
      <c r="F300" s="54">
        <f>IF(AND(B12="ja",B13&lt;&gt;"NVT",B14="ja"),D297,0)</f>
        <v>0</v>
      </c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</row>
    <row r="301" spans="1:23" ht="15.75" hidden="1">
      <c r="A301" s="95" t="s">
        <v>115</v>
      </c>
      <c r="B301" s="52"/>
      <c r="C301" s="51"/>
      <c r="D301" s="51"/>
      <c r="E301" s="51"/>
      <c r="F301" s="54">
        <f>IF(AND(B12="ja",B13&lt;&gt;"NVT",B14="neen"),D296,0)</f>
        <v>0</v>
      </c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</row>
    <row r="302" spans="1:23" ht="15.75" hidden="1">
      <c r="A302" s="95" t="s">
        <v>49</v>
      </c>
      <c r="B302" s="52"/>
      <c r="C302" s="51"/>
      <c r="D302" s="51"/>
      <c r="E302" s="51"/>
      <c r="F302" s="54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</row>
    <row r="303" spans="1:23" ht="15.75" hidden="1">
      <c r="A303" s="95" t="s">
        <v>50</v>
      </c>
      <c r="B303" s="52"/>
      <c r="C303" s="51"/>
      <c r="D303" s="51"/>
      <c r="E303" s="51"/>
      <c r="F303" s="54">
        <f>SUM(F296:F302)</f>
        <v>0</v>
      </c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</row>
    <row r="304" spans="1:23" ht="15.75" hidden="1">
      <c r="A304" s="95" t="s">
        <v>51</v>
      </c>
      <c r="B304" s="52"/>
      <c r="C304" s="51"/>
      <c r="D304" s="51"/>
      <c r="E304" s="51"/>
      <c r="F304" s="51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</row>
    <row r="305" spans="1:23" ht="15.75" hidden="1">
      <c r="A305" s="95" t="s">
        <v>116</v>
      </c>
      <c r="B305" s="52"/>
      <c r="C305" s="51"/>
      <c r="D305" s="51"/>
      <c r="E305" s="51"/>
      <c r="F305" s="51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</row>
    <row r="306" spans="1:23" ht="15.75" hidden="1">
      <c r="A306" s="95" t="s">
        <v>52</v>
      </c>
      <c r="B306" s="52"/>
      <c r="C306" s="51"/>
      <c r="D306" s="51"/>
      <c r="E306" s="51"/>
      <c r="F306" s="51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</row>
    <row r="307" spans="1:23" ht="15.75" hidden="1">
      <c r="A307" s="95" t="s">
        <v>53</v>
      </c>
      <c r="B307" s="52"/>
      <c r="C307" s="51"/>
      <c r="D307" s="51"/>
      <c r="E307" s="51"/>
      <c r="F307" s="51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</row>
    <row r="308" spans="1:23" ht="15.75" hidden="1">
      <c r="A308" s="95" t="s">
        <v>54</v>
      </c>
      <c r="B308" s="52"/>
      <c r="C308" s="51"/>
      <c r="D308" s="51"/>
      <c r="E308" s="51"/>
      <c r="F308" s="51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</row>
    <row r="309" spans="1:23" ht="15.75" hidden="1">
      <c r="A309" s="95" t="s">
        <v>55</v>
      </c>
      <c r="B309" s="51"/>
      <c r="C309" s="51"/>
      <c r="D309" s="51"/>
      <c r="E309" s="51"/>
      <c r="F309" s="51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</row>
    <row r="310" spans="1:23" ht="15.75" hidden="1">
      <c r="A310" s="95" t="s">
        <v>56</v>
      </c>
      <c r="B310" s="51"/>
      <c r="C310" s="51"/>
      <c r="D310" s="51"/>
      <c r="E310" s="51"/>
      <c r="F310" s="51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</row>
    <row r="311" spans="1:23" ht="15.75" hidden="1">
      <c r="A311" s="95" t="s">
        <v>57</v>
      </c>
      <c r="B311" s="51"/>
      <c r="C311" s="51"/>
      <c r="D311" s="51"/>
      <c r="E311" s="51"/>
      <c r="F311" s="51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</row>
    <row r="312" spans="1:23" ht="15.75" hidden="1">
      <c r="A312" s="95" t="s">
        <v>58</v>
      </c>
      <c r="B312" s="51"/>
      <c r="C312" s="51"/>
      <c r="D312" s="51"/>
      <c r="E312" s="51"/>
      <c r="F312" s="51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</row>
    <row r="313" spans="1:23" ht="15.75" hidden="1">
      <c r="A313" s="95" t="s">
        <v>59</v>
      </c>
      <c r="B313" s="51"/>
      <c r="C313" s="51"/>
      <c r="D313" s="51"/>
      <c r="E313" s="51"/>
      <c r="F313" s="51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</row>
    <row r="314" spans="1:23" ht="15.75" hidden="1">
      <c r="A314" s="95" t="s">
        <v>60</v>
      </c>
      <c r="B314" s="51"/>
      <c r="C314" s="51"/>
      <c r="D314" s="51"/>
      <c r="E314" s="51"/>
      <c r="F314" s="51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</row>
    <row r="315" spans="1:23" ht="15.75" hidden="1">
      <c r="A315" s="95" t="s">
        <v>61</v>
      </c>
      <c r="B315" s="51"/>
      <c r="C315" s="51"/>
      <c r="D315" s="51"/>
      <c r="E315" s="51"/>
      <c r="F315" s="51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</row>
    <row r="316" spans="1:23" ht="15.75" hidden="1">
      <c r="A316" s="95" t="s">
        <v>62</v>
      </c>
      <c r="B316" s="55"/>
      <c r="C316" s="51"/>
      <c r="D316" s="51"/>
      <c r="E316" s="51"/>
      <c r="F316" s="51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</row>
    <row r="317" spans="1:23" ht="15.75" hidden="1">
      <c r="A317" s="95" t="s">
        <v>63</v>
      </c>
      <c r="B317" s="55"/>
      <c r="C317" s="51"/>
      <c r="D317" s="51"/>
      <c r="E317" s="51"/>
      <c r="F317" s="51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</row>
    <row r="318" spans="1:23" ht="15.75" hidden="1">
      <c r="A318" s="95" t="s">
        <v>64</v>
      </c>
      <c r="B318" s="51"/>
      <c r="C318" s="51"/>
      <c r="D318" s="51"/>
      <c r="E318" s="51"/>
      <c r="F318" s="51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</row>
    <row r="319" spans="1:23" ht="15.75" hidden="1">
      <c r="A319" s="95" t="s">
        <v>117</v>
      </c>
      <c r="B319" s="51"/>
      <c r="C319" s="51"/>
      <c r="D319" s="51"/>
      <c r="E319" s="51"/>
      <c r="F319" s="51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</row>
    <row r="320" spans="1:23" ht="15.75" hidden="1">
      <c r="A320" s="95" t="s">
        <v>118</v>
      </c>
      <c r="B320" s="51"/>
      <c r="C320" s="51"/>
      <c r="D320" s="51"/>
      <c r="E320" s="51"/>
      <c r="F320" s="51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</row>
    <row r="321" spans="1:23" ht="15.75" hidden="1">
      <c r="A321" s="95" t="s">
        <v>65</v>
      </c>
      <c r="B321" s="56"/>
      <c r="C321" s="51"/>
      <c r="D321" s="51"/>
      <c r="E321" s="57"/>
      <c r="F321" s="57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</row>
    <row r="322" spans="1:23" ht="15.75" hidden="1">
      <c r="A322" s="95" t="s">
        <v>66</v>
      </c>
      <c r="B322" s="50"/>
      <c r="C322" s="50"/>
      <c r="D322" s="50"/>
      <c r="E322" s="57"/>
      <c r="F322" s="57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</row>
    <row r="323" spans="1:23" ht="15.75" hidden="1">
      <c r="A323" s="95" t="s">
        <v>119</v>
      </c>
      <c r="B323" s="50"/>
      <c r="C323" s="50"/>
      <c r="D323" s="50"/>
      <c r="E323" s="50"/>
      <c r="F323" s="50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</row>
    <row r="324" spans="1:23" ht="15.75" hidden="1">
      <c r="A324" s="95" t="s">
        <v>120</v>
      </c>
      <c r="B324" s="50"/>
      <c r="C324" s="50"/>
      <c r="D324" s="50"/>
      <c r="E324" s="50"/>
      <c r="F324" s="50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</row>
    <row r="325" spans="1:23" ht="15.75" hidden="1">
      <c r="A325" s="95" t="s">
        <v>67</v>
      </c>
      <c r="B325" s="50"/>
      <c r="C325" s="50" t="s">
        <v>24</v>
      </c>
      <c r="D325" s="50" t="s">
        <v>25</v>
      </c>
      <c r="E325" s="50"/>
      <c r="F325" s="50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</row>
    <row r="326" spans="1:23" ht="15.75" hidden="1">
      <c r="A326" s="95" t="s">
        <v>68</v>
      </c>
      <c r="B326" s="50"/>
      <c r="C326" s="50"/>
      <c r="D326" s="50">
        <v>525</v>
      </c>
      <c r="E326" s="50"/>
      <c r="F326" s="50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</row>
    <row r="327" spans="1:23" ht="15.75" hidden="1">
      <c r="A327" s="95" t="s">
        <v>69</v>
      </c>
      <c r="B327" s="50"/>
      <c r="C327" s="50"/>
      <c r="D327" s="50">
        <v>100</v>
      </c>
      <c r="E327" s="50"/>
      <c r="F327" s="50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</row>
    <row r="328" spans="1:23" ht="15.75" hidden="1">
      <c r="A328" s="95" t="s">
        <v>70</v>
      </c>
      <c r="B328" s="50"/>
      <c r="C328" s="50"/>
      <c r="D328" s="50">
        <v>675</v>
      </c>
      <c r="E328" s="50"/>
      <c r="F328" s="50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</row>
    <row r="329" spans="1:23" ht="15.75" hidden="1">
      <c r="A329" s="95" t="s">
        <v>71</v>
      </c>
      <c r="B329" s="50"/>
      <c r="C329" s="50"/>
      <c r="D329" s="50"/>
      <c r="E329" s="50"/>
      <c r="F329" s="50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</row>
    <row r="330" spans="1:23" ht="15" hidden="1">
      <c r="A330" s="50"/>
      <c r="B330" s="50"/>
      <c r="C330" s="50"/>
      <c r="D330" s="50"/>
      <c r="E330" s="50"/>
      <c r="F330" s="50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</row>
    <row r="331" spans="1:23" ht="15" hidden="1">
      <c r="A331" s="50"/>
      <c r="B331" s="50"/>
      <c r="C331" s="50"/>
      <c r="D331" s="50"/>
      <c r="E331" s="50"/>
      <c r="F331" s="50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</row>
    <row r="332" spans="1:23" ht="14.25" hidden="1">
      <c r="A332" s="58" t="s">
        <v>26</v>
      </c>
      <c r="B332" s="58"/>
      <c r="C332" s="58" t="s">
        <v>26</v>
      </c>
      <c r="D332" s="59" t="s">
        <v>27</v>
      </c>
      <c r="E332" s="60"/>
      <c r="F332" s="58" t="s">
        <v>7</v>
      </c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</row>
    <row r="333" spans="1:23" ht="15" hidden="1">
      <c r="A333" s="61">
        <v>0</v>
      </c>
      <c r="B333" s="62"/>
      <c r="C333" s="61">
        <v>7500</v>
      </c>
      <c r="D333" s="63">
        <v>4.5600000000000002E-2</v>
      </c>
      <c r="E333" s="64"/>
      <c r="F333" s="61">
        <f>IF(B10&lt;C333,B10*D333,C333*D333)</f>
        <v>0</v>
      </c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</row>
    <row r="334" spans="1:23" ht="15" hidden="1">
      <c r="A334" s="61">
        <v>7500</v>
      </c>
      <c r="B334" s="62"/>
      <c r="C334" s="61">
        <v>17500</v>
      </c>
      <c r="D334" s="63">
        <v>2.8500000000000001E-2</v>
      </c>
      <c r="E334" s="64"/>
      <c r="F334" s="62" t="str">
        <f>IF(B10&lt;=A334," ",IF(B10&lt;C334,(B10-C333)*D334,(C334-A334)*D334))</f>
        <v xml:space="preserve"> </v>
      </c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</row>
    <row r="335" spans="1:23" ht="15" hidden="1">
      <c r="A335" s="61">
        <v>17500</v>
      </c>
      <c r="B335" s="62"/>
      <c r="C335" s="61">
        <v>30000</v>
      </c>
      <c r="D335" s="63">
        <v>2.2800000000000001E-2</v>
      </c>
      <c r="E335" s="64"/>
      <c r="F335" s="62" t="str">
        <f>IF(B10&lt;=A335," ",IF(B10&lt;C335,(B10-C334)*D335,(C335-A335)*D335))</f>
        <v xml:space="preserve"> </v>
      </c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</row>
    <row r="336" spans="1:23" ht="15" hidden="1">
      <c r="A336" s="61">
        <v>30000</v>
      </c>
      <c r="B336" s="62"/>
      <c r="C336" s="61">
        <v>45495</v>
      </c>
      <c r="D336" s="63">
        <v>1.7100000000000001E-2</v>
      </c>
      <c r="E336" s="64"/>
      <c r="F336" s="62" t="str">
        <f>IF(B10&lt;=A336," ",IF(B10&lt;C336,(B10-C335)*D336,(C336-A336)*D336))</f>
        <v xml:space="preserve"> </v>
      </c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</row>
    <row r="337" spans="1:23" ht="15" hidden="1">
      <c r="A337" s="61">
        <v>45495</v>
      </c>
      <c r="B337" s="62"/>
      <c r="C337" s="61">
        <v>64095</v>
      </c>
      <c r="D337" s="63">
        <v>1.14E-2</v>
      </c>
      <c r="E337" s="64"/>
      <c r="F337" s="62" t="str">
        <f>IF(B10&lt;=A337," ",IF(B10&lt;C337,(B10-C336)*D337,(C337-A337)*D337))</f>
        <v xml:space="preserve"> </v>
      </c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</row>
    <row r="338" spans="1:23" ht="15" hidden="1">
      <c r="A338" s="61">
        <v>64095</v>
      </c>
      <c r="B338" s="62"/>
      <c r="C338" s="61">
        <v>250095</v>
      </c>
      <c r="D338" s="63">
        <v>5.7000000000000002E-3</v>
      </c>
      <c r="E338" s="64"/>
      <c r="F338" s="62" t="str">
        <f>IF(B10&lt;=A338," ",IF(B10&lt;C338,(B10-C337)*D338,(C338-A338)*D338))</f>
        <v xml:space="preserve"> </v>
      </c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</row>
    <row r="339" spans="1:23" ht="15" hidden="1">
      <c r="A339" s="61">
        <v>250095</v>
      </c>
      <c r="B339" s="62"/>
      <c r="C339" s="61">
        <v>999999999</v>
      </c>
      <c r="D339" s="63">
        <v>5.6999999999999998E-4</v>
      </c>
      <c r="E339" s="64"/>
      <c r="F339" s="62" t="str">
        <f>IF(B10&lt;=A339," ",IF(B10&lt;C339,(B10-C338)*D339,(C339-A339)*D339))</f>
        <v xml:space="preserve"> </v>
      </c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</row>
    <row r="340" spans="1:23" ht="15" hidden="1">
      <c r="A340" s="65"/>
      <c r="B340" s="66"/>
      <c r="C340" s="66"/>
      <c r="D340" s="67"/>
      <c r="E340" s="68"/>
      <c r="F340" s="68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</row>
    <row r="341" spans="1:23" ht="15" hidden="1">
      <c r="A341" s="58" t="s">
        <v>28</v>
      </c>
      <c r="B341" s="69"/>
      <c r="C341" s="66"/>
      <c r="D341" s="70"/>
      <c r="E341" s="68"/>
      <c r="F341" s="71">
        <f>SUM(F333:F340)</f>
        <v>0</v>
      </c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</row>
    <row r="342" spans="1:23" ht="15" hidden="1">
      <c r="A342" s="69" t="s">
        <v>76</v>
      </c>
      <c r="B342" s="69"/>
      <c r="C342" s="66"/>
      <c r="D342" s="66"/>
      <c r="E342" s="68"/>
      <c r="F342" s="72"/>
      <c r="G342" s="23"/>
      <c r="H342" s="23"/>
      <c r="I342" s="23"/>
      <c r="J342" s="23" t="s">
        <v>77</v>
      </c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</row>
    <row r="343" spans="1:23" ht="15" hidden="1">
      <c r="A343" s="69">
        <v>67.31</v>
      </c>
      <c r="B343" s="69"/>
      <c r="C343" s="66" t="s">
        <v>78</v>
      </c>
      <c r="D343" s="66"/>
      <c r="E343" s="68"/>
      <c r="F343" s="72">
        <v>25000</v>
      </c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</row>
    <row r="344" spans="1:23" ht="15" hidden="1">
      <c r="A344" s="69">
        <v>23.56</v>
      </c>
      <c r="B344" s="69"/>
      <c r="C344" s="66" t="s">
        <v>79</v>
      </c>
      <c r="D344" s="66"/>
      <c r="E344" s="68"/>
      <c r="F344" s="72">
        <v>25000</v>
      </c>
      <c r="G344" s="23"/>
      <c r="H344" s="23" t="s">
        <v>80</v>
      </c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</row>
    <row r="345" spans="1:23" ht="15" hidden="1">
      <c r="A345" s="69"/>
      <c r="B345" s="69"/>
      <c r="C345" s="66"/>
      <c r="D345" s="66"/>
      <c r="E345" s="68"/>
      <c r="F345" s="72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</row>
    <row r="346" spans="1:23" ht="15" hidden="1">
      <c r="A346" s="69"/>
      <c r="B346" s="69"/>
      <c r="C346" s="66"/>
      <c r="D346" s="66"/>
      <c r="E346" s="68"/>
      <c r="F346" s="72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</row>
    <row r="347" spans="1:23" ht="15" hidden="1">
      <c r="A347" s="69"/>
      <c r="B347" s="69"/>
      <c r="C347" s="66"/>
      <c r="D347" s="66"/>
      <c r="E347" s="68"/>
      <c r="F347" s="72"/>
      <c r="G347" s="23"/>
      <c r="H347" s="23"/>
      <c r="I347" s="23"/>
      <c r="J347" s="23"/>
      <c r="K347" s="23">
        <v>720</v>
      </c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</row>
    <row r="348" spans="1:23" ht="15" hidden="1">
      <c r="A348" s="69" t="s">
        <v>81</v>
      </c>
      <c r="B348" s="69"/>
      <c r="C348" s="66"/>
      <c r="D348" s="66"/>
      <c r="E348" s="68"/>
      <c r="F348" s="72" t="s">
        <v>26</v>
      </c>
      <c r="G348" s="23"/>
      <c r="H348" s="23" t="s">
        <v>82</v>
      </c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</row>
    <row r="349" spans="1:23" ht="15" hidden="1">
      <c r="A349" s="69"/>
      <c r="B349" s="69"/>
      <c r="C349" s="66"/>
      <c r="D349" s="66"/>
      <c r="E349" s="68"/>
      <c r="F349" s="72">
        <v>0</v>
      </c>
      <c r="G349" s="23"/>
      <c r="H349" s="23">
        <v>575</v>
      </c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</row>
    <row r="350" spans="1:23" ht="15" hidden="1">
      <c r="A350" s="69"/>
      <c r="B350" s="69"/>
      <c r="C350" s="66"/>
      <c r="D350" s="66"/>
      <c r="E350" s="68"/>
      <c r="F350" s="72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</row>
    <row r="351" spans="1:23" ht="15" hidden="1">
      <c r="A351" s="69"/>
      <c r="B351" s="69"/>
      <c r="C351" s="66"/>
      <c r="D351" s="66"/>
      <c r="E351" s="68"/>
      <c r="F351" s="72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</row>
    <row r="352" spans="1:23" ht="15" hidden="1">
      <c r="A352" s="69"/>
      <c r="B352" s="69"/>
      <c r="C352" s="66"/>
      <c r="D352" s="66"/>
      <c r="E352" s="68"/>
      <c r="F352" s="72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</row>
    <row r="353" spans="1:23" ht="15" hidden="1">
      <c r="A353" s="69">
        <v>920</v>
      </c>
      <c r="B353" s="69"/>
      <c r="C353" s="66"/>
      <c r="D353" s="66"/>
      <c r="E353" s="68"/>
      <c r="F353" s="72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</row>
    <row r="354" spans="1:23" ht="15" hidden="1">
      <c r="A354" s="69"/>
      <c r="B354" s="69"/>
      <c r="C354" s="66"/>
      <c r="D354" s="66"/>
      <c r="E354" s="68"/>
      <c r="F354" s="72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</row>
    <row r="355" spans="1:23" ht="15" hidden="1">
      <c r="A355" s="69"/>
      <c r="B355" s="69"/>
      <c r="C355" s="66"/>
      <c r="D355" s="66"/>
      <c r="E355" s="68"/>
      <c r="F355" s="72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</row>
    <row r="356" spans="1:23" ht="15" hidden="1">
      <c r="A356" s="69"/>
      <c r="B356" s="69"/>
      <c r="C356" s="66"/>
      <c r="D356" s="66"/>
      <c r="E356" s="68"/>
      <c r="F356" s="72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</row>
    <row r="357" spans="1:23" ht="15" hidden="1">
      <c r="A357" s="69"/>
      <c r="B357" s="69"/>
      <c r="C357" s="66"/>
      <c r="D357" s="66"/>
      <c r="E357" s="68"/>
      <c r="F357" s="72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</row>
    <row r="358" spans="1:23" ht="15" hidden="1">
      <c r="A358" s="69"/>
      <c r="B358" s="69"/>
      <c r="C358" s="66"/>
      <c r="D358" s="66"/>
      <c r="E358" s="68"/>
      <c r="F358" s="72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</row>
    <row r="359" spans="1:23" ht="15" hidden="1">
      <c r="A359" s="69"/>
      <c r="B359" s="69"/>
      <c r="C359" s="66"/>
      <c r="D359" s="66"/>
      <c r="E359" s="68"/>
      <c r="F359" s="72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</row>
    <row r="360" spans="1:23" ht="15" hidden="1">
      <c r="A360" s="69"/>
      <c r="B360" s="69"/>
      <c r="C360" s="66"/>
      <c r="D360" s="66"/>
      <c r="E360" s="68"/>
      <c r="F360" s="72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</row>
    <row r="361" spans="1:23" ht="15" hidden="1">
      <c r="A361" s="69"/>
      <c r="B361" s="69"/>
      <c r="C361" s="66"/>
      <c r="D361" s="66"/>
      <c r="E361" s="68"/>
      <c r="F361" s="72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</row>
    <row r="362" spans="1:23" ht="15" hidden="1">
      <c r="A362" s="69"/>
      <c r="B362" s="69"/>
      <c r="C362" s="66"/>
      <c r="D362" s="66"/>
      <c r="E362" s="68"/>
      <c r="F362" s="72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</row>
    <row r="363" spans="1:23" ht="15" hidden="1">
      <c r="A363" s="69"/>
      <c r="B363" s="69"/>
      <c r="C363" s="66"/>
      <c r="D363" s="66"/>
      <c r="E363" s="68"/>
      <c r="F363" s="72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</row>
    <row r="364" spans="1:23" ht="15" hidden="1">
      <c r="A364" s="69"/>
      <c r="B364" s="69"/>
      <c r="C364" s="66"/>
      <c r="D364" s="66"/>
      <c r="E364" s="68"/>
      <c r="F364" s="72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</row>
    <row r="365" spans="1:23" ht="15" hidden="1">
      <c r="A365" s="69"/>
      <c r="B365" s="69"/>
      <c r="C365" s="66"/>
      <c r="D365" s="66"/>
      <c r="E365" s="68"/>
      <c r="F365" s="72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</row>
    <row r="366" spans="1:23" ht="15" hidden="1">
      <c r="A366" s="69"/>
      <c r="B366" s="69"/>
      <c r="C366" s="66"/>
      <c r="D366" s="66"/>
      <c r="E366" s="68"/>
      <c r="F366" s="72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</row>
    <row r="367" spans="1:23" ht="15" hidden="1">
      <c r="A367" s="69"/>
      <c r="B367" s="69"/>
      <c r="C367" s="66"/>
      <c r="D367" s="66"/>
      <c r="E367" s="68"/>
      <c r="F367" s="72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</row>
    <row r="368" spans="1:23" ht="15" hidden="1">
      <c r="A368" s="69"/>
      <c r="B368" s="69"/>
      <c r="C368" s="66"/>
      <c r="D368" s="66"/>
      <c r="E368" s="68"/>
      <c r="F368" s="72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</row>
    <row r="369" spans="1:23" ht="15" hidden="1">
      <c r="A369" s="69"/>
      <c r="B369" s="69"/>
      <c r="C369" s="66"/>
      <c r="D369" s="66"/>
      <c r="E369" s="68"/>
      <c r="F369" s="72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</row>
    <row r="370" spans="1:23" ht="15" hidden="1">
      <c r="A370" s="69"/>
      <c r="B370" s="69"/>
      <c r="C370" s="66"/>
      <c r="D370" s="66"/>
      <c r="E370" s="68"/>
      <c r="F370" s="72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</row>
    <row r="371" spans="1:23" ht="15" hidden="1">
      <c r="A371" s="69"/>
      <c r="B371" s="69"/>
      <c r="C371" s="66"/>
      <c r="D371" s="66"/>
      <c r="E371" s="68"/>
      <c r="F371" s="72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</row>
    <row r="372" spans="1:23" ht="15" hidden="1">
      <c r="A372" s="69"/>
      <c r="B372" s="69"/>
      <c r="C372" s="66"/>
      <c r="D372" s="66">
        <f>G61*21/100</f>
        <v>0</v>
      </c>
      <c r="E372" s="68"/>
      <c r="F372" s="72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</row>
    <row r="373" spans="1:23" ht="15" hidden="1">
      <c r="A373" s="69"/>
      <c r="B373" s="69"/>
      <c r="C373" s="66"/>
      <c r="D373" s="66" t="e">
        <f>#REF!*21%</f>
        <v>#REF!</v>
      </c>
      <c r="E373" s="68"/>
      <c r="F373" s="72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</row>
    <row r="374" spans="1:23" ht="15" hidden="1">
      <c r="A374" s="69"/>
      <c r="B374" s="69"/>
      <c r="C374" s="66"/>
      <c r="D374" s="66" t="e">
        <f>#REF!*21%</f>
        <v>#REF!</v>
      </c>
      <c r="E374" s="68"/>
      <c r="F374" s="72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</row>
    <row r="375" spans="1:23" ht="15" hidden="1">
      <c r="A375" s="69"/>
      <c r="B375" s="69"/>
      <c r="C375" s="66"/>
      <c r="D375" s="66" t="e">
        <f>#REF!*21%</f>
        <v>#REF!</v>
      </c>
      <c r="E375" s="68"/>
      <c r="F375" s="72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</row>
    <row r="376" spans="1:23" ht="15" hidden="1">
      <c r="A376" s="69"/>
      <c r="B376" s="69"/>
      <c r="C376" s="66"/>
      <c r="D376" s="66"/>
      <c r="E376" s="68"/>
      <c r="F376" s="72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</row>
    <row r="377" spans="1:23" ht="15" hidden="1">
      <c r="A377" s="69"/>
      <c r="B377" s="69" t="s">
        <v>29</v>
      </c>
      <c r="C377" s="66"/>
      <c r="D377" s="66"/>
      <c r="E377" s="68"/>
      <c r="F377" s="72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</row>
    <row r="378" spans="1:23" ht="15" hidden="1">
      <c r="A378" s="69"/>
      <c r="B378" s="69" t="s">
        <v>30</v>
      </c>
      <c r="C378" s="66"/>
      <c r="D378" s="66"/>
      <c r="E378" s="68"/>
      <c r="F378" s="72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</row>
    <row r="379" spans="1:23" ht="15" hidden="1">
      <c r="A379" s="69"/>
      <c r="B379" s="69"/>
      <c r="C379" s="66"/>
      <c r="D379" s="66"/>
      <c r="E379" s="68"/>
      <c r="F379" s="72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</row>
    <row r="380" spans="1:23" ht="15" hidden="1">
      <c r="A380" s="69"/>
      <c r="B380" s="69"/>
      <c r="C380" s="66"/>
      <c r="D380" s="66"/>
      <c r="E380" s="68"/>
      <c r="F380" s="72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</row>
    <row r="381" spans="1:23" ht="15" hidden="1">
      <c r="A381" s="69"/>
      <c r="B381" s="69"/>
      <c r="C381" s="66"/>
      <c r="D381" s="66"/>
      <c r="E381" s="68"/>
      <c r="F381" s="72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</row>
    <row r="382" spans="1:23" ht="15" hidden="1">
      <c r="A382" s="69"/>
      <c r="B382" s="69"/>
      <c r="C382" s="66"/>
      <c r="D382" s="66"/>
      <c r="E382" s="68"/>
      <c r="F382" s="72"/>
      <c r="G382" s="23"/>
      <c r="H382" s="23">
        <f>ROUNDUP(C65+C66,-2)</f>
        <v>0</v>
      </c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</row>
    <row r="383" spans="1:23" ht="15" hidden="1">
      <c r="A383" s="69"/>
      <c r="B383" s="69"/>
      <c r="C383" s="66"/>
      <c r="D383" s="66"/>
      <c r="E383" s="68"/>
      <c r="F383" s="72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</row>
    <row r="384" spans="1:23" ht="15" hidden="1">
      <c r="A384" s="69"/>
      <c r="B384" s="69"/>
      <c r="C384" s="66"/>
      <c r="D384" s="66"/>
      <c r="E384" s="68"/>
      <c r="F384" s="72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</row>
    <row r="385" spans="1:23" ht="15" hidden="1">
      <c r="A385" s="69"/>
      <c r="B385" s="69"/>
      <c r="C385" s="66"/>
      <c r="D385" s="66"/>
      <c r="E385" s="68"/>
      <c r="F385" s="72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</row>
    <row r="386" spans="1:23" ht="15" hidden="1">
      <c r="A386" s="69" t="s">
        <v>83</v>
      </c>
      <c r="B386" s="69"/>
      <c r="C386" s="66"/>
      <c r="D386" s="66"/>
      <c r="E386" s="68"/>
      <c r="F386" s="72">
        <v>0</v>
      </c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</row>
    <row r="387" spans="1:23" ht="15" hidden="1">
      <c r="A387" s="69">
        <v>0</v>
      </c>
      <c r="B387" s="69"/>
      <c r="C387" s="66"/>
      <c r="D387" s="66"/>
      <c r="E387" s="68"/>
      <c r="F387" s="72">
        <v>7500</v>
      </c>
      <c r="G387" s="23"/>
      <c r="H387" s="23">
        <v>1.7100000000000001E-2</v>
      </c>
      <c r="I387" s="23"/>
      <c r="J387" s="23">
        <f>IF(C57&lt;F387,C57*H387,F387*H387)</f>
        <v>0</v>
      </c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</row>
    <row r="388" spans="1:23" ht="15" hidden="1">
      <c r="A388" s="69">
        <v>7500</v>
      </c>
      <c r="B388" s="69"/>
      <c r="C388" s="66"/>
      <c r="D388" s="66"/>
      <c r="E388" s="68"/>
      <c r="F388" s="72">
        <v>17500</v>
      </c>
      <c r="G388" s="23"/>
      <c r="H388" s="23">
        <v>1.3679999999999999E-2</v>
      </c>
      <c r="I388" s="23"/>
      <c r="J388" s="23" t="str">
        <f>IF(C57&lt;=A388," ",IF(C57&lt;F388,(C57-F387)*H388,(F388-A388)*H388))</f>
        <v xml:space="preserve"> </v>
      </c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</row>
    <row r="389" spans="1:23" ht="15" hidden="1">
      <c r="A389" s="69">
        <v>17500</v>
      </c>
      <c r="B389" s="69"/>
      <c r="C389" s="66"/>
      <c r="D389" s="66"/>
      <c r="E389" s="68"/>
      <c r="F389" s="72">
        <v>30000</v>
      </c>
      <c r="G389" s="23"/>
      <c r="H389" s="23">
        <v>9.1199999999999996E-3</v>
      </c>
      <c r="I389" s="23"/>
      <c r="J389" s="23" t="str">
        <f>IF(C57&lt;=A389," ",IF(C57&lt;F389,(C57-F388)*H389,(F389-A389)*H389))</f>
        <v xml:space="preserve"> </v>
      </c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</row>
    <row r="390" spans="1:23" ht="15" hidden="1">
      <c r="A390" s="69">
        <v>30000</v>
      </c>
      <c r="B390" s="69"/>
      <c r="C390" s="66"/>
      <c r="D390" s="66"/>
      <c r="E390" s="68"/>
      <c r="F390" s="72">
        <v>45495</v>
      </c>
      <c r="G390" s="23"/>
      <c r="H390" s="23">
        <v>6.8399999999999997E-3</v>
      </c>
      <c r="I390" s="23"/>
      <c r="J390" s="23" t="str">
        <f>IF(C57&lt;=A390," ",IF(C57&lt;F390,(C57-F389)*H390,(F390-A390)*H390))</f>
        <v xml:space="preserve"> </v>
      </c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</row>
    <row r="391" spans="1:23" ht="15" hidden="1">
      <c r="A391" s="69">
        <v>45495</v>
      </c>
      <c r="B391" s="69"/>
      <c r="C391" s="66"/>
      <c r="D391" s="66"/>
      <c r="E391" s="68"/>
      <c r="F391" s="72">
        <v>64095</v>
      </c>
      <c r="G391" s="23"/>
      <c r="H391" s="23">
        <v>4.5599999999999998E-3</v>
      </c>
      <c r="I391" s="23"/>
      <c r="J391" s="23" t="str">
        <f>IF(C57&lt;=A391," ",IF(C57&lt;F391,(C57-F390)*H391,(F391-A391)*H391))</f>
        <v xml:space="preserve"> </v>
      </c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</row>
    <row r="392" spans="1:23" ht="15" hidden="1">
      <c r="A392" s="69">
        <v>64095</v>
      </c>
      <c r="B392" s="69"/>
      <c r="C392" s="66"/>
      <c r="D392" s="66"/>
      <c r="E392" s="68"/>
      <c r="F392" s="72">
        <v>250095</v>
      </c>
      <c r="G392" s="23"/>
      <c r="H392" s="23">
        <v>2.2799999999999999E-3</v>
      </c>
      <c r="I392" s="23"/>
      <c r="J392" s="23" t="str">
        <f>IF(C57&lt;=A392," ",IF(C57&lt;F392,(C57-F391)*H392,(F392-A392)*H392))</f>
        <v xml:space="preserve"> </v>
      </c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</row>
    <row r="393" spans="1:23" ht="15" hidden="1">
      <c r="A393" s="69">
        <v>250095</v>
      </c>
      <c r="B393" s="69"/>
      <c r="C393" s="66"/>
      <c r="D393" s="66"/>
      <c r="E393" s="68"/>
      <c r="F393" s="72">
        <v>999999999</v>
      </c>
      <c r="G393" s="23"/>
      <c r="H393" s="23">
        <v>4.5600000000000003E-4</v>
      </c>
      <c r="I393" s="23"/>
      <c r="J393" s="23" t="str">
        <f>IF(C57&lt;=A393," ",IF(C57&lt;F393,(C57-F392)*H393,(F393-A393)*H393))</f>
        <v xml:space="preserve"> </v>
      </c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</row>
    <row r="394" spans="1:23" ht="15" hidden="1">
      <c r="A394" s="69">
        <v>10075000</v>
      </c>
      <c r="B394" s="69"/>
      <c r="C394" s="66"/>
      <c r="D394" s="66"/>
      <c r="E394" s="68"/>
      <c r="F394" s="72">
        <v>0</v>
      </c>
      <c r="G394" s="23"/>
      <c r="H394" s="23">
        <v>4.5600000000000003E-4</v>
      </c>
      <c r="I394" s="23" t="str">
        <f>IF($F$295&lt;=A394," E90",IF($F$295&lt;F394,($F$295-F393)*H394,(F394-A394)*H394))</f>
        <v xml:space="preserve"> E90</v>
      </c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</row>
    <row r="395" spans="1:23" ht="15" hidden="1">
      <c r="A395" s="69"/>
      <c r="B395" s="69"/>
      <c r="C395" s="66"/>
      <c r="D395" s="66"/>
      <c r="E395" s="68"/>
      <c r="F395" s="72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</row>
    <row r="396" spans="1:23" ht="15" hidden="1">
      <c r="A396" s="50" t="s">
        <v>28</v>
      </c>
      <c r="B396" s="50"/>
      <c r="C396" s="50"/>
      <c r="D396" s="50"/>
      <c r="E396" s="50"/>
      <c r="F396" s="50"/>
      <c r="G396" s="23"/>
      <c r="H396" s="23"/>
      <c r="I396" s="23">
        <f>SUM(J387:J394)</f>
        <v>0</v>
      </c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</row>
    <row r="397" spans="1:23" hidden="1"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</row>
    <row r="398" spans="1:23" hidden="1"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</row>
    <row r="399" spans="1:23" hidden="1"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</row>
    <row r="400" spans="1:23" hidden="1"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</row>
    <row r="401" spans="1:23" hidden="1"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</row>
    <row r="402" spans="1:23" hidden="1"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</row>
    <row r="403" spans="1:23" hidden="1"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</row>
    <row r="404" spans="1:23" hidden="1"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</row>
    <row r="405" spans="1:23" hidden="1">
      <c r="A405" s="27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</row>
    <row r="406" spans="1:23" hidden="1">
      <c r="B406" s="23"/>
      <c r="C406" s="23"/>
      <c r="D406" s="23"/>
      <c r="E406" s="23"/>
      <c r="F406" s="23"/>
      <c r="G406" s="23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3"/>
      <c r="V406" s="23"/>
      <c r="W406" s="23"/>
    </row>
    <row r="407" spans="1:23" hidden="1">
      <c r="A407" s="29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3"/>
      <c r="V407" s="23"/>
      <c r="W407" s="23"/>
    </row>
    <row r="408" spans="1:23" hidden="1">
      <c r="A408" s="29"/>
      <c r="B408" s="12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3"/>
      <c r="V408" s="23"/>
      <c r="W408" s="23"/>
    </row>
    <row r="409" spans="1:23" hidden="1">
      <c r="A409" s="29"/>
      <c r="B409" s="12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3"/>
      <c r="V409" s="23"/>
      <c r="W409" s="23"/>
    </row>
    <row r="410" spans="1:23" hidden="1">
      <c r="A410" s="29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3"/>
      <c r="V410" s="23"/>
      <c r="W410" s="23"/>
    </row>
    <row r="411" spans="1:23" hidden="1">
      <c r="A411" s="29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3"/>
      <c r="V411" s="23"/>
      <c r="W411" s="23"/>
    </row>
    <row r="412" spans="1:23" ht="13.5" hidden="1" thickBot="1">
      <c r="A412" s="29"/>
      <c r="B412" s="28"/>
      <c r="C412" s="28"/>
      <c r="D412" s="28"/>
      <c r="E412" s="28"/>
      <c r="F412" s="28"/>
      <c r="G412" s="28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</row>
    <row r="413" spans="1:23" ht="13.5" hidden="1" thickBot="1">
      <c r="A413" s="6"/>
      <c r="B413" s="30"/>
      <c r="C413" s="24"/>
      <c r="D413" s="24"/>
      <c r="E413" s="24"/>
      <c r="F413" s="24"/>
      <c r="G413" s="24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</row>
    <row r="414" spans="1:23" ht="13.5" hidden="1" thickBot="1">
      <c r="A414" s="6"/>
      <c r="B414" s="6"/>
      <c r="C414" s="6"/>
      <c r="D414" s="6"/>
      <c r="E414" s="31"/>
      <c r="F414" s="31"/>
      <c r="G414" s="31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</row>
    <row r="415" spans="1:23" hidden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</row>
    <row r="416" spans="1:23" hidden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</row>
    <row r="417" spans="1:23" hidden="1">
      <c r="A417" s="6" t="s">
        <v>2</v>
      </c>
      <c r="B417" s="6"/>
      <c r="C417" s="6" t="s">
        <v>24</v>
      </c>
      <c r="D417" s="6" t="s">
        <v>25</v>
      </c>
      <c r="E417" s="6"/>
      <c r="F417" s="19" t="s">
        <v>29</v>
      </c>
      <c r="G417" s="19" t="s">
        <v>29</v>
      </c>
      <c r="H417" s="19" t="s">
        <v>29</v>
      </c>
      <c r="I417" s="19" t="s">
        <v>29</v>
      </c>
      <c r="J417" s="6" t="s">
        <v>29</v>
      </c>
      <c r="K417" s="6" t="s">
        <v>29</v>
      </c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</row>
    <row r="418" spans="1:23" hidden="1">
      <c r="A418" s="6"/>
      <c r="B418" s="6"/>
      <c r="C418" s="6"/>
      <c r="D418" s="6">
        <v>525</v>
      </c>
      <c r="E418" s="6"/>
      <c r="F418" s="19" t="s">
        <v>30</v>
      </c>
      <c r="G418" s="19" t="s">
        <v>30</v>
      </c>
      <c r="H418" s="19" t="s">
        <v>30</v>
      </c>
      <c r="I418" s="19" t="s">
        <v>30</v>
      </c>
      <c r="J418" s="6" t="s">
        <v>30</v>
      </c>
      <c r="K418" s="6" t="s">
        <v>30</v>
      </c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</row>
    <row r="419" spans="1:23" hidden="1">
      <c r="A419" s="6"/>
      <c r="B419" s="6"/>
      <c r="C419" s="6"/>
      <c r="D419" s="6">
        <v>100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</row>
    <row r="420" spans="1:23" hidden="1">
      <c r="A420" s="6"/>
      <c r="B420" s="6"/>
      <c r="C420" s="6"/>
      <c r="D420" s="6">
        <v>675</v>
      </c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</row>
    <row r="421" spans="1:23" hidden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</row>
    <row r="422" spans="1:23" hidden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</row>
    <row r="423" spans="1:23" hidden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</row>
    <row r="424" spans="1:23" ht="14.25" hidden="1">
      <c r="A424" s="32" t="s">
        <v>26</v>
      </c>
      <c r="B424" s="32"/>
      <c r="C424" s="32" t="s">
        <v>26</v>
      </c>
      <c r="D424" s="33" t="s">
        <v>27</v>
      </c>
      <c r="E424" s="34"/>
      <c r="F424" s="32" t="s">
        <v>7</v>
      </c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</row>
    <row r="425" spans="1:23" ht="15" hidden="1">
      <c r="A425" s="35">
        <v>0</v>
      </c>
      <c r="B425" s="36"/>
      <c r="C425" s="35">
        <v>7500</v>
      </c>
      <c r="D425" s="37">
        <v>4.5600000000000002E-2</v>
      </c>
      <c r="E425" s="38"/>
      <c r="F425" s="35">
        <f>IF($B$10&lt;C425,$B$10*D425,C425*D425)</f>
        <v>0</v>
      </c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</row>
    <row r="426" spans="1:23" ht="15" hidden="1">
      <c r="A426" s="35">
        <v>7500</v>
      </c>
      <c r="B426" s="36"/>
      <c r="C426" s="35">
        <v>17500</v>
      </c>
      <c r="D426" s="37">
        <v>2.8500000000000001E-2</v>
      </c>
      <c r="E426" s="38"/>
      <c r="F426" s="36" t="str">
        <f t="shared" ref="F426:F431" si="0">IF($B$10&lt;=A426," ",IF($B$10&lt;C426,($B$10-C425)*D426,(C426-A426)*D426))</f>
        <v xml:space="preserve"> </v>
      </c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</row>
    <row r="427" spans="1:23" ht="15" hidden="1">
      <c r="A427" s="35">
        <v>17500</v>
      </c>
      <c r="B427" s="36"/>
      <c r="C427" s="35">
        <v>30000</v>
      </c>
      <c r="D427" s="37">
        <v>2.2800000000000001E-2</v>
      </c>
      <c r="E427" s="38"/>
      <c r="F427" s="36" t="str">
        <f t="shared" si="0"/>
        <v xml:space="preserve"> </v>
      </c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</row>
    <row r="428" spans="1:23" ht="15" hidden="1">
      <c r="A428" s="35">
        <v>30000</v>
      </c>
      <c r="B428" s="36"/>
      <c r="C428" s="35">
        <v>45495</v>
      </c>
      <c r="D428" s="37">
        <v>1.7100000000000001E-2</v>
      </c>
      <c r="E428" s="38"/>
      <c r="F428" s="36" t="str">
        <f t="shared" si="0"/>
        <v xml:space="preserve"> </v>
      </c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</row>
    <row r="429" spans="1:23" ht="15" hidden="1">
      <c r="A429" s="35">
        <v>45495</v>
      </c>
      <c r="B429" s="36"/>
      <c r="C429" s="35">
        <v>64095</v>
      </c>
      <c r="D429" s="37">
        <v>1.14E-2</v>
      </c>
      <c r="E429" s="38"/>
      <c r="F429" s="36" t="str">
        <f t="shared" si="0"/>
        <v xml:space="preserve"> </v>
      </c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</row>
    <row r="430" spans="1:23" ht="15" hidden="1">
      <c r="A430" s="35">
        <v>64095</v>
      </c>
      <c r="B430" s="36"/>
      <c r="C430" s="35">
        <v>250095</v>
      </c>
      <c r="D430" s="37">
        <v>5.7000000000000002E-3</v>
      </c>
      <c r="E430" s="38"/>
      <c r="F430" s="36" t="str">
        <f t="shared" si="0"/>
        <v xml:space="preserve"> </v>
      </c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</row>
    <row r="431" spans="1:23" ht="15" hidden="1">
      <c r="A431" s="35">
        <v>250095</v>
      </c>
      <c r="B431" s="36"/>
      <c r="C431" s="35">
        <f>$B$10</f>
        <v>0</v>
      </c>
      <c r="D431" s="37">
        <v>5.6999999999999998E-4</v>
      </c>
      <c r="E431" s="38"/>
      <c r="F431" s="36" t="str">
        <f t="shared" si="0"/>
        <v xml:space="preserve"> </v>
      </c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</row>
    <row r="432" spans="1:23" ht="15" hidden="1">
      <c r="A432" s="39"/>
      <c r="B432" s="40"/>
      <c r="C432" s="40"/>
      <c r="D432" s="41"/>
      <c r="E432" s="42"/>
      <c r="F432" s="42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</row>
    <row r="433" spans="1:23" ht="15" hidden="1">
      <c r="A433" s="32" t="s">
        <v>28</v>
      </c>
      <c r="B433" s="43"/>
      <c r="C433" s="40"/>
      <c r="D433" s="44"/>
      <c r="E433" s="42"/>
      <c r="F433" s="45">
        <f>SUM(F425:F432)</f>
        <v>0</v>
      </c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</row>
    <row r="434" spans="1:23" hidden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</row>
    <row r="435" spans="1:23" hidden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</row>
    <row r="436" spans="1:23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</row>
    <row r="437" spans="1:23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</row>
    <row r="438" spans="1:23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</row>
    <row r="439" spans="1:23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</row>
    <row r="440" spans="1:23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</row>
    <row r="441" spans="1:23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</row>
    <row r="442" spans="1:23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</row>
    <row r="443" spans="1:2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</row>
    <row r="444" spans="1:23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</row>
    <row r="445" spans="1:23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</row>
    <row r="446" spans="1:23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</row>
    <row r="447" spans="1:23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</row>
    <row r="448" spans="1:23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</row>
    <row r="449" spans="1:23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</row>
    <row r="450" spans="1:23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</row>
    <row r="451" spans="1:23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</row>
    <row r="452" spans="1:23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</row>
    <row r="453" spans="1:2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</row>
    <row r="454" spans="1:23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</row>
    <row r="455" spans="1:23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</row>
    <row r="456" spans="1:23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</row>
    <row r="457" spans="1:23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</row>
    <row r="458" spans="1:23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</row>
    <row r="459" spans="1:23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</row>
    <row r="460" spans="1:23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</row>
    <row r="461" spans="1:23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</row>
    <row r="462" spans="1:23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</row>
    <row r="463" spans="1:2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</row>
    <row r="464" spans="1:23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</row>
    <row r="465" spans="1:23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</row>
    <row r="466" spans="1:23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</row>
    <row r="467" spans="1:23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</row>
    <row r="468" spans="1:23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</row>
    <row r="469" spans="1:23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</row>
    <row r="470" spans="1:23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</row>
    <row r="471" spans="1:23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</row>
    <row r="472" spans="1:23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</row>
    <row r="473" spans="1:2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</row>
    <row r="474" spans="1:23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</row>
    <row r="475" spans="1:23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</row>
    <row r="476" spans="1:23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</row>
    <row r="477" spans="1:23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</row>
    <row r="478" spans="1:23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</row>
    <row r="479" spans="1:23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</row>
    <row r="480" spans="1:23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</row>
    <row r="481" spans="1:23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</row>
    <row r="482" spans="1:23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</row>
    <row r="483" spans="1:2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</row>
    <row r="484" spans="1:23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</row>
    <row r="485" spans="1:23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</row>
    <row r="486" spans="1:23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</row>
    <row r="487" spans="1:23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</row>
    <row r="488" spans="1:23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</row>
    <row r="489" spans="1:23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</row>
    <row r="490" spans="1:23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</row>
    <row r="491" spans="1:23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</row>
    <row r="492" spans="1:23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</row>
    <row r="493" spans="1:2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</row>
    <row r="494" spans="1:23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</row>
    <row r="495" spans="1:23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</row>
    <row r="496" spans="1:23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</row>
    <row r="497" spans="1:23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</row>
    <row r="498" spans="1:23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</row>
    <row r="499" spans="1:23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</row>
    <row r="500" spans="1:23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</row>
    <row r="501" spans="1:23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</row>
    <row r="502" spans="1:23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</row>
    <row r="503" spans="1:2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</row>
    <row r="504" spans="1:23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</row>
    <row r="505" spans="1:23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</row>
    <row r="506" spans="1:23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</row>
    <row r="507" spans="1:23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</row>
    <row r="508" spans="1:23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</row>
    <row r="509" spans="1:23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</row>
    <row r="510" spans="1:23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</row>
    <row r="511" spans="1:23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</row>
    <row r="512" spans="1:23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</row>
    <row r="513" spans="1:2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</row>
    <row r="514" spans="1:23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</row>
    <row r="515" spans="1:23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</row>
    <row r="516" spans="1:23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</row>
    <row r="517" spans="1:23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</row>
    <row r="518" spans="1:23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</row>
    <row r="519" spans="1:23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</row>
    <row r="520" spans="1:23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</row>
    <row r="521" spans="1:23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</row>
    <row r="522" spans="1:23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</row>
    <row r="523" spans="1: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</row>
    <row r="524" spans="1:23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</row>
    <row r="525" spans="1:23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</row>
    <row r="526" spans="1:23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</row>
    <row r="527" spans="1:23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</row>
    <row r="528" spans="1:23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</row>
    <row r="529" spans="1:7">
      <c r="A529" s="6"/>
      <c r="B529" s="6"/>
      <c r="C529" s="6"/>
      <c r="D529" s="6"/>
      <c r="E529" s="6"/>
      <c r="F529" s="6"/>
      <c r="G529" s="6"/>
    </row>
  </sheetData>
  <sheetProtection algorithmName="SHA-512" hashValue="NibxC5xc1aoYvtbLYC5iZoB5eNwbjXJT+/WY5mXxD9PFUsdezcwty90qOwMYnoiPc9gGH7BoLT5+GnrudcDV+g==" saltValue="ImDEB+Umqxc3FpwoRpiXYQ==" spinCount="100000" sheet="1" objects="1" scenarios="1"/>
  <phoneticPr fontId="0" type="noConversion"/>
  <dataValidations count="7">
    <dataValidation type="list" allowBlank="1" showInputMessage="1" showErrorMessage="1" sqref="B7">
      <formula1>$K$417:$K$418</formula1>
    </dataValidation>
    <dataValidation type="list" allowBlank="1" showInputMessage="1" showErrorMessage="1" sqref="B12">
      <formula1>C291:C292</formula1>
    </dataValidation>
    <dataValidation type="list" allowBlank="1" showInputMessage="1" showErrorMessage="1" sqref="B13">
      <formula1>A291:A329</formula1>
    </dataValidation>
    <dataValidation type="list" allowBlank="1" showInputMessage="1" showErrorMessage="1" sqref="B15">
      <formula1>E291:E292</formula1>
    </dataValidation>
    <dataValidation type="list" allowBlank="1" showInputMessage="1" showErrorMessage="1" sqref="B14">
      <formula1>D291:D292</formula1>
    </dataValidation>
    <dataValidation type="list" allowBlank="1" showInputMessage="1" showErrorMessage="1" sqref="C37:C40">
      <formula1>$E$111:$E$112</formula1>
    </dataValidation>
    <dataValidation type="list" allowBlank="1" showInputMessage="1" showErrorMessage="1" sqref="C44:C45">
      <formula1>$F$86:$F$87</formula1>
    </dataValidation>
  </dataValidations>
  <hyperlinks>
    <hyperlink ref="C108" r:id="rId1"/>
    <hyperlink ref="C106" r:id="rId2"/>
    <hyperlink ref="B106" r:id="rId3"/>
    <hyperlink ref="B110" r:id="rId4"/>
    <hyperlink ref="B108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VKWBTWBREYNEPWHV</vt:lpstr>
      <vt:lpstr>VKWBTWBREYNEPWHV!_1._Zegels_Minuut_Brevet</vt:lpstr>
      <vt:lpstr>VKWBTWBREYNEPWHV!_2._Registratie_Minuut_Brevet</vt:lpstr>
      <vt:lpstr>VKWBTWBREYNEPWHV!_3._Registratie_aanhangsel</vt:lpstr>
      <vt:lpstr>VKWBTWBREYNEPWHV!Aard</vt:lpstr>
      <vt:lpstr>VKWBTWBREYNEPWHV!Afdrukbereik</vt:lpstr>
      <vt:lpstr>VKWBTWBREYNEPWHV!Datum</vt:lpstr>
      <vt:lpstr>VKWBTWBREYNEPWHV!KOSTENFICHE</vt:lpstr>
      <vt:lpstr>VKWBTWBREYNEPWHV!Rep.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2014-11-15T20:41:00Z</dcterms:modified>
</cp:coreProperties>
</file>