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PW" sheetId="1" r:id="rId1"/>
  </sheets>
  <definedNames>
    <definedName name="_1._Zegels_Minuut_Brevet" localSheetId="0">VKWPW!$A$16:$F$16</definedName>
    <definedName name="_1._Zegels_Minuut_Brevet">#REF!</definedName>
    <definedName name="_10._Tweede_getuigschrift" localSheetId="0">VKWPW!#REF!</definedName>
    <definedName name="_10._Tweede_getuigschrift">#REF!</definedName>
    <definedName name="_11._Kadaster_uittreksel" localSheetId="0">VKWPW!#REF!</definedName>
    <definedName name="_11._Kadaster_uittreksel">#REF!</definedName>
    <definedName name="_12._Getuigen" localSheetId="0">VKWPW!#REF!</definedName>
    <definedName name="_12._Getuigen">#REF!</definedName>
    <definedName name="_13._Allerlei_uitgaven" localSheetId="0">VKWPW!#REF!</definedName>
    <definedName name="_13._Allerlei_uitgaven">#REF!</definedName>
    <definedName name="_14." localSheetId="0">VKWPW!#REF!</definedName>
    <definedName name="_14.">#REF!</definedName>
    <definedName name="_15." localSheetId="0">VKWPW!#REF!</definedName>
    <definedName name="_15.">#REF!</definedName>
    <definedName name="_2._Registratie_Minuut_Brevet" localSheetId="0">VKWPW!$B$18:$G$18</definedName>
    <definedName name="_2._Registratie_Minuut_Brevet">#REF!</definedName>
    <definedName name="_3._Registratie_aanhangsel" localSheetId="0">VKWPW!$E$19:$G$19</definedName>
    <definedName name="_3._Registratie_aanhangsel">#REF!</definedName>
    <definedName name="_4.Zegels_afschrift_grosse" localSheetId="0">VKWPW!#REF!</definedName>
    <definedName name="_4.Zegels_afschrift_grosse">#REF!</definedName>
    <definedName name="_5._Hypotheek__inschr._overschr._doorh." localSheetId="0">VKWPW!#REF!</definedName>
    <definedName name="_5._Hypotheek__inschr._overschr._doorh.">#REF!</definedName>
    <definedName name="_6._Loon_pandbewaarder" localSheetId="0">VKWPW!#REF!</definedName>
    <definedName name="_6._Loon_pandbewaarder">#REF!</definedName>
    <definedName name="_7._Zegels__bord._aanh." localSheetId="0">VKWPW!#REF!</definedName>
    <definedName name="_7._Zegels__bord._aanh.">#REF!</definedName>
    <definedName name="_8._Opzoekingen" localSheetId="0">VKWPW!#REF!</definedName>
    <definedName name="_8._Opzoekingen">#REF!</definedName>
    <definedName name="_9._Hypothecair_getuigschrift" localSheetId="0">VKWPW!#REF!</definedName>
    <definedName name="_9._Hypothecair_getuigschrift">#REF!</definedName>
    <definedName name="Aard" localSheetId="0">VKWPW!$B$4:$F$4</definedName>
    <definedName name="Aard">#REF!</definedName>
    <definedName name="_xlnm.Print_Area" localSheetId="0">VKWPW!$A$1:$E$42</definedName>
    <definedName name="Datum" localSheetId="0">VKWPW!$B$4:$G$39</definedName>
    <definedName name="Datum">#REF!</definedName>
    <definedName name="gemeentelijke_info">#REF!</definedName>
    <definedName name="Kantoor_van_Notaris_J._SIMONART_te_Leuven" localSheetId="0">VKWPW!#REF!</definedName>
    <definedName name="Kantoor_van_Notaris_J._SIMONART_te_Leuven">#REF!</definedName>
    <definedName name="KOSTENFICHE" localSheetId="0">VKWPW!$A$1:$G$39</definedName>
    <definedName name="KOSTENFICHE">#REF!</definedName>
    <definedName name="Last_Row">IF(Values_Entered,Header_Row+Number_of_Payments,Header_Row)</definedName>
    <definedName name="Naam" localSheetId="0">VKWPW!$B$9:$F$9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VKWPW!$F$4:$F$41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VKWPW!#REF!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VKWPW!$A$3:$G$39</definedName>
  </definedNames>
  <calcPr calcId="152511"/>
</workbook>
</file>

<file path=xl/calcChain.xml><?xml version="1.0" encoding="utf-8"?>
<calcChain xmlns="http://schemas.openxmlformats.org/spreadsheetml/2006/main">
  <c r="B7" i="1" l="1"/>
  <c r="C228" i="1"/>
  <c r="D19" i="1"/>
  <c r="D52" i="1"/>
  <c r="F178" i="1" s="1"/>
  <c r="E185" i="1" s="1"/>
  <c r="D56" i="1"/>
  <c r="B63" i="1" s="1"/>
  <c r="B61" i="1"/>
  <c r="D153" i="1" s="1"/>
  <c r="D154" i="1" s="1"/>
  <c r="D155" i="1" s="1"/>
  <c r="D156" i="1" s="1"/>
  <c r="C64" i="1" s="1"/>
  <c r="B62" i="1"/>
  <c r="C66" i="1"/>
  <c r="C68" i="1"/>
  <c r="E76" i="1" s="1"/>
  <c r="C70" i="1"/>
  <c r="E121" i="1"/>
  <c r="F121" i="1"/>
  <c r="E122" i="1"/>
  <c r="F122" i="1"/>
  <c r="E123" i="1"/>
  <c r="E125" i="1" s="1"/>
  <c r="D38" i="1" s="1"/>
  <c r="F123" i="1"/>
  <c r="E124" i="1"/>
  <c r="F124" i="1"/>
  <c r="D39" i="1" s="1"/>
  <c r="E127" i="1"/>
  <c r="E131" i="1" s="1"/>
  <c r="D41" i="1" s="1"/>
  <c r="E128" i="1"/>
  <c r="F128" i="1"/>
  <c r="F131" i="1" s="1"/>
  <c r="D42" i="1" s="1"/>
  <c r="E129" i="1"/>
  <c r="F129" i="1"/>
  <c r="E130" i="1"/>
  <c r="F130" i="1"/>
  <c r="G137" i="1"/>
  <c r="G139" i="1" s="1"/>
  <c r="G141" i="1" s="1"/>
  <c r="C59" i="1" s="1"/>
  <c r="C141" i="1"/>
  <c r="D141" i="1"/>
  <c r="C163" i="1"/>
  <c r="F164" i="1"/>
  <c r="E173" i="1"/>
  <c r="F165" i="1"/>
  <c r="F166" i="1"/>
  <c r="F167" i="1"/>
  <c r="F168" i="1"/>
  <c r="F169" i="1"/>
  <c r="C170" i="1"/>
  <c r="F170" i="1"/>
  <c r="C171" i="1"/>
  <c r="E171" i="1"/>
  <c r="C175" i="1"/>
  <c r="C183" i="1"/>
  <c r="F176" i="1"/>
  <c r="F177" i="1"/>
  <c r="F179" i="1"/>
  <c r="F180" i="1"/>
  <c r="F181" i="1"/>
  <c r="C182" i="1"/>
  <c r="F182" i="1"/>
  <c r="E183" i="1"/>
  <c r="C188" i="1"/>
  <c r="C196" i="1" s="1"/>
  <c r="F189" i="1"/>
  <c r="F190" i="1"/>
  <c r="E198" i="1" s="1"/>
  <c r="F191" i="1"/>
  <c r="F192" i="1"/>
  <c r="F193" i="1"/>
  <c r="F194" i="1"/>
  <c r="C195" i="1"/>
  <c r="F195" i="1"/>
  <c r="C201" i="1"/>
  <c r="E209" i="1" s="1"/>
  <c r="F202" i="1"/>
  <c r="F203" i="1"/>
  <c r="E211" i="1" s="1"/>
  <c r="F204" i="1"/>
  <c r="F205" i="1"/>
  <c r="F206" i="1"/>
  <c r="F207" i="1"/>
  <c r="C208" i="1"/>
  <c r="F208" i="1"/>
  <c r="F230" i="1"/>
  <c r="F237" i="1" s="1"/>
  <c r="D17" i="1" s="1"/>
  <c r="D22" i="1" s="1"/>
  <c r="D231" i="1"/>
  <c r="F232" i="1"/>
  <c r="F233" i="1"/>
  <c r="F234" i="1"/>
  <c r="F235" i="1"/>
  <c r="F269" i="1"/>
  <c r="F272" i="1"/>
  <c r="E58" i="1"/>
  <c r="C273" i="1"/>
  <c r="C230" i="1"/>
  <c r="F231" i="1"/>
  <c r="F268" i="1"/>
  <c r="D230" i="1"/>
  <c r="F271" i="1"/>
  <c r="F267" i="1"/>
  <c r="F275" i="1" s="1"/>
  <c r="D16" i="1" s="1"/>
  <c r="D23" i="1" s="1"/>
  <c r="C231" i="1"/>
  <c r="C229" i="1"/>
  <c r="F273" i="1"/>
  <c r="F270" i="1"/>
  <c r="E59" i="1"/>
  <c r="E72" i="1"/>
  <c r="D46" i="1" l="1"/>
  <c r="A145" i="1"/>
  <c r="C72" i="1" s="1"/>
  <c r="E73" i="1" s="1"/>
  <c r="C209" i="1"/>
  <c r="E196" i="1"/>
  <c r="D25" i="1"/>
  <c r="D44" i="1" s="1"/>
  <c r="E74" i="1" l="1"/>
  <c r="E78" i="1" s="1"/>
</calcChain>
</file>

<file path=xl/comments1.xml><?xml version="1.0" encoding="utf-8"?>
<comments xmlns="http://schemas.openxmlformats.org/spreadsheetml/2006/main">
  <authors>
    <author>licentie</author>
  </authors>
  <commentList>
    <comment ref="C60" authorId="0" shapeId="0">
      <text>
        <r>
          <rPr>
            <b/>
            <sz val="10"/>
            <color indexed="81"/>
            <rFont val="Tahoma"/>
            <family val="2"/>
          </rPr>
          <t>Hier vul je het werkelijk bedrag van registratie bijlagen in.</t>
        </r>
      </text>
    </comment>
  </commentList>
</comments>
</file>

<file path=xl/sharedStrings.xml><?xml version="1.0" encoding="utf-8"?>
<sst xmlns="http://schemas.openxmlformats.org/spreadsheetml/2006/main" count="160" uniqueCount="115">
  <si>
    <t>Dossier</t>
  </si>
  <si>
    <t>Cliënt</t>
  </si>
  <si>
    <t>Prijs</t>
  </si>
  <si>
    <t>Lasten:</t>
  </si>
  <si>
    <t>Basis</t>
  </si>
  <si>
    <t>Betaald voorschot</t>
  </si>
  <si>
    <t>Klein beschrijf?</t>
  </si>
  <si>
    <t>ja</t>
  </si>
  <si>
    <t>Gebied met vastgoeddruk?</t>
  </si>
  <si>
    <t>Arlon</t>
  </si>
  <si>
    <t xml:space="preserve">KRO Soc. Wall. of Fam. Nombr.? </t>
  </si>
  <si>
    <t>neen</t>
  </si>
  <si>
    <t>Sociaal krediet voor minstens 50%?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</si>
  <si>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</si>
  <si>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</si>
  <si>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</si>
  <si>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</si>
  <si>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</si>
  <si>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</si>
  <si>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</si>
  <si>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</si>
  <si>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</si>
  <si>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</si>
  <si>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</si>
  <si>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</si>
  <si>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</si>
  <si>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</si>
  <si>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Andere</t>
  </si>
  <si>
    <t>Algemeen totaal verkoper:</t>
  </si>
  <si>
    <t>Afrekening koper</t>
  </si>
  <si>
    <t>Afrekening verkoper</t>
  </si>
  <si>
    <t>Décompte acquéreur</t>
  </si>
  <si>
    <t>Décompte vendeur</t>
  </si>
  <si>
    <t>NVT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</si>
  <si>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</si>
  <si>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</si>
  <si>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</si>
  <si>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</si>
  <si>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</si>
  <si>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</si>
  <si>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</si>
  <si>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</si>
  <si>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</si>
  <si>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</si>
  <si>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</si>
  <si>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</si>
  <si>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</si>
  <si>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</si>
  <si>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</si>
  <si>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</si>
  <si>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</si>
  <si>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</si>
  <si>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</si>
  <si>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</si>
  <si>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</si>
  <si>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</si>
  <si>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</si>
  <si>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</si>
  <si>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</si>
  <si>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</si>
  <si>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</si>
  <si>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</si>
  <si>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</si>
  <si>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Basisbedrag</t>
  </si>
  <si>
    <t>Allerlei uitgaven</t>
  </si>
  <si>
    <t>Waterloo</t>
  </si>
  <si>
    <t>Wavre</t>
  </si>
  <si>
    <t>Bedrag</t>
  </si>
  <si>
    <t>Tarief J</t>
  </si>
  <si>
    <t>Totaal Ereloon</t>
  </si>
  <si>
    <t>Aandeel basisakte of verkavelingsakte</t>
  </si>
  <si>
    <t>PANDWISSEL BIJ AANKOOP</t>
  </si>
  <si>
    <t>Oude inschrijving</t>
  </si>
  <si>
    <t>Hoofdsom</t>
  </si>
  <si>
    <t>Aanhor.</t>
  </si>
  <si>
    <t>Nieuwe inschrijving</t>
  </si>
  <si>
    <t>1. Registratie Minuut-Brevet</t>
  </si>
  <si>
    <t>(BTW)</t>
  </si>
  <si>
    <t>2. Registratie bijlagen</t>
  </si>
  <si>
    <t xml:space="preserve">           Hypotheekloon inschrijving</t>
  </si>
  <si>
    <t xml:space="preserve">           Hypotheekloon doorhaling</t>
  </si>
  <si>
    <t xml:space="preserve">           Inschrijvingsrecht</t>
  </si>
  <si>
    <t>3. Provisie hypotheekkosten</t>
  </si>
  <si>
    <t>4. Recht op geschriften</t>
  </si>
  <si>
    <t>5. Allerlei uitgaven</t>
  </si>
  <si>
    <t>6. Stedenbouwkundige info of uittreksel</t>
  </si>
  <si>
    <t>Totaal uitgaven</t>
  </si>
  <si>
    <t>Totaal</t>
  </si>
  <si>
    <t>Tot. Uitg.</t>
  </si>
  <si>
    <t>Samen</t>
  </si>
  <si>
    <t>plus BTW</t>
  </si>
  <si>
    <t>Totaal: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</si>
  <si>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</si>
  <si>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</si>
  <si>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</si>
  <si>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</si>
  <si>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</si>
  <si>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</si>
  <si>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</si>
  <si>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Loon hypotheekbewaarder doorhaling</t>
  </si>
  <si>
    <t>Boekje</t>
  </si>
  <si>
    <t>VERKOOP ONROEREND GOED WALLONIE MET HYPOTHEEKRUIL</t>
  </si>
  <si>
    <t>Donceel</t>
  </si>
  <si>
    <t>Genappe</t>
  </si>
  <si>
    <t>Perwez</t>
  </si>
  <si>
    <t>Profondeville</t>
  </si>
  <si>
    <t>Sainte-Ode</t>
  </si>
  <si>
    <t>Silly</t>
  </si>
  <si>
    <t>Kosten ten laste van de verkoper of de koper (maak de keuze)</t>
  </si>
  <si>
    <t>verkoper</t>
  </si>
  <si>
    <t>koper</t>
  </si>
  <si>
    <t>Bodemattesten (?)</t>
  </si>
  <si>
    <t>Totaal bijkomende kosten koper</t>
  </si>
  <si>
    <t>Totaal bijkomende kosten verkoper:</t>
  </si>
  <si>
    <t>Algemeen totaal koper: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</si>
</sst>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d\ mmmm\ yyyy"/>
    <numFmt numFmtId="168" formatCode="_-* #,##0.00\ [$EUR]_-;\-* #,##0.00\ [$EUR]_-;_-* &quot;-&quot;??\ [$EUR]_-;_-@_-"/>
    <numFmt numFmtId="169" formatCode="#,##0.00\ [$EUR]"/>
    <numFmt numFmtId="170" formatCode="#,##0&quot; BF&quot;;\-#,##0&quot; BF&quot;"/>
    <numFmt numFmtId="171" formatCode="0.000%"/>
    <numFmt numFmtId="172" formatCode="#.##000"/>
    <numFmt numFmtId="173" formatCode="_-* #,##0\ _F_B_-;\-* #,##0\ _F_B_-;_-* &quot;-&quot;\ _F_B_-;_-@_-"/>
    <numFmt numFmtId="174" formatCode="\$#,#00"/>
    <numFmt numFmtId="175" formatCode="_-* #,##0\ &quot;FB&quot;_-;\-* #,##0\ &quot;FB&quot;_-;_-* &quot;-&quot;\ &quot;FB&quot;_-;_-@_-"/>
    <numFmt numFmtId="176" formatCode="m\o\n\t\h\ d\,\ \y\y\y\y"/>
    <numFmt numFmtId="177" formatCode="#,#00"/>
    <numFmt numFmtId="178" formatCode="#,"/>
    <numFmt numFmtId="179" formatCode="%#,#00"/>
    <numFmt numFmtId="180" formatCode="#,##0&quot; Fr&quot;;\-#,##0&quot; Fr&quot;"/>
    <numFmt numFmtId="181" formatCode="0.0000%"/>
  </numFmts>
  <fonts count="20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u/>
      <sz val="10"/>
      <name val="Arial"/>
      <family val="2"/>
    </font>
    <font>
      <b/>
      <sz val="10"/>
      <color indexed="81"/>
      <name val="Tahoma"/>
      <family val="2"/>
    </font>
    <font>
      <sz val="9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6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6"/>
      <color theme="0"/>
      <name val="Arial"/>
      <family val="2"/>
    </font>
    <font>
      <b/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0"/>
      </patternFill>
    </fill>
    <fill>
      <patternFill patternType="solid">
        <fgColor rgb="FF0000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1" fillId="0" borderId="0" applyFont="0" applyFill="0" applyBorder="0" applyAlignment="0" applyProtection="0"/>
    <xf numFmtId="176" fontId="8" fillId="0" borderId="0">
      <protection locked="0"/>
    </xf>
    <xf numFmtId="177" fontId="8" fillId="0" borderId="0">
      <protection locked="0"/>
    </xf>
    <xf numFmtId="178" fontId="9" fillId="0" borderId="0">
      <protection locked="0"/>
    </xf>
    <xf numFmtId="178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9" fontId="8" fillId="0" borderId="0">
      <protection locked="0"/>
    </xf>
    <xf numFmtId="0" fontId="10" fillId="0" borderId="0"/>
    <xf numFmtId="0" fontId="14" fillId="0" borderId="0"/>
    <xf numFmtId="0" fontId="1" fillId="0" borderId="0"/>
    <xf numFmtId="0" fontId="14" fillId="0" borderId="0"/>
    <xf numFmtId="178" fontId="8" fillId="0" borderId="1">
      <protection locked="0"/>
    </xf>
    <xf numFmtId="0" fontId="19" fillId="0" borderId="11" applyNumberFormat="0" applyFill="0" applyAlignment="0" applyProtection="0"/>
  </cellStyleXfs>
  <cellXfs count="118">
    <xf numFmtId="0" fontId="0" fillId="0" borderId="0" xfId="0"/>
    <xf numFmtId="166" fontId="0" fillId="2" borderId="2" xfId="0" applyNumberFormat="1" applyFill="1" applyBorder="1" applyAlignment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0" fontId="0" fillId="2" borderId="0" xfId="0" applyNumberFormat="1" applyFill="1" applyBorder="1" applyAlignment="1" applyProtection="1">
      <protection hidden="1"/>
    </xf>
    <xf numFmtId="166" fontId="0" fillId="2" borderId="0" xfId="0" applyNumberFormat="1" applyFill="1" applyBorder="1" applyAlignment="1" applyProtection="1">
      <protection hidden="1"/>
    </xf>
    <xf numFmtId="0" fontId="0" fillId="2" borderId="0" xfId="0" applyFill="1" applyBorder="1" applyAlignment="1" applyProtection="1">
      <alignment horizontal="left"/>
      <protection hidden="1"/>
    </xf>
    <xf numFmtId="168" fontId="0" fillId="2" borderId="0" xfId="0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166" fontId="1" fillId="2" borderId="0" xfId="0" applyNumberFormat="1" applyFont="1" applyFill="1" applyBorder="1" applyAlignment="1" applyProtection="1">
      <protection hidden="1"/>
    </xf>
    <xf numFmtId="0" fontId="2" fillId="2" borderId="0" xfId="13" applyFont="1" applyFill="1" applyBorder="1" applyAlignment="1" applyProtection="1">
      <alignment horizontal="left"/>
      <protection hidden="1"/>
    </xf>
    <xf numFmtId="0" fontId="2" fillId="2" borderId="0" xfId="0" quotePrefix="1" applyFont="1" applyFill="1" applyBorder="1" applyAlignment="1" applyProtection="1">
      <alignment horizontal="left"/>
      <protection hidden="1"/>
    </xf>
    <xf numFmtId="0" fontId="2" fillId="2" borderId="3" xfId="0" applyFont="1" applyFill="1" applyBorder="1" applyAlignment="1" applyProtection="1">
      <alignment horizontal="left"/>
      <protection hidden="1"/>
    </xf>
    <xf numFmtId="166" fontId="1" fillId="2" borderId="4" xfId="0" applyNumberFormat="1" applyFont="1" applyFill="1" applyBorder="1" applyAlignment="1" applyProtection="1">
      <alignment horizontal="left"/>
      <protection hidden="1"/>
    </xf>
    <xf numFmtId="168" fontId="0" fillId="2" borderId="0" xfId="0" applyNumberFormat="1" applyFill="1" applyBorder="1" applyAlignment="1" applyProtection="1">
      <alignment horizontal="left"/>
      <protection hidden="1"/>
    </xf>
    <xf numFmtId="0" fontId="1" fillId="2" borderId="4" xfId="0" applyFont="1" applyFill="1" applyBorder="1" applyAlignment="1" applyProtection="1">
      <alignment horizontal="left"/>
      <protection hidden="1"/>
    </xf>
    <xf numFmtId="0" fontId="1" fillId="2" borderId="4" xfId="0" applyFont="1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1" fillId="2" borderId="0" xfId="0" applyFont="1" applyFill="1" applyBorder="1" applyProtection="1">
      <protection hidden="1"/>
    </xf>
    <xf numFmtId="0" fontId="1" fillId="2" borderId="3" xfId="0" applyFont="1" applyFill="1" applyBorder="1" applyAlignment="1" applyProtection="1">
      <alignment horizontal="left"/>
      <protection hidden="1"/>
    </xf>
    <xf numFmtId="0" fontId="0" fillId="2" borderId="5" xfId="0" applyFill="1" applyBorder="1" applyAlignment="1" applyProtection="1">
      <alignment horizontal="left"/>
      <protection hidden="1"/>
    </xf>
    <xf numFmtId="0" fontId="1" fillId="2" borderId="0" xfId="0" applyFont="1" applyFill="1" applyProtection="1">
      <protection hidden="1"/>
    </xf>
    <xf numFmtId="168" fontId="0" fillId="2" borderId="0" xfId="0" applyNumberFormat="1" applyFill="1" applyProtection="1">
      <protection hidden="1"/>
    </xf>
    <xf numFmtId="0" fontId="2" fillId="2" borderId="6" xfId="0" applyFont="1" applyFill="1" applyBorder="1" applyAlignment="1" applyProtection="1">
      <alignment horizontal="left"/>
      <protection hidden="1"/>
    </xf>
    <xf numFmtId="164" fontId="0" fillId="2" borderId="0" xfId="0" applyNumberFormat="1" applyFill="1" applyBorder="1" applyAlignment="1" applyProtection="1">
      <alignment horizontal="right"/>
      <protection hidden="1"/>
    </xf>
    <xf numFmtId="164" fontId="1" fillId="2" borderId="0" xfId="0" applyNumberFormat="1" applyFont="1" applyFill="1" applyAlignment="1" applyProtection="1">
      <alignment horizontal="right"/>
      <protection hidden="1"/>
    </xf>
    <xf numFmtId="0" fontId="2" fillId="2" borderId="5" xfId="0" applyFont="1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3" fontId="3" fillId="2" borderId="0" xfId="9" applyNumberFormat="1" applyFill="1" applyAlignment="1" applyProtection="1">
      <protection hidden="1"/>
    </xf>
    <xf numFmtId="0" fontId="1" fillId="2" borderId="0" xfId="13" applyFill="1"/>
    <xf numFmtId="3" fontId="1" fillId="2" borderId="0" xfId="13" applyNumberFormat="1" applyFont="1" applyFill="1" applyProtection="1">
      <protection hidden="1"/>
    </xf>
    <xf numFmtId="168" fontId="1" fillId="2" borderId="0" xfId="13" applyNumberFormat="1" applyFont="1" applyFill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168" fontId="1" fillId="2" borderId="0" xfId="13" applyNumberFormat="1" applyFill="1" applyBorder="1" applyAlignment="1" applyProtection="1">
      <alignment horizontal="left"/>
      <protection hidden="1"/>
    </xf>
    <xf numFmtId="3" fontId="1" fillId="2" borderId="0" xfId="0" applyNumberFormat="1" applyFont="1" applyFill="1" applyProtection="1">
      <protection hidden="1"/>
    </xf>
    <xf numFmtId="0" fontId="3" fillId="2" borderId="0" xfId="9" applyFill="1" applyAlignment="1" applyProtection="1">
      <protection hidden="1"/>
    </xf>
    <xf numFmtId="0" fontId="13" fillId="3" borderId="0" xfId="13" applyFont="1" applyFill="1" applyBorder="1" applyAlignment="1" applyProtection="1">
      <alignment horizontal="left"/>
      <protection hidden="1"/>
    </xf>
    <xf numFmtId="0" fontId="13" fillId="3" borderId="0" xfId="13" applyFont="1" applyFill="1" applyBorder="1" applyAlignment="1" applyProtection="1">
      <alignment horizontal="right"/>
      <protection hidden="1"/>
    </xf>
    <xf numFmtId="0" fontId="1" fillId="2" borderId="0" xfId="13" applyFill="1" applyBorder="1" applyAlignment="1" applyProtection="1">
      <protection hidden="1"/>
    </xf>
    <xf numFmtId="168" fontId="1" fillId="2" borderId="0" xfId="13" applyNumberFormat="1" applyFill="1" applyBorder="1" applyProtection="1">
      <protection hidden="1"/>
    </xf>
    <xf numFmtId="166" fontId="1" fillId="2" borderId="0" xfId="13" applyNumberFormat="1" applyFill="1" applyBorder="1" applyProtection="1">
      <protection hidden="1"/>
    </xf>
    <xf numFmtId="0" fontId="5" fillId="4" borderId="0" xfId="13" applyFont="1" applyFill="1" applyBorder="1" applyAlignment="1" applyProtection="1">
      <alignment horizontal="left"/>
      <protection hidden="1"/>
    </xf>
    <xf numFmtId="180" fontId="6" fillId="4" borderId="0" xfId="13" applyNumberFormat="1" applyFont="1" applyFill="1" applyBorder="1" applyProtection="1">
      <protection hidden="1"/>
    </xf>
    <xf numFmtId="170" fontId="6" fillId="4" borderId="0" xfId="13" applyNumberFormat="1" applyFont="1" applyFill="1" applyBorder="1" applyProtection="1">
      <protection hidden="1"/>
    </xf>
    <xf numFmtId="0" fontId="6" fillId="4" borderId="0" xfId="13" applyFont="1" applyFill="1" applyBorder="1" applyProtection="1">
      <protection hidden="1"/>
    </xf>
    <xf numFmtId="169" fontId="6" fillId="4" borderId="0" xfId="13" applyNumberFormat="1" applyFont="1" applyFill="1" applyBorder="1" applyProtection="1">
      <protection hidden="1"/>
    </xf>
    <xf numFmtId="171" fontId="6" fillId="4" borderId="0" xfId="13" applyNumberFormat="1" applyFont="1" applyFill="1" applyBorder="1" applyProtection="1">
      <protection hidden="1"/>
    </xf>
    <xf numFmtId="181" fontId="6" fillId="4" borderId="0" xfId="13" applyNumberFormat="1" applyFont="1" applyFill="1" applyBorder="1" applyProtection="1">
      <protection hidden="1"/>
    </xf>
    <xf numFmtId="170" fontId="5" fillId="4" borderId="0" xfId="13" applyNumberFormat="1" applyFont="1" applyFill="1" applyBorder="1" applyAlignment="1" applyProtection="1">
      <alignment horizontal="center"/>
      <protection hidden="1"/>
    </xf>
    <xf numFmtId="169" fontId="5" fillId="4" borderId="0" xfId="13" applyNumberFormat="1" applyFont="1" applyFill="1" applyBorder="1" applyProtection="1">
      <protection hidden="1"/>
    </xf>
    <xf numFmtId="0" fontId="4" fillId="2" borderId="0" xfId="0" applyFont="1" applyFill="1" applyProtection="1">
      <protection hidden="1"/>
    </xf>
    <xf numFmtId="2" fontId="0" fillId="2" borderId="0" xfId="0" applyNumberFormat="1" applyFill="1" applyBorder="1" applyAlignment="1" applyProtection="1">
      <alignment horizontal="right"/>
      <protection hidden="1"/>
    </xf>
    <xf numFmtId="2" fontId="1" fillId="2" borderId="0" xfId="0" applyNumberFormat="1" applyFont="1" applyFill="1" applyProtection="1">
      <protection hidden="1"/>
    </xf>
    <xf numFmtId="4" fontId="1" fillId="2" borderId="0" xfId="0" applyNumberFormat="1" applyFont="1" applyFill="1" applyProtection="1"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170" fontId="5" fillId="2" borderId="7" xfId="0" applyNumberFormat="1" applyFont="1" applyFill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169" fontId="6" fillId="2" borderId="7" xfId="0" applyNumberFormat="1" applyFont="1" applyFill="1" applyBorder="1" applyProtection="1">
      <protection hidden="1"/>
    </xf>
    <xf numFmtId="170" fontId="6" fillId="2" borderId="7" xfId="0" applyNumberFormat="1" applyFont="1" applyFill="1" applyBorder="1" applyProtection="1">
      <protection hidden="1"/>
    </xf>
    <xf numFmtId="171" fontId="6" fillId="2" borderId="7" xfId="0" applyNumberFormat="1" applyFont="1" applyFill="1" applyBorder="1" applyProtection="1">
      <protection hidden="1"/>
    </xf>
    <xf numFmtId="171" fontId="6" fillId="2" borderId="8" xfId="0" applyNumberFormat="1" applyFont="1" applyFill="1" applyBorder="1" applyProtection="1">
      <protection hidden="1"/>
    </xf>
    <xf numFmtId="0" fontId="6" fillId="2" borderId="9" xfId="0" applyFont="1" applyFill="1" applyBorder="1" applyProtection="1">
      <protection hidden="1"/>
    </xf>
    <xf numFmtId="0" fontId="6" fillId="2" borderId="0" xfId="0" applyFont="1" applyFill="1" applyBorder="1" applyProtection="1">
      <protection hidden="1"/>
    </xf>
    <xf numFmtId="0" fontId="7" fillId="2" borderId="10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170" fontId="5" fillId="2" borderId="0" xfId="0" applyNumberFormat="1" applyFont="1" applyFill="1" applyBorder="1" applyAlignment="1" applyProtection="1">
      <alignment horizontal="center"/>
      <protection hidden="1"/>
    </xf>
    <xf numFmtId="0" fontId="6" fillId="2" borderId="10" xfId="0" applyFont="1" applyFill="1" applyBorder="1" applyProtection="1">
      <protection hidden="1"/>
    </xf>
    <xf numFmtId="169" fontId="5" fillId="2" borderId="7" xfId="0" applyNumberFormat="1" applyFont="1" applyFill="1" applyBorder="1" applyProtection="1">
      <protection hidden="1"/>
    </xf>
    <xf numFmtId="0" fontId="15" fillId="5" borderId="2" xfId="0" applyFont="1" applyFill="1" applyBorder="1" applyAlignment="1" applyProtection="1">
      <alignment horizontal="left"/>
      <protection hidden="1"/>
    </xf>
    <xf numFmtId="0" fontId="16" fillId="5" borderId="2" xfId="0" applyFont="1" applyFill="1" applyBorder="1" applyAlignment="1" applyProtection="1">
      <alignment horizontal="left"/>
      <protection hidden="1"/>
    </xf>
    <xf numFmtId="0" fontId="17" fillId="5" borderId="2" xfId="0" applyNumberFormat="1" applyFont="1" applyFill="1" applyBorder="1" applyAlignment="1" applyProtection="1">
      <protection hidden="1"/>
    </xf>
    <xf numFmtId="0" fontId="0" fillId="6" borderId="0" xfId="0" applyFill="1" applyBorder="1" applyAlignment="1" applyProtection="1">
      <alignment horizontal="left"/>
      <protection hidden="1"/>
    </xf>
    <xf numFmtId="0" fontId="0" fillId="7" borderId="0" xfId="0" applyFill="1" applyBorder="1" applyAlignment="1" applyProtection="1">
      <alignment horizontal="center"/>
      <protection locked="0" hidden="1"/>
    </xf>
    <xf numFmtId="0" fontId="1" fillId="7" borderId="0" xfId="13" applyFont="1" applyFill="1" applyBorder="1" applyAlignment="1" applyProtection="1">
      <alignment horizontal="center"/>
      <protection locked="0" hidden="1"/>
    </xf>
    <xf numFmtId="0" fontId="2" fillId="8" borderId="6" xfId="0" applyFont="1" applyFill="1" applyBorder="1" applyAlignment="1" applyProtection="1">
      <alignment horizontal="left"/>
      <protection hidden="1"/>
    </xf>
    <xf numFmtId="0" fontId="2" fillId="9" borderId="6" xfId="0" applyFont="1" applyFill="1" applyBorder="1" applyAlignment="1" applyProtection="1">
      <alignment horizontal="left"/>
      <protection hidden="1"/>
    </xf>
    <xf numFmtId="164" fontId="2" fillId="9" borderId="6" xfId="0" applyNumberFormat="1" applyFont="1" applyFill="1" applyBorder="1" applyAlignment="1" applyProtection="1">
      <alignment horizontal="right"/>
      <protection hidden="1"/>
    </xf>
    <xf numFmtId="164" fontId="2" fillId="8" borderId="6" xfId="0" applyNumberFormat="1" applyFont="1" applyFill="1" applyBorder="1" applyAlignment="1" applyProtection="1">
      <alignment horizontal="right"/>
      <protection hidden="1"/>
    </xf>
    <xf numFmtId="0" fontId="18" fillId="5" borderId="0" xfId="13" applyFont="1" applyFill="1" applyProtection="1">
      <protection hidden="1"/>
    </xf>
    <xf numFmtId="0" fontId="17" fillId="5" borderId="0" xfId="13" applyFont="1" applyFill="1" applyProtection="1">
      <protection hidden="1"/>
    </xf>
    <xf numFmtId="0" fontId="11" fillId="2" borderId="0" xfId="13" applyFont="1" applyFill="1" applyBorder="1" applyAlignment="1" applyProtection="1">
      <alignment horizontal="left"/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167" fontId="2" fillId="7" borderId="0" xfId="0" applyNumberFormat="1" applyFont="1" applyFill="1" applyBorder="1" applyAlignment="1" applyProtection="1">
      <alignment horizontal="left"/>
      <protection locked="0"/>
    </xf>
    <xf numFmtId="0" fontId="0" fillId="6" borderId="0" xfId="0" applyFill="1" applyBorder="1" applyAlignment="1" applyProtection="1">
      <alignment horizontal="left"/>
      <protection locked="0"/>
    </xf>
    <xf numFmtId="164" fontId="1" fillId="10" borderId="0" xfId="0" applyNumberFormat="1" applyFont="1" applyFill="1" applyAlignment="1" applyProtection="1">
      <alignment horizontal="right"/>
      <protection locked="0"/>
    </xf>
    <xf numFmtId="0" fontId="0" fillId="11" borderId="0" xfId="0" applyFill="1" applyBorder="1" applyAlignment="1" applyProtection="1">
      <alignment horizontal="center"/>
      <protection locked="0"/>
    </xf>
    <xf numFmtId="164" fontId="1" fillId="7" borderId="0" xfId="0" applyNumberFormat="1" applyFont="1" applyFill="1" applyAlignment="1" applyProtection="1">
      <alignment horizontal="right"/>
      <protection locked="0"/>
    </xf>
    <xf numFmtId="166" fontId="1" fillId="2" borderId="0" xfId="13" applyNumberFormat="1" applyFill="1" applyBorder="1" applyAlignment="1" applyProtection="1">
      <alignment horizontal="right"/>
      <protection hidden="1"/>
    </xf>
    <xf numFmtId="166" fontId="1" fillId="2" borderId="0" xfId="13" applyNumberFormat="1" applyFont="1" applyFill="1" applyBorder="1" applyAlignment="1" applyProtection="1">
      <alignment horizontal="right"/>
      <protection hidden="1"/>
    </xf>
    <xf numFmtId="0" fontId="1" fillId="2" borderId="0" xfId="13" applyFill="1" applyBorder="1" applyAlignment="1" applyProtection="1">
      <alignment horizontal="right"/>
      <protection hidden="1"/>
    </xf>
    <xf numFmtId="165" fontId="0" fillId="7" borderId="0" xfId="0" applyNumberFormat="1" applyFill="1" applyBorder="1" applyAlignment="1" applyProtection="1">
      <protection locked="0"/>
    </xf>
    <xf numFmtId="165" fontId="0" fillId="12" borderId="0" xfId="0" applyNumberFormat="1" applyFill="1" applyBorder="1" applyAlignment="1" applyProtection="1">
      <protection hidden="1"/>
    </xf>
    <xf numFmtId="165" fontId="1" fillId="13" borderId="0" xfId="13" applyNumberFormat="1" applyFill="1" applyBorder="1" applyAlignment="1" applyProtection="1">
      <protection locked="0"/>
    </xf>
    <xf numFmtId="165" fontId="0" fillId="2" borderId="4" xfId="0" applyNumberFormat="1" applyFill="1" applyBorder="1" applyProtection="1">
      <protection hidden="1"/>
    </xf>
    <xf numFmtId="165" fontId="0" fillId="2" borderId="0" xfId="0" applyNumberFormat="1" applyFill="1" applyBorder="1" applyAlignment="1" applyProtection="1">
      <alignment horizontal="left"/>
      <protection hidden="1"/>
    </xf>
    <xf numFmtId="165" fontId="0" fillId="7" borderId="0" xfId="0" applyNumberFormat="1" applyFill="1" applyBorder="1" applyAlignment="1" applyProtection="1">
      <alignment horizontal="left"/>
      <protection locked="0" hidden="1"/>
    </xf>
    <xf numFmtId="165" fontId="0" fillId="6" borderId="0" xfId="0" applyNumberFormat="1" applyFill="1" applyBorder="1" applyAlignment="1" applyProtection="1">
      <alignment horizontal="left"/>
      <protection locked="0" hidden="1"/>
    </xf>
    <xf numFmtId="165" fontId="0" fillId="2" borderId="4" xfId="0" applyNumberFormat="1" applyFill="1" applyBorder="1" applyAlignment="1" applyProtection="1">
      <alignment horizontal="left"/>
      <protection hidden="1"/>
    </xf>
    <xf numFmtId="165" fontId="0" fillId="2" borderId="0" xfId="0" applyNumberFormat="1" applyFill="1" applyBorder="1" applyProtection="1">
      <protection hidden="1"/>
    </xf>
    <xf numFmtId="165" fontId="0" fillId="14" borderId="6" xfId="0" applyNumberFormat="1" applyFill="1" applyBorder="1" applyProtection="1">
      <protection hidden="1"/>
    </xf>
    <xf numFmtId="165" fontId="1" fillId="7" borderId="0" xfId="13" applyNumberFormat="1" applyFill="1" applyBorder="1" applyAlignment="1" applyProtection="1">
      <protection locked="0"/>
    </xf>
    <xf numFmtId="165" fontId="1" fillId="12" borderId="0" xfId="13" applyNumberFormat="1" applyFill="1" applyBorder="1" applyAlignment="1" applyProtection="1">
      <protection hidden="1"/>
    </xf>
    <xf numFmtId="165" fontId="1" fillId="2" borderId="0" xfId="13" applyNumberFormat="1" applyFill="1" applyBorder="1" applyAlignment="1" applyProtection="1">
      <protection hidden="1"/>
    </xf>
    <xf numFmtId="165" fontId="1" fillId="6" borderId="0" xfId="13" applyNumberFormat="1" applyFill="1" applyBorder="1" applyAlignment="1" applyProtection="1">
      <protection locked="0"/>
    </xf>
    <xf numFmtId="165" fontId="1" fillId="15" borderId="0" xfId="13" applyNumberFormat="1" applyFill="1" applyBorder="1" applyAlignment="1" applyProtection="1">
      <protection hidden="1"/>
    </xf>
    <xf numFmtId="165" fontId="1" fillId="2" borderId="0" xfId="13" applyNumberFormat="1" applyFill="1" applyBorder="1" applyAlignment="1" applyProtection="1">
      <alignment horizontal="left"/>
      <protection hidden="1"/>
    </xf>
    <xf numFmtId="165" fontId="1" fillId="7" borderId="0" xfId="13" applyNumberFormat="1" applyFill="1" applyBorder="1" applyAlignment="1" applyProtection="1">
      <alignment horizontal="left"/>
      <protection locked="0"/>
    </xf>
    <xf numFmtId="165" fontId="1" fillId="2" borderId="0" xfId="13" applyNumberFormat="1" applyFill="1" applyBorder="1" applyProtection="1">
      <protection hidden="1"/>
    </xf>
    <xf numFmtId="165" fontId="1" fillId="2" borderId="0" xfId="13" applyNumberFormat="1" applyFill="1" applyBorder="1" applyAlignment="1" applyProtection="1">
      <alignment horizontal="right"/>
      <protection hidden="1"/>
    </xf>
    <xf numFmtId="165" fontId="1" fillId="7" borderId="0" xfId="13" applyNumberFormat="1" applyFont="1" applyFill="1" applyBorder="1" applyAlignment="1" applyProtection="1">
      <alignment horizontal="left"/>
      <protection locked="0"/>
    </xf>
    <xf numFmtId="165" fontId="1" fillId="2" borderId="0" xfId="13" applyNumberFormat="1" applyFont="1" applyFill="1" applyBorder="1" applyAlignment="1" applyProtection="1">
      <alignment horizontal="left"/>
      <protection hidden="1"/>
    </xf>
    <xf numFmtId="165" fontId="2" fillId="8" borderId="6" xfId="13" applyNumberFormat="1" applyFont="1" applyFill="1" applyBorder="1" applyProtection="1"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VKWPWDAC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VKWPWAK.xlsx" TargetMode="External"/><Relationship Id="rId1" Type="http://schemas.openxmlformats.org/officeDocument/2006/relationships/hyperlink" Target="VKWPW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Boekje.xlsx" TargetMode="External"/><Relationship Id="rId4" Type="http://schemas.openxmlformats.org/officeDocument/2006/relationships/hyperlink" Target="VKWPW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279"/>
  <sheetViews>
    <sheetView tabSelected="1" zoomScaleNormal="100" workbookViewId="0">
      <selection activeCell="B3" sqref="B3"/>
    </sheetView>
  </sheetViews>
  <sheetFormatPr defaultRowHeight="12.75" x14ac:dyDescent="0.2"/>
  <cols>
    <col min="1" max="1" width="33.5703125" style="2" customWidth="1"/>
    <col min="2" max="2" width="16.7109375" style="2" customWidth="1"/>
    <col min="3" max="3" width="19.5703125" style="2" bestFit="1" customWidth="1"/>
    <col min="4" max="4" width="15.42578125" style="2" customWidth="1"/>
    <col min="5" max="5" width="16.7109375" style="2" customWidth="1"/>
    <col min="6" max="6" width="12.28515625" style="2" customWidth="1"/>
    <col min="7" max="7" width="15.85546875" style="2" bestFit="1" customWidth="1"/>
    <col min="8" max="16" width="9.140625" style="2"/>
    <col min="17" max="17" width="12.140625" style="2" bestFit="1" customWidth="1"/>
    <col min="18" max="16384" width="9.140625" style="2"/>
  </cols>
  <sheetData>
    <row r="1" spans="1:7" ht="21" thickTop="1" x14ac:dyDescent="0.3">
      <c r="A1" s="74" t="s">
        <v>101</v>
      </c>
      <c r="B1" s="75"/>
      <c r="C1" s="75"/>
      <c r="D1" s="75"/>
      <c r="E1" s="76"/>
      <c r="F1" s="1"/>
      <c r="G1" s="1"/>
    </row>
    <row r="2" spans="1:7" x14ac:dyDescent="0.2">
      <c r="A2" s="3"/>
      <c r="B2" s="3"/>
      <c r="C2" s="3"/>
      <c r="D2" s="3"/>
      <c r="E2" s="4"/>
      <c r="F2" s="5"/>
      <c r="G2" s="5"/>
    </row>
    <row r="3" spans="1:7" x14ac:dyDescent="0.2">
      <c r="A3" s="3" t="s">
        <v>0</v>
      </c>
      <c r="B3" s="88"/>
      <c r="C3" s="3"/>
      <c r="D3" s="3"/>
      <c r="E3" s="5"/>
      <c r="F3" s="5"/>
      <c r="G3" s="4"/>
    </row>
    <row r="4" spans="1:7" x14ac:dyDescent="0.2">
      <c r="A4" s="3" t="s">
        <v>1</v>
      </c>
      <c r="B4" s="89"/>
      <c r="C4" s="77"/>
      <c r="F4" s="5"/>
    </row>
    <row r="5" spans="1:7" x14ac:dyDescent="0.2">
      <c r="A5" s="5" t="s">
        <v>2</v>
      </c>
      <c r="B5" s="96">
        <v>0</v>
      </c>
      <c r="C5" s="6"/>
      <c r="D5" s="5"/>
      <c r="E5" s="7"/>
      <c r="F5" s="5"/>
    </row>
    <row r="6" spans="1:7" x14ac:dyDescent="0.2">
      <c r="A6" s="5" t="s">
        <v>3</v>
      </c>
      <c r="B6" s="96">
        <v>0</v>
      </c>
      <c r="C6" s="6"/>
      <c r="D6" s="5"/>
      <c r="E6" s="7"/>
      <c r="F6" s="5"/>
    </row>
    <row r="7" spans="1:7" x14ac:dyDescent="0.2">
      <c r="A7" s="10" t="s">
        <v>4</v>
      </c>
      <c r="B7" s="97">
        <f>SUM(B5:B6)</f>
        <v>0</v>
      </c>
      <c r="C7" s="6"/>
      <c r="D7" s="5"/>
      <c r="E7" s="7"/>
      <c r="F7" s="5"/>
    </row>
    <row r="8" spans="1:7" x14ac:dyDescent="0.2">
      <c r="A8" s="8" t="s">
        <v>5</v>
      </c>
      <c r="B8" s="98">
        <v>0</v>
      </c>
      <c r="C8" s="6"/>
      <c r="D8" s="5"/>
      <c r="E8" s="7"/>
      <c r="F8" s="5"/>
    </row>
    <row r="9" spans="1:7" x14ac:dyDescent="0.2">
      <c r="A9" s="9" t="s">
        <v>6</v>
      </c>
      <c r="B9" s="6"/>
      <c r="C9" s="78" t="s">
        <v>11</v>
      </c>
      <c r="F9" s="5"/>
    </row>
    <row r="10" spans="1:7" x14ac:dyDescent="0.2">
      <c r="A10" s="9" t="s">
        <v>8</v>
      </c>
      <c r="B10" s="6"/>
      <c r="C10" s="78" t="s">
        <v>33</v>
      </c>
      <c r="D10" s="10"/>
      <c r="E10" s="7"/>
      <c r="F10" s="5"/>
    </row>
    <row r="11" spans="1:7" x14ac:dyDescent="0.2">
      <c r="A11" s="9" t="s">
        <v>10</v>
      </c>
      <c r="B11" s="6"/>
      <c r="C11" s="78" t="s">
        <v>11</v>
      </c>
      <c r="F11" s="5"/>
      <c r="G11" s="7"/>
    </row>
    <row r="12" spans="1:7" x14ac:dyDescent="0.2">
      <c r="A12" s="8" t="s">
        <v>12</v>
      </c>
      <c r="B12" s="11"/>
      <c r="C12" s="79" t="s">
        <v>11</v>
      </c>
      <c r="D12" s="6"/>
      <c r="E12" s="10"/>
      <c r="F12" s="5"/>
      <c r="G12" s="7"/>
    </row>
    <row r="13" spans="1:7" ht="13.5" thickBot="1" x14ac:dyDescent="0.25">
      <c r="A13" s="12" t="s">
        <v>13</v>
      </c>
      <c r="B13" s="3"/>
      <c r="C13" s="3"/>
      <c r="F13" s="5"/>
      <c r="G13" s="5"/>
    </row>
    <row r="14" spans="1:7" ht="14.25" thickTop="1" thickBot="1" x14ac:dyDescent="0.25">
      <c r="A14" s="80" t="s">
        <v>14</v>
      </c>
      <c r="B14" s="27"/>
      <c r="C14" s="3"/>
      <c r="D14" s="3"/>
      <c r="E14" s="5"/>
      <c r="F14" s="5"/>
      <c r="G14" s="5"/>
    </row>
    <row r="15" spans="1:7" ht="14.25" thickTop="1" thickBot="1" x14ac:dyDescent="0.25">
      <c r="A15" s="3"/>
      <c r="B15" s="3"/>
      <c r="C15" s="3"/>
      <c r="D15" s="3"/>
      <c r="E15" s="5"/>
      <c r="F15" s="5"/>
      <c r="G15" s="5"/>
    </row>
    <row r="16" spans="1:7" ht="14.25" thickTop="1" thickBot="1" x14ac:dyDescent="0.25">
      <c r="A16" s="14" t="s">
        <v>15</v>
      </c>
      <c r="B16" s="3"/>
      <c r="C16" s="3"/>
      <c r="D16" s="99">
        <f>IF(AND(C9="ja",C12="ja"),F275-250,F275)</f>
        <v>0</v>
      </c>
    </row>
    <row r="17" spans="1:7" ht="13.5" thickTop="1" x14ac:dyDescent="0.2">
      <c r="A17" s="9" t="s">
        <v>16</v>
      </c>
      <c r="B17" s="6"/>
      <c r="C17" s="6"/>
      <c r="D17" s="100">
        <f>F237</f>
        <v>0</v>
      </c>
      <c r="E17" s="5"/>
      <c r="F17" s="10"/>
      <c r="G17" s="7"/>
    </row>
    <row r="18" spans="1:7" x14ac:dyDescent="0.2">
      <c r="A18" s="6" t="s">
        <v>17</v>
      </c>
      <c r="B18" s="6"/>
      <c r="C18" s="6"/>
      <c r="D18" s="101">
        <v>0</v>
      </c>
      <c r="E18" s="5"/>
      <c r="F18" s="5"/>
      <c r="G18" s="5"/>
    </row>
    <row r="19" spans="1:7" x14ac:dyDescent="0.2">
      <c r="A19" s="9" t="s">
        <v>18</v>
      </c>
      <c r="B19" s="78">
        <v>0</v>
      </c>
      <c r="C19" s="6"/>
      <c r="D19" s="100">
        <f>B19*30</f>
        <v>0</v>
      </c>
      <c r="E19" s="5"/>
      <c r="F19" s="5"/>
      <c r="G19" s="5"/>
    </row>
    <row r="20" spans="1:7" x14ac:dyDescent="0.2">
      <c r="A20" s="9" t="s">
        <v>19</v>
      </c>
      <c r="B20" s="6"/>
      <c r="C20" s="6"/>
      <c r="D20" s="101">
        <v>770</v>
      </c>
      <c r="E20" s="5"/>
      <c r="F20" s="5"/>
      <c r="G20" s="5"/>
    </row>
    <row r="21" spans="1:7" ht="13.5" thickBot="1" x14ac:dyDescent="0.25">
      <c r="A21" s="9" t="s">
        <v>70</v>
      </c>
      <c r="B21" s="6"/>
      <c r="C21" s="6"/>
      <c r="D21" s="102">
        <v>0</v>
      </c>
      <c r="E21" s="5"/>
      <c r="F21" s="5"/>
      <c r="G21" s="5"/>
    </row>
    <row r="22" spans="1:7" ht="14.25" thickTop="1" thickBot="1" x14ac:dyDescent="0.25">
      <c r="A22" s="16" t="s">
        <v>20</v>
      </c>
      <c r="B22" s="6"/>
      <c r="D22" s="103">
        <f>SUM(D17:D21)</f>
        <v>770</v>
      </c>
      <c r="F22" s="5"/>
      <c r="G22" s="5"/>
    </row>
    <row r="23" spans="1:7" ht="14.25" thickTop="1" thickBot="1" x14ac:dyDescent="0.25">
      <c r="B23" s="6"/>
      <c r="C23" s="17" t="s">
        <v>21</v>
      </c>
      <c r="D23" s="99">
        <f>(D16+D20)*21%</f>
        <v>161.69999999999999</v>
      </c>
      <c r="F23" s="5"/>
      <c r="G23" s="5"/>
    </row>
    <row r="24" spans="1:7" ht="14.25" thickTop="1" thickBot="1" x14ac:dyDescent="0.25">
      <c r="A24" s="18"/>
      <c r="B24" s="6"/>
      <c r="C24" s="19"/>
      <c r="D24" s="104"/>
      <c r="F24" s="5"/>
      <c r="G24" s="5"/>
    </row>
    <row r="25" spans="1:7" ht="14.25" thickTop="1" thickBot="1" x14ac:dyDescent="0.25">
      <c r="A25" s="20" t="s">
        <v>22</v>
      </c>
      <c r="B25" s="21"/>
      <c r="C25" s="22"/>
      <c r="D25" s="105">
        <f>SUM(D16:D23)-D22</f>
        <v>931.7</v>
      </c>
      <c r="F25" s="5"/>
      <c r="G25" s="5"/>
    </row>
    <row r="26" spans="1:7" ht="14.25" thickTop="1" thickBot="1" x14ac:dyDescent="0.25">
      <c r="A26" s="9"/>
      <c r="B26" s="6"/>
      <c r="C26" s="6"/>
      <c r="D26" s="22"/>
      <c r="E26" s="23"/>
      <c r="F26" s="5"/>
      <c r="G26" s="5"/>
    </row>
    <row r="27" spans="1:7" ht="14.25" thickTop="1" thickBot="1" x14ac:dyDescent="0.25">
      <c r="A27" s="81" t="s">
        <v>23</v>
      </c>
      <c r="B27" s="27"/>
      <c r="C27" s="6"/>
      <c r="D27" s="22"/>
      <c r="E27" s="25"/>
      <c r="F27" s="5"/>
      <c r="G27" s="5"/>
    </row>
    <row r="28" spans="1:7" ht="13.5" thickTop="1" x14ac:dyDescent="0.2">
      <c r="A28" s="9"/>
      <c r="B28" s="6"/>
      <c r="C28" s="6"/>
      <c r="D28" s="22"/>
      <c r="E28" s="25"/>
      <c r="F28" s="5"/>
      <c r="G28" s="5"/>
    </row>
    <row r="29" spans="1:7" x14ac:dyDescent="0.2">
      <c r="A29" s="9" t="s">
        <v>25</v>
      </c>
      <c r="B29" s="6"/>
      <c r="C29" s="6"/>
      <c r="D29" s="90">
        <v>0</v>
      </c>
      <c r="E29" s="25"/>
      <c r="F29" s="5"/>
      <c r="G29" s="5"/>
    </row>
    <row r="30" spans="1:7" ht="13.5" thickBot="1" x14ac:dyDescent="0.25">
      <c r="A30" s="9"/>
      <c r="B30" s="6"/>
      <c r="C30" s="6"/>
      <c r="D30" s="26"/>
      <c r="E30" s="25"/>
      <c r="F30" s="5"/>
      <c r="G30" s="5"/>
    </row>
    <row r="31" spans="1:7" ht="14.25" thickTop="1" thickBot="1" x14ac:dyDescent="0.25">
      <c r="A31" s="13" t="s">
        <v>108</v>
      </c>
      <c r="B31" s="13"/>
      <c r="C31" s="13"/>
      <c r="D31" s="27"/>
      <c r="E31" s="25"/>
      <c r="F31" s="5"/>
      <c r="G31" s="5"/>
    </row>
    <row r="32" spans="1:7" ht="13.5" thickTop="1" x14ac:dyDescent="0.2">
      <c r="A32" s="9"/>
      <c r="B32" s="6"/>
      <c r="C32" s="6"/>
      <c r="D32" s="26"/>
      <c r="E32" s="25"/>
      <c r="F32" s="5"/>
      <c r="G32" s="5"/>
    </row>
    <row r="33" spans="1:7" x14ac:dyDescent="0.2">
      <c r="A33" s="9" t="s">
        <v>24</v>
      </c>
      <c r="B33" s="6"/>
      <c r="C33" s="91" t="s">
        <v>110</v>
      </c>
      <c r="D33" s="92">
        <v>0</v>
      </c>
      <c r="E33" s="25"/>
      <c r="F33" s="5"/>
      <c r="G33" s="5"/>
    </row>
    <row r="34" spans="1:7" x14ac:dyDescent="0.2">
      <c r="A34" s="9" t="s">
        <v>26</v>
      </c>
      <c r="B34" s="6"/>
      <c r="C34" s="91" t="s">
        <v>110</v>
      </c>
      <c r="D34" s="92">
        <v>0</v>
      </c>
      <c r="E34" s="25"/>
      <c r="F34" s="5"/>
      <c r="G34" s="5"/>
    </row>
    <row r="35" spans="1:7" x14ac:dyDescent="0.2">
      <c r="A35" s="9" t="s">
        <v>111</v>
      </c>
      <c r="B35" s="6"/>
      <c r="C35" s="91" t="s">
        <v>109</v>
      </c>
      <c r="D35" s="92">
        <v>0</v>
      </c>
      <c r="E35" s="25"/>
      <c r="F35" s="5"/>
      <c r="G35" s="5"/>
    </row>
    <row r="36" spans="1:7" x14ac:dyDescent="0.2">
      <c r="A36" s="9" t="s">
        <v>27</v>
      </c>
      <c r="B36" s="6"/>
      <c r="C36" s="91" t="s">
        <v>110</v>
      </c>
      <c r="D36" s="92">
        <v>0</v>
      </c>
      <c r="E36" s="25"/>
      <c r="F36" s="5"/>
      <c r="G36" s="5"/>
    </row>
    <row r="37" spans="1:7" ht="13.5" thickBot="1" x14ac:dyDescent="0.25">
      <c r="A37" s="9"/>
      <c r="B37" s="6"/>
      <c r="C37" s="6"/>
      <c r="D37" s="26"/>
      <c r="E37" s="25"/>
      <c r="F37" s="5"/>
      <c r="G37" s="5"/>
    </row>
    <row r="38" spans="1:7" ht="14.25" thickTop="1" thickBot="1" x14ac:dyDescent="0.25">
      <c r="A38" s="16" t="s">
        <v>112</v>
      </c>
      <c r="B38" s="6"/>
      <c r="C38" s="6"/>
      <c r="D38" s="26">
        <f>E125</f>
        <v>0</v>
      </c>
      <c r="E38" s="25"/>
      <c r="F38" s="5"/>
      <c r="G38" s="7"/>
    </row>
    <row r="39" spans="1:7" ht="14.25" thickTop="1" thickBot="1" x14ac:dyDescent="0.25">
      <c r="A39" s="9"/>
      <c r="B39" s="6"/>
      <c r="C39" s="17" t="s">
        <v>21</v>
      </c>
      <c r="D39" s="26">
        <f>F124</f>
        <v>0</v>
      </c>
      <c r="E39" s="25"/>
      <c r="F39" s="5"/>
      <c r="G39" s="7"/>
    </row>
    <row r="40" spans="1:7" ht="14.25" thickTop="1" thickBot="1" x14ac:dyDescent="0.25">
      <c r="A40" s="9"/>
      <c r="B40" s="6"/>
      <c r="C40" s="6"/>
      <c r="D40" s="26"/>
      <c r="E40" s="25"/>
      <c r="F40" s="5"/>
      <c r="G40" s="7"/>
    </row>
    <row r="41" spans="1:7" ht="14.25" thickTop="1" thickBot="1" x14ac:dyDescent="0.25">
      <c r="A41" s="16" t="s">
        <v>113</v>
      </c>
      <c r="B41" s="6"/>
      <c r="C41" s="6"/>
      <c r="D41" s="26">
        <f>E131</f>
        <v>0</v>
      </c>
      <c r="E41" s="25"/>
      <c r="F41" s="5"/>
      <c r="G41" s="7"/>
    </row>
    <row r="42" spans="1:7" ht="14.25" thickTop="1" thickBot="1" x14ac:dyDescent="0.25">
      <c r="A42" s="9"/>
      <c r="B42" s="6"/>
      <c r="C42" s="17" t="s">
        <v>21</v>
      </c>
      <c r="D42" s="26">
        <f>F131</f>
        <v>0</v>
      </c>
      <c r="E42" s="25"/>
    </row>
    <row r="43" spans="1:7" ht="14.25" thickTop="1" thickBot="1" x14ac:dyDescent="0.25">
      <c r="A43" s="9"/>
      <c r="B43" s="6"/>
      <c r="C43" s="6"/>
      <c r="D43" s="26"/>
      <c r="E43" s="25"/>
    </row>
    <row r="44" spans="1:7" ht="14.25" thickTop="1" thickBot="1" x14ac:dyDescent="0.25">
      <c r="A44" s="24" t="s">
        <v>114</v>
      </c>
      <c r="B44" s="6"/>
      <c r="C44" s="6"/>
      <c r="D44" s="83">
        <f>D25+D38+D39</f>
        <v>931.7</v>
      </c>
    </row>
    <row r="45" spans="1:7" ht="14.25" thickTop="1" thickBot="1" x14ac:dyDescent="0.25">
      <c r="A45" s="6"/>
      <c r="B45" s="6"/>
      <c r="C45" s="6"/>
      <c r="D45" s="25"/>
    </row>
    <row r="46" spans="1:7" ht="14.25" thickTop="1" thickBot="1" x14ac:dyDescent="0.25">
      <c r="A46" s="24" t="s">
        <v>28</v>
      </c>
      <c r="B46" s="6"/>
      <c r="C46" s="6"/>
      <c r="D46" s="82">
        <f>D29+D41+D42</f>
        <v>0</v>
      </c>
    </row>
    <row r="47" spans="1:7" ht="13.5" thickTop="1" x14ac:dyDescent="0.2"/>
    <row r="48" spans="1:7" ht="20.25" x14ac:dyDescent="0.3">
      <c r="A48" s="84" t="s">
        <v>71</v>
      </c>
      <c r="B48" s="85"/>
      <c r="C48" s="29"/>
      <c r="D48" s="29"/>
      <c r="E48" s="28"/>
      <c r="F48" s="30"/>
      <c r="G48" s="30"/>
    </row>
    <row r="49" spans="1:7" x14ac:dyDescent="0.2">
      <c r="A49" s="28"/>
      <c r="B49" s="31"/>
      <c r="C49" s="31"/>
      <c r="D49" s="31"/>
      <c r="E49" s="28"/>
      <c r="F49" s="32"/>
      <c r="G49" s="31"/>
    </row>
    <row r="50" spans="1:7" x14ac:dyDescent="0.2">
      <c r="A50" s="86" t="s">
        <v>72</v>
      </c>
      <c r="B50" s="33" t="s">
        <v>73</v>
      </c>
      <c r="C50" s="33"/>
      <c r="D50" s="106">
        <v>0</v>
      </c>
      <c r="E50" s="33"/>
      <c r="F50" s="33"/>
      <c r="G50" s="33"/>
    </row>
    <row r="51" spans="1:7" x14ac:dyDescent="0.2">
      <c r="A51" s="35"/>
      <c r="B51" s="33" t="s">
        <v>74</v>
      </c>
      <c r="C51" s="33"/>
      <c r="D51" s="106">
        <v>0</v>
      </c>
      <c r="E51" s="34"/>
      <c r="F51" s="34"/>
      <c r="G51" s="34"/>
    </row>
    <row r="52" spans="1:7" x14ac:dyDescent="0.2">
      <c r="A52" s="35"/>
      <c r="B52" s="33" t="s">
        <v>4</v>
      </c>
      <c r="C52" s="33"/>
      <c r="D52" s="107">
        <f>SUM(D50:D51)</f>
        <v>0</v>
      </c>
      <c r="E52" s="34"/>
      <c r="F52" s="34"/>
      <c r="G52" s="34"/>
    </row>
    <row r="53" spans="1:7" x14ac:dyDescent="0.2">
      <c r="A53" s="35"/>
      <c r="B53" s="33"/>
      <c r="C53" s="33"/>
      <c r="D53" s="108"/>
      <c r="E53" s="34"/>
      <c r="F53" s="34"/>
      <c r="G53" s="34"/>
    </row>
    <row r="54" spans="1:7" x14ac:dyDescent="0.2">
      <c r="A54" s="86" t="s">
        <v>75</v>
      </c>
      <c r="B54" s="33" t="s">
        <v>73</v>
      </c>
      <c r="C54" s="33"/>
      <c r="D54" s="109">
        <v>0</v>
      </c>
      <c r="E54" s="34"/>
      <c r="F54" s="34"/>
      <c r="G54" s="34"/>
    </row>
    <row r="55" spans="1:7" x14ac:dyDescent="0.2">
      <c r="A55" s="86"/>
      <c r="B55" s="33" t="s">
        <v>74</v>
      </c>
      <c r="C55" s="33"/>
      <c r="D55" s="109">
        <v>0</v>
      </c>
      <c r="E55" s="34"/>
      <c r="F55" s="34"/>
      <c r="G55" s="34"/>
    </row>
    <row r="56" spans="1:7" x14ac:dyDescent="0.2">
      <c r="A56" s="86"/>
      <c r="B56" s="33" t="s">
        <v>4</v>
      </c>
      <c r="C56" s="33"/>
      <c r="D56" s="110">
        <f>SUM(D54:D55)</f>
        <v>0</v>
      </c>
      <c r="E56" s="34"/>
      <c r="F56" s="34"/>
      <c r="G56" s="34"/>
    </row>
    <row r="57" spans="1:7" x14ac:dyDescent="0.2">
      <c r="A57" s="87" t="s">
        <v>13</v>
      </c>
      <c r="B57" s="11"/>
      <c r="C57" s="11"/>
      <c r="D57" s="11"/>
      <c r="E57" s="33"/>
      <c r="F57" s="33"/>
      <c r="G57" s="33"/>
    </row>
    <row r="58" spans="1:7" x14ac:dyDescent="0.2">
      <c r="A58" s="35"/>
      <c r="B58" s="35"/>
      <c r="C58" s="36"/>
      <c r="D58" s="93" t="s">
        <v>15</v>
      </c>
      <c r="E58" s="108">
        <f>IF(D56&gt;D52,E185+(E198-E211),E173)</f>
        <v>0</v>
      </c>
    </row>
    <row r="59" spans="1:7" x14ac:dyDescent="0.2">
      <c r="A59" s="8" t="s">
        <v>76</v>
      </c>
      <c r="B59" s="35"/>
      <c r="C59" s="111">
        <f>G141</f>
        <v>75</v>
      </c>
      <c r="D59" s="94" t="s">
        <v>77</v>
      </c>
      <c r="E59" s="108">
        <f>E58*21/100</f>
        <v>0</v>
      </c>
    </row>
    <row r="60" spans="1:7" x14ac:dyDescent="0.2">
      <c r="A60" s="8" t="s">
        <v>78</v>
      </c>
      <c r="B60" s="35"/>
      <c r="C60" s="112">
        <v>0</v>
      </c>
      <c r="D60" s="93"/>
      <c r="E60" s="108"/>
    </row>
    <row r="61" spans="1:7" x14ac:dyDescent="0.2">
      <c r="A61" s="8" t="s">
        <v>79</v>
      </c>
      <c r="B61" s="37">
        <f>(A135+ROUNDDOWN((D50+D51-1)/C136,0)*A136)</f>
        <v>67.31</v>
      </c>
      <c r="C61" s="113"/>
      <c r="D61" s="93"/>
      <c r="E61" s="108"/>
    </row>
    <row r="62" spans="1:7" x14ac:dyDescent="0.2">
      <c r="A62" s="8" t="s">
        <v>80</v>
      </c>
      <c r="B62" s="37">
        <f>(A148+ROUNDDOWN((D54+D55-1)/C149,0)*A149)</f>
        <v>117.11</v>
      </c>
      <c r="C62" s="113"/>
      <c r="D62" s="93"/>
      <c r="E62" s="108"/>
    </row>
    <row r="63" spans="1:7" x14ac:dyDescent="0.2">
      <c r="A63" s="8" t="s">
        <v>81</v>
      </c>
      <c r="B63" s="37">
        <f>IF(D56&gt;D52,(D56-D52)*0.3%,0)</f>
        <v>0</v>
      </c>
      <c r="C63" s="113"/>
      <c r="D63" s="93"/>
      <c r="E63" s="108"/>
    </row>
    <row r="64" spans="1:7" x14ac:dyDescent="0.2">
      <c r="A64" s="8" t="s">
        <v>82</v>
      </c>
      <c r="B64" s="35"/>
      <c r="C64" s="111">
        <f>D156+B63</f>
        <v>220</v>
      </c>
      <c r="D64" s="93"/>
      <c r="E64" s="108"/>
    </row>
    <row r="65" spans="1:5" x14ac:dyDescent="0.2">
      <c r="A65" s="8" t="s">
        <v>83</v>
      </c>
      <c r="B65" s="35"/>
      <c r="C65" s="114">
        <v>0</v>
      </c>
      <c r="D65" s="93"/>
      <c r="E65" s="108"/>
    </row>
    <row r="66" spans="1:5" x14ac:dyDescent="0.2">
      <c r="A66" s="35"/>
      <c r="B66" s="8" t="s">
        <v>77</v>
      </c>
      <c r="C66" s="111">
        <f>C65*21/100</f>
        <v>0</v>
      </c>
      <c r="D66" s="93"/>
      <c r="E66" s="108"/>
    </row>
    <row r="67" spans="1:5" x14ac:dyDescent="0.2">
      <c r="A67" s="8" t="s">
        <v>84</v>
      </c>
      <c r="B67" s="35"/>
      <c r="C67" s="115">
        <v>710</v>
      </c>
      <c r="D67" s="93"/>
      <c r="E67" s="108"/>
    </row>
    <row r="68" spans="1:5" x14ac:dyDescent="0.2">
      <c r="A68" s="35"/>
      <c r="B68" s="8" t="s">
        <v>77</v>
      </c>
      <c r="C68" s="111">
        <f>C67*21/100</f>
        <v>149.1</v>
      </c>
      <c r="D68" s="93"/>
      <c r="E68" s="108"/>
    </row>
    <row r="69" spans="1:5" x14ac:dyDescent="0.2">
      <c r="A69" s="8" t="s">
        <v>85</v>
      </c>
      <c r="B69" s="8"/>
      <c r="C69" s="112">
        <v>0</v>
      </c>
      <c r="D69" s="93"/>
      <c r="E69" s="108"/>
    </row>
    <row r="70" spans="1:5" x14ac:dyDescent="0.2">
      <c r="A70" s="35"/>
      <c r="B70" s="8" t="s">
        <v>77</v>
      </c>
      <c r="C70" s="111">
        <f>C69*21/100</f>
        <v>0</v>
      </c>
      <c r="D70" s="93"/>
      <c r="E70" s="108"/>
    </row>
    <row r="71" spans="1:5" x14ac:dyDescent="0.2">
      <c r="A71" s="35"/>
      <c r="B71" s="35"/>
      <c r="C71" s="111"/>
      <c r="D71" s="93"/>
      <c r="E71" s="108"/>
    </row>
    <row r="72" spans="1:5" x14ac:dyDescent="0.2">
      <c r="A72" s="35"/>
      <c r="B72" s="35" t="s">
        <v>86</v>
      </c>
      <c r="C72" s="116">
        <f>A145</f>
        <v>1004.9999999999999</v>
      </c>
      <c r="D72" s="93" t="s">
        <v>87</v>
      </c>
      <c r="E72" s="108">
        <f>E58</f>
        <v>0</v>
      </c>
    </row>
    <row r="73" spans="1:5" x14ac:dyDescent="0.2">
      <c r="A73" s="35"/>
      <c r="B73" s="35"/>
      <c r="C73" s="35"/>
      <c r="D73" s="93" t="s">
        <v>88</v>
      </c>
      <c r="E73" s="108">
        <f>C72</f>
        <v>1004.9999999999999</v>
      </c>
    </row>
    <row r="74" spans="1:5" x14ac:dyDescent="0.2">
      <c r="A74" s="35"/>
      <c r="B74" s="35"/>
      <c r="C74" s="35"/>
      <c r="D74" s="93" t="s">
        <v>89</v>
      </c>
      <c r="E74" s="108">
        <f>SUM(E72+C72)</f>
        <v>1004.9999999999999</v>
      </c>
    </row>
    <row r="75" spans="1:5" x14ac:dyDescent="0.2">
      <c r="A75" s="34"/>
      <c r="B75" s="34"/>
      <c r="C75" s="34"/>
      <c r="D75" s="95"/>
      <c r="E75" s="113"/>
    </row>
    <row r="76" spans="1:5" x14ac:dyDescent="0.2">
      <c r="A76" s="34"/>
      <c r="B76" s="34"/>
      <c r="C76" s="34"/>
      <c r="D76" s="94" t="s">
        <v>90</v>
      </c>
      <c r="E76" s="113">
        <f>C66+C68+C70+E59</f>
        <v>149.1</v>
      </c>
    </row>
    <row r="77" spans="1:5" ht="13.5" thickBot="1" x14ac:dyDescent="0.25">
      <c r="A77" s="34"/>
      <c r="B77" s="34"/>
      <c r="C77" s="34"/>
      <c r="D77" s="95"/>
      <c r="E77" s="113"/>
    </row>
    <row r="78" spans="1:5" ht="14.25" thickTop="1" thickBot="1" x14ac:dyDescent="0.25">
      <c r="A78" s="34"/>
      <c r="B78" s="34"/>
      <c r="C78" s="34"/>
      <c r="D78" s="94" t="s">
        <v>91</v>
      </c>
      <c r="E78" s="117">
        <f>SUM(E74:E76)</f>
        <v>1154.0999999999999</v>
      </c>
    </row>
    <row r="79" spans="1:5" ht="13.5" thickTop="1" x14ac:dyDescent="0.2"/>
    <row r="81" spans="3:5" x14ac:dyDescent="0.2">
      <c r="C81" s="29" t="s">
        <v>29</v>
      </c>
      <c r="D81" s="29" t="s">
        <v>30</v>
      </c>
    </row>
    <row r="82" spans="3:5" x14ac:dyDescent="0.2">
      <c r="D82" s="22"/>
    </row>
    <row r="83" spans="3:5" x14ac:dyDescent="0.2">
      <c r="C83" s="29" t="s">
        <v>31</v>
      </c>
      <c r="D83" s="29" t="s">
        <v>32</v>
      </c>
    </row>
    <row r="84" spans="3:5" x14ac:dyDescent="0.2">
      <c r="C84" s="38"/>
      <c r="D84" s="38"/>
      <c r="E84" s="38"/>
    </row>
    <row r="85" spans="3:5" x14ac:dyDescent="0.2">
      <c r="C85" s="39" t="s">
        <v>100</v>
      </c>
    </row>
    <row r="86" spans="3:5" ht="13.5" customHeight="1" x14ac:dyDescent="0.2"/>
    <row r="87" spans="3:5" ht="13.5" customHeight="1" x14ac:dyDescent="0.2"/>
    <row r="88" spans="3:5" ht="13.5" customHeight="1" x14ac:dyDescent="0.2"/>
    <row r="89" spans="3:5" ht="13.5" customHeight="1" x14ac:dyDescent="0.2"/>
    <row r="90" spans="3:5" ht="13.5" hidden="1" customHeight="1" x14ac:dyDescent="0.2"/>
    <row r="91" spans="3:5" ht="13.5" hidden="1" customHeight="1" x14ac:dyDescent="0.2"/>
    <row r="92" spans="3:5" ht="13.5" hidden="1" customHeight="1" x14ac:dyDescent="0.2"/>
    <row r="93" spans="3:5" ht="13.5" hidden="1" customHeight="1" x14ac:dyDescent="0.2"/>
    <row r="94" spans="3:5" ht="13.5" hidden="1" customHeight="1" x14ac:dyDescent="0.2"/>
    <row r="95" spans="3:5" ht="13.5" hidden="1" customHeight="1" x14ac:dyDescent="0.2"/>
    <row r="96" spans="3:5" ht="13.5" hidden="1" customHeight="1" x14ac:dyDescent="0.2"/>
    <row r="97" ht="13.5" hidden="1" customHeight="1" x14ac:dyDescent="0.2"/>
    <row r="98" ht="13.5" hidden="1" customHeight="1" x14ac:dyDescent="0.2"/>
    <row r="99" ht="13.5" hidden="1" customHeight="1" x14ac:dyDescent="0.2"/>
    <row r="100" ht="13.5" hidden="1" customHeight="1" x14ac:dyDescent="0.2"/>
    <row r="101" ht="13.5" hidden="1" customHeight="1" x14ac:dyDescent="0.2"/>
    <row r="102" ht="13.5" hidden="1" customHeight="1" x14ac:dyDescent="0.2"/>
    <row r="103" ht="13.5" hidden="1" customHeight="1" x14ac:dyDescent="0.2"/>
    <row r="104" ht="13.5" hidden="1" customHeight="1" x14ac:dyDescent="0.2"/>
    <row r="105" ht="13.5" hidden="1" customHeight="1" x14ac:dyDescent="0.2"/>
    <row r="106" ht="13.5" hidden="1" customHeight="1" x14ac:dyDescent="0.2"/>
    <row r="107" ht="13.5" hidden="1" customHeight="1" x14ac:dyDescent="0.2"/>
    <row r="108" ht="13.5" hidden="1" customHeight="1" x14ac:dyDescent="0.2"/>
    <row r="109" ht="13.5" hidden="1" customHeight="1" x14ac:dyDescent="0.2"/>
    <row r="110" ht="13.5" hidden="1" customHeight="1" x14ac:dyDescent="0.2"/>
    <row r="111" ht="13.5" hidden="1" customHeight="1" x14ac:dyDescent="0.2"/>
    <row r="112" ht="13.5" hidden="1" customHeight="1" x14ac:dyDescent="0.2"/>
    <row r="113" spans="5:8" ht="13.5" hidden="1" customHeight="1" x14ac:dyDescent="0.2"/>
    <row r="114" spans="5:8" ht="13.5" hidden="1" customHeight="1" x14ac:dyDescent="0.2"/>
    <row r="115" spans="5:8" ht="13.5" hidden="1" customHeight="1" x14ac:dyDescent="0.2"/>
    <row r="116" spans="5:8" ht="13.5" hidden="1" customHeight="1" x14ac:dyDescent="0.2"/>
    <row r="117" spans="5:8" ht="13.5" hidden="1" customHeight="1" x14ac:dyDescent="0.2">
      <c r="E117" s="38" t="s">
        <v>110</v>
      </c>
      <c r="F117" s="38" t="s">
        <v>110</v>
      </c>
      <c r="G117" s="38" t="s">
        <v>110</v>
      </c>
      <c r="H117" s="38" t="s">
        <v>110</v>
      </c>
    </row>
    <row r="118" spans="5:8" ht="13.5" hidden="1" customHeight="1" x14ac:dyDescent="0.2">
      <c r="E118" s="38" t="s">
        <v>109</v>
      </c>
      <c r="F118" s="38" t="s">
        <v>109</v>
      </c>
      <c r="G118" s="38" t="s">
        <v>109</v>
      </c>
      <c r="H118" s="38" t="s">
        <v>109</v>
      </c>
    </row>
    <row r="119" spans="5:8" ht="13.5" hidden="1" customHeight="1" x14ac:dyDescent="0.2">
      <c r="E119" s="38"/>
      <c r="F119" s="38"/>
      <c r="G119" s="38"/>
      <c r="H119" s="38"/>
    </row>
    <row r="120" spans="5:8" ht="13.5" hidden="1" customHeight="1" x14ac:dyDescent="0.2">
      <c r="E120" s="38"/>
      <c r="F120" s="38"/>
      <c r="G120" s="38" t="s">
        <v>110</v>
      </c>
      <c r="H120" s="38"/>
    </row>
    <row r="121" spans="5:8" ht="13.5" hidden="1" customHeight="1" x14ac:dyDescent="0.2">
      <c r="E121" s="38">
        <f>IF(C33="koper",D33,0)</f>
        <v>0</v>
      </c>
      <c r="F121" s="38">
        <f>IF(C33="koper",D33*21%,0)</f>
        <v>0</v>
      </c>
      <c r="G121" s="38" t="s">
        <v>109</v>
      </c>
      <c r="H121" s="38"/>
    </row>
    <row r="122" spans="5:8" ht="13.5" hidden="1" customHeight="1" x14ac:dyDescent="0.2">
      <c r="E122" s="38">
        <f>IF(C34="koper",D34,0)</f>
        <v>0</v>
      </c>
      <c r="F122" s="38">
        <f>IF(C35="koper",D35*21%,0)</f>
        <v>0</v>
      </c>
      <c r="G122" s="38"/>
      <c r="H122" s="38"/>
    </row>
    <row r="123" spans="5:8" ht="13.5" hidden="1" customHeight="1" x14ac:dyDescent="0.2">
      <c r="E123" s="38">
        <f>IF(C35="koper",D35,0)</f>
        <v>0</v>
      </c>
      <c r="F123" s="38">
        <f>IF(C36="koper",D36*21%,0)</f>
        <v>0</v>
      </c>
      <c r="G123" s="38"/>
      <c r="H123" s="38"/>
    </row>
    <row r="124" spans="5:8" ht="13.5" hidden="1" customHeight="1" x14ac:dyDescent="0.2">
      <c r="E124" s="38">
        <f>IF(C36="koper",D36,0)</f>
        <v>0</v>
      </c>
      <c r="F124" s="38">
        <f>SUM(F121:F123)</f>
        <v>0</v>
      </c>
      <c r="G124" s="38"/>
      <c r="H124" s="38"/>
    </row>
    <row r="125" spans="5:8" ht="13.5" hidden="1" customHeight="1" x14ac:dyDescent="0.2">
      <c r="E125" s="38">
        <f>SUM(E121:E124)</f>
        <v>0</v>
      </c>
      <c r="F125" s="38"/>
      <c r="G125" s="38"/>
      <c r="H125" s="38"/>
    </row>
    <row r="126" spans="5:8" ht="13.5" hidden="1" customHeight="1" x14ac:dyDescent="0.2">
      <c r="E126" s="38"/>
      <c r="F126" s="38"/>
      <c r="G126" s="38"/>
      <c r="H126" s="38"/>
    </row>
    <row r="127" spans="5:8" ht="13.5" hidden="1" customHeight="1" x14ac:dyDescent="0.2">
      <c r="E127" s="38">
        <f>IF(C33="verkoper",D33,0)</f>
        <v>0</v>
      </c>
      <c r="F127" s="38"/>
      <c r="G127" s="38"/>
      <c r="H127" s="38"/>
    </row>
    <row r="128" spans="5:8" ht="13.5" hidden="1" customHeight="1" x14ac:dyDescent="0.2">
      <c r="E128" s="38">
        <f>IF(C34="verkoper",D34,0)</f>
        <v>0</v>
      </c>
      <c r="F128" s="38">
        <f>IF(C33="verkoper",D33*21%,0)</f>
        <v>0</v>
      </c>
      <c r="G128" s="38"/>
      <c r="H128" s="38"/>
    </row>
    <row r="129" spans="1:23" ht="13.5" hidden="1" customHeight="1" x14ac:dyDescent="0.2">
      <c r="E129" s="38">
        <f>IF(C35="verkoper",D35,0)</f>
        <v>0</v>
      </c>
      <c r="F129" s="38">
        <f>IF(C35="verkoper",D35*21%,0)</f>
        <v>0</v>
      </c>
      <c r="G129" s="38"/>
      <c r="H129" s="38"/>
    </row>
    <row r="130" spans="1:23" ht="13.5" hidden="1" customHeight="1" x14ac:dyDescent="0.2">
      <c r="E130" s="38">
        <f>IF(C36="verkoper",D36,0)</f>
        <v>0</v>
      </c>
      <c r="F130" s="38">
        <f>IF(C36="verkoper",D36*21%,0)</f>
        <v>0</v>
      </c>
      <c r="G130" s="38"/>
      <c r="H130" s="38"/>
    </row>
    <row r="131" spans="1:23" ht="13.5" hidden="1" customHeight="1" x14ac:dyDescent="0.2">
      <c r="E131" s="38">
        <f>SUM(E127:E130)</f>
        <v>0</v>
      </c>
      <c r="F131" s="38">
        <f>SUM(F128:F130)</f>
        <v>0</v>
      </c>
      <c r="G131" s="38"/>
      <c r="H131" s="38"/>
    </row>
    <row r="132" spans="1:23" ht="13.5" hidden="1" customHeight="1" x14ac:dyDescent="0.2"/>
    <row r="133" spans="1:23" ht="13.5" hidden="1" customHeight="1" x14ac:dyDescent="0.2"/>
    <row r="134" spans="1:23" hidden="1" x14ac:dyDescent="0.2">
      <c r="A134" s="40" t="s">
        <v>92</v>
      </c>
      <c r="B134" s="41"/>
      <c r="C134" s="41"/>
      <c r="D134" s="41"/>
      <c r="E134" s="34"/>
      <c r="F134" s="34" t="s">
        <v>93</v>
      </c>
      <c r="G134" s="34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</row>
    <row r="135" spans="1:23" hidden="1" x14ac:dyDescent="0.2">
      <c r="A135" s="42">
        <v>67.31</v>
      </c>
      <c r="B135" s="42" t="s">
        <v>94</v>
      </c>
      <c r="C135" s="42">
        <v>25000</v>
      </c>
      <c r="D135" s="42"/>
      <c r="E135" s="34"/>
      <c r="F135" s="34"/>
      <c r="G135" s="34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</row>
    <row r="136" spans="1:23" hidden="1" x14ac:dyDescent="0.2">
      <c r="A136" s="42">
        <v>23.56</v>
      </c>
      <c r="B136" s="42" t="s">
        <v>95</v>
      </c>
      <c r="C136" s="42">
        <v>25000</v>
      </c>
      <c r="D136" s="42" t="s">
        <v>96</v>
      </c>
      <c r="E136" s="34"/>
      <c r="F136" s="34"/>
      <c r="G136" s="34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</row>
    <row r="137" spans="1:23" hidden="1" x14ac:dyDescent="0.2">
      <c r="A137" s="34"/>
      <c r="B137" s="34"/>
      <c r="C137" s="34"/>
      <c r="D137" s="34"/>
      <c r="E137" s="34"/>
      <c r="F137" s="34"/>
      <c r="G137" s="43">
        <f>D56-D52</f>
        <v>0</v>
      </c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</row>
    <row r="138" spans="1:23" hidden="1" x14ac:dyDescent="0.2">
      <c r="A138" s="34"/>
      <c r="B138" s="34"/>
      <c r="C138" s="34"/>
      <c r="D138" s="34"/>
      <c r="E138" s="34"/>
      <c r="F138" s="34"/>
      <c r="G138" s="34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</row>
    <row r="139" spans="1:23" hidden="1" x14ac:dyDescent="0.2">
      <c r="A139" s="34"/>
      <c r="B139" s="34"/>
      <c r="C139" s="34"/>
      <c r="D139" s="34"/>
      <c r="E139" s="34"/>
      <c r="F139" s="34"/>
      <c r="G139" s="34">
        <f>IF(G137&gt;0,G137*0.01,75)</f>
        <v>75</v>
      </c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</row>
    <row r="140" spans="1:23" hidden="1" x14ac:dyDescent="0.2">
      <c r="A140" s="34" t="s">
        <v>97</v>
      </c>
      <c r="B140" s="34"/>
      <c r="C140" s="34" t="s">
        <v>67</v>
      </c>
      <c r="D140" s="34" t="s">
        <v>98</v>
      </c>
      <c r="E140" s="34"/>
      <c r="F140" s="34"/>
      <c r="G140" s="34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</row>
    <row r="141" spans="1:23" hidden="1" x14ac:dyDescent="0.2">
      <c r="A141" s="34"/>
      <c r="B141" s="34"/>
      <c r="C141" s="43">
        <f>C60</f>
        <v>0</v>
      </c>
      <c r="D141" s="34">
        <f>IF(C60=0,575,550)</f>
        <v>575</v>
      </c>
      <c r="E141" s="34"/>
      <c r="F141" s="34"/>
      <c r="G141" s="34">
        <f>IF(G139&lt;75,75,G139)</f>
        <v>75</v>
      </c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</row>
    <row r="142" spans="1:23" hidden="1" x14ac:dyDescent="0.2">
      <c r="A142" s="34"/>
      <c r="B142" s="34"/>
      <c r="C142" s="34"/>
      <c r="D142" s="34"/>
      <c r="E142" s="34"/>
      <c r="F142" s="34"/>
      <c r="G142" s="34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</row>
    <row r="143" spans="1:23" hidden="1" x14ac:dyDescent="0.2">
      <c r="A143" s="34"/>
      <c r="B143" s="34"/>
      <c r="C143" s="34"/>
      <c r="D143" s="34"/>
      <c r="E143" s="34"/>
      <c r="F143" s="34"/>
      <c r="G143" s="34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  <c r="W143" s="38"/>
    </row>
    <row r="144" spans="1:23" hidden="1" x14ac:dyDescent="0.2">
      <c r="A144" s="34"/>
      <c r="B144" s="34"/>
      <c r="C144" s="34"/>
      <c r="D144" s="34"/>
      <c r="E144" s="34"/>
      <c r="F144" s="34"/>
      <c r="G144" s="34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</row>
    <row r="145" spans="1:23" hidden="1" x14ac:dyDescent="0.2">
      <c r="A145" s="44">
        <f>SUM(C58:C70)-C66-C68-C70</f>
        <v>1004.9999999999999</v>
      </c>
      <c r="B145" s="34"/>
      <c r="C145" s="34"/>
      <c r="D145" s="34"/>
      <c r="E145" s="34"/>
      <c r="F145" s="34"/>
      <c r="G145" s="34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</row>
    <row r="146" spans="1:23" hidden="1" x14ac:dyDescent="0.2">
      <c r="A146" s="34"/>
      <c r="B146" s="34"/>
      <c r="C146" s="34"/>
      <c r="D146" s="34"/>
      <c r="E146" s="34"/>
      <c r="F146" s="34"/>
      <c r="G146" s="34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</row>
    <row r="147" spans="1:23" hidden="1" x14ac:dyDescent="0.2">
      <c r="A147" s="40" t="s">
        <v>99</v>
      </c>
      <c r="B147" s="41"/>
      <c r="C147" s="41"/>
      <c r="D147" s="41"/>
      <c r="E147" s="34"/>
      <c r="F147" s="34"/>
      <c r="G147" s="34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  <c r="V147" s="38"/>
      <c r="W147" s="38"/>
    </row>
    <row r="148" spans="1:23" hidden="1" x14ac:dyDescent="0.2">
      <c r="A148" s="42">
        <v>117.11</v>
      </c>
      <c r="B148" s="42" t="s">
        <v>94</v>
      </c>
      <c r="C148" s="42">
        <v>25000</v>
      </c>
      <c r="D148" s="42"/>
      <c r="E148" s="34"/>
      <c r="F148" s="34"/>
      <c r="G148" s="34"/>
      <c r="H148" s="38"/>
      <c r="I148" s="38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  <c r="V148" s="38"/>
      <c r="W148" s="38"/>
    </row>
    <row r="149" spans="1:23" hidden="1" x14ac:dyDescent="0.2">
      <c r="A149" s="42">
        <v>23.56</v>
      </c>
      <c r="B149" s="42" t="s">
        <v>95</v>
      </c>
      <c r="C149" s="42">
        <v>25000</v>
      </c>
      <c r="D149" s="42" t="s">
        <v>96</v>
      </c>
      <c r="E149" s="34"/>
      <c r="F149" s="34"/>
      <c r="G149" s="34"/>
      <c r="H149" s="38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  <c r="V149" s="38"/>
      <c r="W149" s="38"/>
    </row>
    <row r="150" spans="1:23" hidden="1" x14ac:dyDescent="0.2">
      <c r="A150" s="34"/>
      <c r="B150" s="34"/>
      <c r="C150" s="34"/>
      <c r="D150" s="34"/>
      <c r="E150" s="34"/>
      <c r="F150" s="34"/>
      <c r="G150" s="34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  <c r="W150" s="38"/>
    </row>
    <row r="151" spans="1:23" hidden="1" x14ac:dyDescent="0.2">
      <c r="A151" s="34"/>
      <c r="B151" s="34"/>
      <c r="C151" s="34"/>
      <c r="D151" s="34"/>
      <c r="E151" s="34"/>
      <c r="F151" s="34"/>
      <c r="G151" s="34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8"/>
      <c r="W151" s="38"/>
    </row>
    <row r="152" spans="1:23" hidden="1" x14ac:dyDescent="0.2">
      <c r="A152" s="34"/>
      <c r="B152" s="34"/>
      <c r="C152" s="34"/>
      <c r="D152" s="34"/>
      <c r="E152" s="34"/>
      <c r="F152" s="34"/>
      <c r="G152" s="34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  <c r="V152" s="38"/>
      <c r="W152" s="38"/>
    </row>
    <row r="153" spans="1:23" hidden="1" x14ac:dyDescent="0.2">
      <c r="A153" s="34"/>
      <c r="B153" s="34"/>
      <c r="C153" s="34"/>
      <c r="D153" s="43">
        <f>ROUNDUP(B61+B62,-2)</f>
        <v>200</v>
      </c>
      <c r="E153" s="34"/>
      <c r="F153" s="34"/>
      <c r="G153" s="34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  <c r="V153" s="38"/>
      <c r="W153" s="38"/>
    </row>
    <row r="154" spans="1:23" hidden="1" x14ac:dyDescent="0.2">
      <c r="A154" s="34"/>
      <c r="B154" s="34"/>
      <c r="C154" s="34"/>
      <c r="D154" s="34">
        <f>IF((D153-B61-B62)&gt;90,D153-50,D153)</f>
        <v>200</v>
      </c>
      <c r="E154" s="34"/>
      <c r="F154" s="34"/>
      <c r="G154" s="34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  <c r="W154" s="38"/>
    </row>
    <row r="155" spans="1:23" hidden="1" x14ac:dyDescent="0.2">
      <c r="A155" s="34"/>
      <c r="B155" s="34"/>
      <c r="C155" s="34"/>
      <c r="D155" s="34">
        <f>IF((D154-B61-B62)&lt;30,(B61+B62+30),D154)</f>
        <v>214.42000000000002</v>
      </c>
      <c r="E155" s="34"/>
      <c r="F155" s="34"/>
      <c r="G155" s="34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</row>
    <row r="156" spans="1:23" hidden="1" x14ac:dyDescent="0.2">
      <c r="A156" s="34"/>
      <c r="B156" s="34"/>
      <c r="C156" s="34"/>
      <c r="D156" s="34">
        <f>ROUNDUP(D155,-1)</f>
        <v>220</v>
      </c>
      <c r="E156" s="34"/>
      <c r="F156" s="34"/>
      <c r="G156" s="34"/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  <c r="W156" s="38"/>
    </row>
    <row r="157" spans="1:23" hidden="1" x14ac:dyDescent="0.2">
      <c r="A157" s="34"/>
      <c r="B157" s="34"/>
      <c r="C157" s="34"/>
      <c r="D157" s="34"/>
      <c r="E157" s="34"/>
      <c r="F157" s="34"/>
      <c r="G157" s="34"/>
      <c r="H157" s="38"/>
      <c r="I157" s="38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  <c r="W157" s="38"/>
    </row>
    <row r="158" spans="1:23" hidden="1" x14ac:dyDescent="0.2">
      <c r="A158" s="34"/>
      <c r="B158" s="34"/>
      <c r="C158" s="34"/>
      <c r="D158" s="34"/>
      <c r="E158" s="34"/>
      <c r="F158" s="34"/>
      <c r="G158" s="34"/>
      <c r="H158" s="38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  <c r="W158" s="38"/>
    </row>
    <row r="159" spans="1:23" hidden="1" x14ac:dyDescent="0.2">
      <c r="A159" s="34"/>
      <c r="B159" s="34"/>
      <c r="C159" s="34"/>
      <c r="D159" s="34"/>
      <c r="E159" s="34"/>
      <c r="F159" s="34"/>
      <c r="G159" s="34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</row>
    <row r="160" spans="1:23" hidden="1" x14ac:dyDescent="0.2">
      <c r="A160" s="34"/>
      <c r="B160" s="34"/>
      <c r="C160" s="34"/>
      <c r="D160" s="34"/>
      <c r="E160" s="34"/>
      <c r="F160" s="34"/>
      <c r="G160" s="34"/>
      <c r="H160" s="38"/>
      <c r="I160" s="38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  <c r="W160" s="38"/>
    </row>
    <row r="161" spans="1:23" hidden="1" x14ac:dyDescent="0.2">
      <c r="A161" s="34"/>
      <c r="B161" s="34"/>
      <c r="C161" s="34"/>
      <c r="D161" s="34"/>
      <c r="E161" s="34"/>
      <c r="F161" s="34"/>
      <c r="G161" s="34"/>
      <c r="H161" s="38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  <c r="W161" s="38"/>
    </row>
    <row r="162" spans="1:23" hidden="1" x14ac:dyDescent="0.2">
      <c r="A162" s="34"/>
      <c r="B162" s="34"/>
      <c r="C162" s="34"/>
      <c r="D162" s="34"/>
      <c r="E162" s="34"/>
      <c r="F162" s="34"/>
      <c r="G162" s="34"/>
      <c r="H162" s="38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  <c r="W162" s="38"/>
    </row>
    <row r="163" spans="1:23" ht="15" hidden="1" x14ac:dyDescent="0.25">
      <c r="A163" s="45" t="s">
        <v>4</v>
      </c>
      <c r="B163" s="45"/>
      <c r="C163" s="46">
        <f>D56</f>
        <v>0</v>
      </c>
      <c r="D163" s="47"/>
      <c r="E163" s="48"/>
      <c r="F163" s="34"/>
      <c r="G163" s="34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  <c r="W163" s="38"/>
    </row>
    <row r="164" spans="1:23" ht="15" hidden="1" x14ac:dyDescent="0.25">
      <c r="A164" s="49">
        <v>0</v>
      </c>
      <c r="B164" s="47"/>
      <c r="C164" s="49">
        <v>7500</v>
      </c>
      <c r="D164" s="50">
        <v>8.5500000000000003E-3</v>
      </c>
      <c r="E164" s="50"/>
      <c r="F164" s="49">
        <f>IF(D56&lt;C164,D56*D164,C164*D164)</f>
        <v>0</v>
      </c>
      <c r="G164" s="34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</row>
    <row r="165" spans="1:23" ht="15" hidden="1" x14ac:dyDescent="0.25">
      <c r="A165" s="49">
        <v>7500</v>
      </c>
      <c r="B165" s="47"/>
      <c r="C165" s="49">
        <v>17500</v>
      </c>
      <c r="D165" s="50">
        <v>6.8399999999999997E-3</v>
      </c>
      <c r="E165" s="50"/>
      <c r="F165" s="47" t="str">
        <f>IF(D56&lt;=A165," ",IF(D56&lt;C165,(D56-C164)*D165,(C165-A165)*D165))</f>
        <v xml:space="preserve"> </v>
      </c>
      <c r="G165" s="34"/>
      <c r="H165" s="38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</row>
    <row r="166" spans="1:23" ht="15" hidden="1" x14ac:dyDescent="0.25">
      <c r="A166" s="49">
        <v>17500</v>
      </c>
      <c r="B166" s="47"/>
      <c r="C166" s="49">
        <v>30000</v>
      </c>
      <c r="D166" s="50">
        <v>4.5599999999999998E-3</v>
      </c>
      <c r="E166" s="50"/>
      <c r="F166" s="47" t="str">
        <f>IF(D56&lt;=A166," ",IF(D56&lt;C166,(D56-C165)*D166,(C166-A166)*D166))</f>
        <v xml:space="preserve"> </v>
      </c>
      <c r="G166" s="34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  <c r="W166" s="38"/>
    </row>
    <row r="167" spans="1:23" ht="15" hidden="1" x14ac:dyDescent="0.25">
      <c r="A167" s="49">
        <v>30000</v>
      </c>
      <c r="B167" s="47"/>
      <c r="C167" s="49">
        <v>45495</v>
      </c>
      <c r="D167" s="50">
        <v>3.4199999999999999E-3</v>
      </c>
      <c r="E167" s="50"/>
      <c r="F167" s="47" t="str">
        <f>IF(D56&lt;=A167," ",IF(D56&lt;C167,(D56-C166)*D167,(C167-A167)*D167))</f>
        <v xml:space="preserve"> </v>
      </c>
      <c r="G167" s="34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8"/>
    </row>
    <row r="168" spans="1:23" ht="15" hidden="1" x14ac:dyDescent="0.25">
      <c r="A168" s="49">
        <v>45495</v>
      </c>
      <c r="B168" s="47"/>
      <c r="C168" s="49">
        <v>64095</v>
      </c>
      <c r="D168" s="50">
        <v>2.2799999999999999E-3</v>
      </c>
      <c r="E168" s="50"/>
      <c r="F168" s="47" t="str">
        <f>IF(D56&lt;=A168," ",IF(D56&lt;C168,(D56-C167)*D168,(C168-A168)*D168))</f>
        <v xml:space="preserve"> </v>
      </c>
      <c r="G168" s="34"/>
      <c r="H168" s="38"/>
      <c r="I168" s="38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  <c r="W168" s="38"/>
    </row>
    <row r="169" spans="1:23" ht="15" hidden="1" x14ac:dyDescent="0.25">
      <c r="A169" s="49">
        <v>64095</v>
      </c>
      <c r="B169" s="47"/>
      <c r="C169" s="49">
        <v>250095</v>
      </c>
      <c r="D169" s="50">
        <v>1.14E-3</v>
      </c>
      <c r="E169" s="50"/>
      <c r="F169" s="47" t="str">
        <f>IF(D56&lt;=A169," ",IF(D56&lt;C169,(D56-C168)*D169,(C169-A169)*D169))</f>
        <v xml:space="preserve"> </v>
      </c>
      <c r="G169" s="34"/>
      <c r="H169" s="38"/>
      <c r="I169" s="38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  <c r="W169" s="38"/>
    </row>
    <row r="170" spans="1:23" ht="15" hidden="1" x14ac:dyDescent="0.25">
      <c r="A170" s="49">
        <v>250095</v>
      </c>
      <c r="B170" s="47"/>
      <c r="C170" s="49">
        <f>$D$9</f>
        <v>0</v>
      </c>
      <c r="D170" s="51">
        <v>3.4200000000000002E-4</v>
      </c>
      <c r="E170" s="50"/>
      <c r="F170" s="47" t="str">
        <f>IF(D56&lt;=A170," ",IF(D56&lt;C170,(D56-C169)*D170,(C170-A170)*D170))</f>
        <v xml:space="preserve"> </v>
      </c>
      <c r="G170" s="34"/>
      <c r="H170" s="38"/>
      <c r="I170" s="38"/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  <c r="V170" s="38"/>
      <c r="W170" s="38"/>
    </row>
    <row r="171" spans="1:23" ht="15" hidden="1" x14ac:dyDescent="0.25">
      <c r="A171" s="46">
        <v>10075000</v>
      </c>
      <c r="B171" s="46"/>
      <c r="C171" s="46">
        <f>C163</f>
        <v>0</v>
      </c>
      <c r="D171" s="51">
        <v>4.5600000000000003E-4</v>
      </c>
      <c r="E171" s="46" t="str">
        <f>IF(C163&lt;=A171," E90",IF(C163&lt;C171,(C163-C170)*D171,(C171-A171)*D171))</f>
        <v xml:space="preserve"> E90</v>
      </c>
      <c r="F171" s="34"/>
      <c r="G171" s="34"/>
      <c r="H171" s="38"/>
      <c r="I171" s="38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  <c r="W171" s="38"/>
    </row>
    <row r="172" spans="1:23" ht="15" hidden="1" x14ac:dyDescent="0.25">
      <c r="A172" s="48"/>
      <c r="B172" s="48"/>
      <c r="C172" s="48"/>
      <c r="D172" s="48"/>
      <c r="E172" s="48"/>
      <c r="F172" s="34"/>
      <c r="G172" s="34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  <c r="W172" s="38"/>
    </row>
    <row r="173" spans="1:23" ht="15" hidden="1" x14ac:dyDescent="0.25">
      <c r="A173" s="52" t="s">
        <v>69</v>
      </c>
      <c r="B173" s="52"/>
      <c r="C173" s="48"/>
      <c r="D173" s="48"/>
      <c r="E173" s="53">
        <f>SUM(F164:F171)</f>
        <v>0</v>
      </c>
      <c r="F173" s="34"/>
      <c r="G173" s="34"/>
      <c r="H173" s="38"/>
      <c r="I173" s="38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  <c r="V173" s="38"/>
      <c r="W173" s="38"/>
    </row>
    <row r="174" spans="1:23" ht="15" hidden="1" x14ac:dyDescent="0.25">
      <c r="A174" s="52"/>
      <c r="B174" s="52"/>
      <c r="C174" s="48"/>
      <c r="D174" s="48"/>
      <c r="E174" s="53"/>
      <c r="F174" s="34"/>
      <c r="G174" s="34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</row>
    <row r="175" spans="1:23" ht="15" hidden="1" x14ac:dyDescent="0.25">
      <c r="A175" s="45" t="s">
        <v>4</v>
      </c>
      <c r="B175" s="45"/>
      <c r="C175" s="46">
        <f>D52</f>
        <v>0</v>
      </c>
      <c r="D175" s="47"/>
      <c r="E175" s="48"/>
      <c r="F175" s="34"/>
      <c r="G175" s="34"/>
      <c r="H175" s="38"/>
      <c r="I175" s="38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  <c r="W175" s="38"/>
    </row>
    <row r="176" spans="1:23" ht="15" hidden="1" x14ac:dyDescent="0.25">
      <c r="A176" s="49">
        <v>0</v>
      </c>
      <c r="B176" s="47"/>
      <c r="C176" s="49">
        <v>7500</v>
      </c>
      <c r="D176" s="50">
        <v>8.5500000000000003E-3</v>
      </c>
      <c r="E176" s="50"/>
      <c r="F176" s="49">
        <f>IF(D52&lt;C176,D52*D176,C176*D176)</f>
        <v>0</v>
      </c>
      <c r="G176" s="34"/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  <c r="W176" s="38"/>
    </row>
    <row r="177" spans="1:23" ht="15" hidden="1" x14ac:dyDescent="0.25">
      <c r="A177" s="49">
        <v>7500</v>
      </c>
      <c r="B177" s="47"/>
      <c r="C177" s="49">
        <v>17500</v>
      </c>
      <c r="D177" s="50">
        <v>6.8399999999999997E-3</v>
      </c>
      <c r="E177" s="50"/>
      <c r="F177" s="47" t="str">
        <f>IF(D52&lt;=A177," ",IF(D52&lt;C177,(D52-C176)*D177,(C177-A177)*D177))</f>
        <v xml:space="preserve"> </v>
      </c>
      <c r="G177" s="34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  <c r="W177" s="38"/>
    </row>
    <row r="178" spans="1:23" ht="15" hidden="1" x14ac:dyDescent="0.25">
      <c r="A178" s="49">
        <v>17500</v>
      </c>
      <c r="B178" s="47"/>
      <c r="C178" s="49">
        <v>30000</v>
      </c>
      <c r="D178" s="50">
        <v>4.5599999999999998E-3</v>
      </c>
      <c r="E178" s="50"/>
      <c r="F178" s="47" t="str">
        <f>IF(D52&lt;=A178," ",IF(D52&lt;C178,(D52-C177)*D178,(C178-A178)*D178))</f>
        <v xml:space="preserve"> </v>
      </c>
      <c r="G178" s="34"/>
      <c r="H178" s="38"/>
      <c r="I178" s="38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  <c r="W178" s="38"/>
    </row>
    <row r="179" spans="1:23" ht="15" hidden="1" x14ac:dyDescent="0.25">
      <c r="A179" s="49">
        <v>30000</v>
      </c>
      <c r="B179" s="47"/>
      <c r="C179" s="49">
        <v>45495</v>
      </c>
      <c r="D179" s="50">
        <v>3.4199999999999999E-3</v>
      </c>
      <c r="E179" s="50"/>
      <c r="F179" s="47" t="str">
        <f>IF(D52&lt;=A179," ",IF(D52&lt;C179,(D52-C178)*D179,(C179-A179)*D179))</f>
        <v xml:space="preserve"> </v>
      </c>
      <c r="G179" s="34"/>
      <c r="H179" s="38"/>
      <c r="I179" s="38"/>
      <c r="J179" s="38"/>
      <c r="K179" s="38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8"/>
      <c r="W179" s="38"/>
    </row>
    <row r="180" spans="1:23" ht="15" hidden="1" x14ac:dyDescent="0.25">
      <c r="A180" s="49">
        <v>45495</v>
      </c>
      <c r="B180" s="47"/>
      <c r="C180" s="49">
        <v>64095</v>
      </c>
      <c r="D180" s="50">
        <v>2.2799999999999999E-3</v>
      </c>
      <c r="E180" s="50"/>
      <c r="F180" s="47" t="str">
        <f>IF(D52&lt;=A180," ",IF(D52&lt;C180,(D52-C179)*D180,(C180-A180)*D180))</f>
        <v xml:space="preserve"> </v>
      </c>
      <c r="G180" s="34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  <c r="W180" s="38"/>
    </row>
    <row r="181" spans="1:23" ht="15" hidden="1" x14ac:dyDescent="0.25">
      <c r="A181" s="49">
        <v>64095</v>
      </c>
      <c r="B181" s="47"/>
      <c r="C181" s="49">
        <v>250095</v>
      </c>
      <c r="D181" s="50">
        <v>1.14E-3</v>
      </c>
      <c r="E181" s="50"/>
      <c r="F181" s="47" t="str">
        <f>IF(D52&lt;=A181," ",IF(D52&lt;C181,(D52-C180)*D181,(C181-A181)*D181))</f>
        <v xml:space="preserve"> </v>
      </c>
      <c r="G181" s="34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  <c r="W181" s="38"/>
    </row>
    <row r="182" spans="1:23" ht="15" hidden="1" x14ac:dyDescent="0.25">
      <c r="A182" s="49">
        <v>250095</v>
      </c>
      <c r="B182" s="47"/>
      <c r="C182" s="49">
        <f>$D$9</f>
        <v>0</v>
      </c>
      <c r="D182" s="51">
        <v>3.4200000000000002E-4</v>
      </c>
      <c r="E182" s="50"/>
      <c r="F182" s="47" t="str">
        <f>IF(D52&lt;=A182," ",IF(D52&lt;C182,(D52-C181)*D182,(C182-A182)*D182))</f>
        <v xml:space="preserve"> </v>
      </c>
      <c r="G182" s="34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  <c r="W182" s="38"/>
    </row>
    <row r="183" spans="1:23" ht="15" hidden="1" x14ac:dyDescent="0.25">
      <c r="A183" s="46">
        <v>10075000</v>
      </c>
      <c r="B183" s="46"/>
      <c r="C183" s="46">
        <f>C175</f>
        <v>0</v>
      </c>
      <c r="D183" s="51">
        <v>4.5600000000000003E-4</v>
      </c>
      <c r="E183" s="46" t="str">
        <f>IF(C175&lt;=A183," E90",IF(C175&lt;C183,(C175-C182)*D183,(C183-A183)*D183))</f>
        <v xml:space="preserve"> E90</v>
      </c>
      <c r="F183" s="34"/>
      <c r="G183" s="34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  <c r="W183" s="38"/>
    </row>
    <row r="184" spans="1:23" ht="15" hidden="1" x14ac:dyDescent="0.25">
      <c r="A184" s="48"/>
      <c r="B184" s="48"/>
      <c r="C184" s="48"/>
      <c r="D184" s="48"/>
      <c r="E184" s="48"/>
      <c r="F184" s="34"/>
      <c r="G184" s="34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</row>
    <row r="185" spans="1:23" ht="15" hidden="1" x14ac:dyDescent="0.25">
      <c r="A185" s="52" t="s">
        <v>69</v>
      </c>
      <c r="B185" s="52"/>
      <c r="C185" s="48"/>
      <c r="D185" s="48"/>
      <c r="E185" s="53">
        <f>SUM(F176:F183)</f>
        <v>0</v>
      </c>
      <c r="F185" s="34"/>
      <c r="G185" s="34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</row>
    <row r="186" spans="1:23" hidden="1" x14ac:dyDescent="0.2">
      <c r="A186" s="34"/>
      <c r="B186" s="34"/>
      <c r="C186" s="34"/>
      <c r="D186" s="34"/>
      <c r="E186" s="34"/>
      <c r="F186" s="34"/>
      <c r="G186" s="34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</row>
    <row r="187" spans="1:23" hidden="1" x14ac:dyDescent="0.2">
      <c r="A187" s="34"/>
      <c r="B187" s="34"/>
      <c r="C187" s="34"/>
      <c r="D187" s="34"/>
      <c r="E187" s="34"/>
      <c r="F187" s="34"/>
      <c r="G187" s="34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</row>
    <row r="188" spans="1:23" ht="15" hidden="1" x14ac:dyDescent="0.25">
      <c r="A188" s="45" t="s">
        <v>4</v>
      </c>
      <c r="B188" s="45"/>
      <c r="C188" s="46">
        <f>D56</f>
        <v>0</v>
      </c>
      <c r="D188" s="47"/>
      <c r="E188" s="48"/>
      <c r="F188" s="34"/>
      <c r="G188" s="34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38"/>
    </row>
    <row r="189" spans="1:23" ht="15" hidden="1" x14ac:dyDescent="0.25">
      <c r="A189" s="49">
        <v>0</v>
      </c>
      <c r="B189" s="47"/>
      <c r="C189" s="49">
        <v>7500</v>
      </c>
      <c r="D189" s="50">
        <v>1.7100000000000001E-2</v>
      </c>
      <c r="E189" s="50"/>
      <c r="F189" s="49">
        <f>IF(D56&lt;C189,D56*D189,C189*D189)</f>
        <v>0</v>
      </c>
      <c r="G189" s="34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  <c r="W189" s="38"/>
    </row>
    <row r="190" spans="1:23" ht="15" hidden="1" x14ac:dyDescent="0.25">
      <c r="A190" s="49">
        <v>7500</v>
      </c>
      <c r="B190" s="47"/>
      <c r="C190" s="49">
        <v>17500</v>
      </c>
      <c r="D190" s="50">
        <v>1.3679999999999999E-2</v>
      </c>
      <c r="E190" s="50"/>
      <c r="F190" s="47" t="str">
        <f>IF(D56&lt;=A190," ",IF(D56&lt;C190,(D56-C189)*D190,(C190-A190)*D190))</f>
        <v xml:space="preserve"> </v>
      </c>
      <c r="G190" s="34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  <c r="W190" s="38"/>
    </row>
    <row r="191" spans="1:23" ht="15" hidden="1" x14ac:dyDescent="0.25">
      <c r="A191" s="49">
        <v>17500</v>
      </c>
      <c r="B191" s="47"/>
      <c r="C191" s="49">
        <v>30000</v>
      </c>
      <c r="D191" s="50">
        <v>9.1199999999999996E-3</v>
      </c>
      <c r="E191" s="50"/>
      <c r="F191" s="47" t="str">
        <f>IF(D56&lt;=A191," ",IF(D56&lt;C191,(D56-C190)*D191,(C191-A191)*D191))</f>
        <v xml:space="preserve"> </v>
      </c>
      <c r="G191" s="34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  <c r="W191" s="38"/>
    </row>
    <row r="192" spans="1:23" ht="15" hidden="1" x14ac:dyDescent="0.25">
      <c r="A192" s="49">
        <v>30000</v>
      </c>
      <c r="B192" s="47"/>
      <c r="C192" s="49">
        <v>45495</v>
      </c>
      <c r="D192" s="50">
        <v>6.8399999999999997E-3</v>
      </c>
      <c r="E192" s="50"/>
      <c r="F192" s="47" t="str">
        <f>IF(D56&lt;=A192," ",IF(D56&lt;C192,(D56-C191)*D192,(C192-A192)*D192))</f>
        <v xml:space="preserve"> </v>
      </c>
      <c r="G192" s="34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</row>
    <row r="193" spans="1:23" ht="15" hidden="1" x14ac:dyDescent="0.25">
      <c r="A193" s="49">
        <v>45495</v>
      </c>
      <c r="B193" s="47"/>
      <c r="C193" s="49">
        <v>64095</v>
      </c>
      <c r="D193" s="50">
        <v>4.5599999999999998E-3</v>
      </c>
      <c r="E193" s="50"/>
      <c r="F193" s="47" t="str">
        <f>IF(D56&lt;=A193," ",IF(D56&lt;C193,(D56-C192)*D193,(C193-A193)*D193))</f>
        <v xml:space="preserve"> </v>
      </c>
      <c r="G193" s="34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  <c r="W193" s="38"/>
    </row>
    <row r="194" spans="1:23" ht="15" hidden="1" x14ac:dyDescent="0.25">
      <c r="A194" s="49">
        <v>64095</v>
      </c>
      <c r="B194" s="47"/>
      <c r="C194" s="49">
        <v>250095</v>
      </c>
      <c r="D194" s="50">
        <v>2.2799999999999999E-3</v>
      </c>
      <c r="E194" s="50"/>
      <c r="F194" s="47" t="str">
        <f>IF(D56&lt;=A194," ",IF(D56&lt;C194,(D56-C193)*D194,(C194-A194)*D194))</f>
        <v xml:space="preserve"> </v>
      </c>
      <c r="G194" s="34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  <c r="V194" s="38"/>
      <c r="W194" s="38"/>
    </row>
    <row r="195" spans="1:23" ht="15" hidden="1" x14ac:dyDescent="0.25">
      <c r="A195" s="49">
        <v>250095</v>
      </c>
      <c r="B195" s="47"/>
      <c r="C195" s="49">
        <f>$D$9</f>
        <v>0</v>
      </c>
      <c r="D195" s="51">
        <v>4.5600000000000003E-4</v>
      </c>
      <c r="E195" s="50"/>
      <c r="F195" s="47" t="str">
        <f>IF(D56&lt;=A195," ",IF(D56&lt;C195,(D56-C194)*D195,(C195-A195)*D195))</f>
        <v xml:space="preserve"> </v>
      </c>
      <c r="G195" s="34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  <c r="W195" s="38"/>
    </row>
    <row r="196" spans="1:23" ht="15" hidden="1" x14ac:dyDescent="0.25">
      <c r="A196" s="46">
        <v>10075000</v>
      </c>
      <c r="B196" s="46"/>
      <c r="C196" s="46">
        <f>C188</f>
        <v>0</v>
      </c>
      <c r="D196" s="51">
        <v>4.5600000000000003E-4</v>
      </c>
      <c r="E196" s="46" t="str">
        <f>IF(C188&lt;=A196," E90",IF(C188&lt;C196,(_C178C185)*D196,(C196-A196)*D196))</f>
        <v xml:space="preserve"> E90</v>
      </c>
      <c r="F196" s="34"/>
      <c r="G196" s="34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  <c r="W196" s="38"/>
    </row>
    <row r="197" spans="1:23" ht="15" hidden="1" x14ac:dyDescent="0.25">
      <c r="A197" s="48"/>
      <c r="B197" s="48"/>
      <c r="C197" s="48"/>
      <c r="D197" s="48"/>
      <c r="E197" s="48"/>
      <c r="F197" s="34"/>
      <c r="G197" s="34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  <c r="W197" s="38"/>
    </row>
    <row r="198" spans="1:23" ht="15" hidden="1" x14ac:dyDescent="0.25">
      <c r="A198" s="52" t="s">
        <v>69</v>
      </c>
      <c r="B198" s="52"/>
      <c r="C198" s="48"/>
      <c r="D198" s="48"/>
      <c r="E198" s="53">
        <f>SUM(F189:F196)</f>
        <v>0</v>
      </c>
      <c r="F198" s="34"/>
      <c r="G198" s="34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  <c r="W198" s="38"/>
    </row>
    <row r="199" spans="1:23" hidden="1" x14ac:dyDescent="0.2">
      <c r="A199" s="34"/>
      <c r="B199" s="34"/>
      <c r="C199" s="34"/>
      <c r="D199" s="34"/>
      <c r="E199" s="34"/>
      <c r="F199" s="34"/>
      <c r="G199" s="34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</row>
    <row r="200" spans="1:23" hidden="1" x14ac:dyDescent="0.2">
      <c r="A200" s="34"/>
      <c r="B200" s="34"/>
      <c r="C200" s="34"/>
      <c r="D200" s="34"/>
      <c r="E200" s="34"/>
      <c r="F200" s="34"/>
      <c r="G200" s="34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</row>
    <row r="201" spans="1:23" ht="15" hidden="1" x14ac:dyDescent="0.25">
      <c r="A201" s="45" t="s">
        <v>4</v>
      </c>
      <c r="B201" s="45"/>
      <c r="C201" s="46">
        <f>D52</f>
        <v>0</v>
      </c>
      <c r="D201" s="47"/>
      <c r="E201" s="48"/>
      <c r="F201" s="34"/>
      <c r="G201" s="34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</row>
    <row r="202" spans="1:23" ht="15" hidden="1" x14ac:dyDescent="0.25">
      <c r="A202" s="49">
        <v>0</v>
      </c>
      <c r="B202" s="47"/>
      <c r="C202" s="49">
        <v>7500</v>
      </c>
      <c r="D202" s="50">
        <v>1.7100000000000001E-2</v>
      </c>
      <c r="E202" s="50"/>
      <c r="F202" s="49">
        <f>IF(D52&lt;C202,D52*D202,C202*D202)</f>
        <v>0</v>
      </c>
      <c r="G202" s="34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</row>
    <row r="203" spans="1:23" ht="15" hidden="1" x14ac:dyDescent="0.25">
      <c r="A203" s="49">
        <v>7500</v>
      </c>
      <c r="B203" s="47"/>
      <c r="C203" s="49">
        <v>17500</v>
      </c>
      <c r="D203" s="50">
        <v>1.3679999999999999E-2</v>
      </c>
      <c r="E203" s="50"/>
      <c r="F203" s="47" t="str">
        <f>IF(D52&lt;=A203," ",IF(D52&lt;C203,(D52-C202)*D203,(C203-A203)*D203))</f>
        <v xml:space="preserve"> </v>
      </c>
      <c r="G203" s="34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  <c r="W203" s="38"/>
    </row>
    <row r="204" spans="1:23" ht="15" hidden="1" x14ac:dyDescent="0.25">
      <c r="A204" s="49">
        <v>17500</v>
      </c>
      <c r="B204" s="47"/>
      <c r="C204" s="49">
        <v>30000</v>
      </c>
      <c r="D204" s="50">
        <v>9.1199999999999996E-3</v>
      </c>
      <c r="E204" s="50"/>
      <c r="F204" s="47" t="str">
        <f>IF(D52&lt;=A204," ",IF(D52&lt;C204,(D52-C203)*D204,(C204-A204)*D204))</f>
        <v xml:space="preserve"> </v>
      </c>
      <c r="G204" s="34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  <c r="W204" s="38"/>
    </row>
    <row r="205" spans="1:23" ht="15" hidden="1" x14ac:dyDescent="0.25">
      <c r="A205" s="49">
        <v>30000</v>
      </c>
      <c r="B205" s="47"/>
      <c r="C205" s="49">
        <v>45495</v>
      </c>
      <c r="D205" s="50">
        <v>6.8399999999999997E-3</v>
      </c>
      <c r="E205" s="50"/>
      <c r="F205" s="47" t="str">
        <f>IF(D52&lt;=A205," ",IF(D52&lt;C205,(D52-C204)*D205,(C205-A205)*D205))</f>
        <v xml:space="preserve"> </v>
      </c>
      <c r="G205" s="34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</row>
    <row r="206" spans="1:23" ht="15" hidden="1" x14ac:dyDescent="0.25">
      <c r="A206" s="49">
        <v>45495</v>
      </c>
      <c r="B206" s="47"/>
      <c r="C206" s="49">
        <v>64095</v>
      </c>
      <c r="D206" s="50">
        <v>4.5599999999999998E-3</v>
      </c>
      <c r="E206" s="50"/>
      <c r="F206" s="47" t="str">
        <f>IF(D52&lt;=A206," ",IF(D52&lt;C206,(D52-C205)*D206,(C206-A206)*D206))</f>
        <v xml:space="preserve"> </v>
      </c>
      <c r="G206" s="34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</row>
    <row r="207" spans="1:23" ht="15" hidden="1" x14ac:dyDescent="0.25">
      <c r="A207" s="49">
        <v>64095</v>
      </c>
      <c r="B207" s="47"/>
      <c r="C207" s="49">
        <v>250095</v>
      </c>
      <c r="D207" s="50">
        <v>2.2799999999999999E-3</v>
      </c>
      <c r="E207" s="50"/>
      <c r="F207" s="47" t="str">
        <f>IF(D52&lt;=A207," ",IF(D52&lt;C207,(D52-C206)*D207,(C207-A207)*D207))</f>
        <v xml:space="preserve"> </v>
      </c>
      <c r="G207" s="34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</row>
    <row r="208" spans="1:23" ht="15" hidden="1" x14ac:dyDescent="0.25">
      <c r="A208" s="49">
        <v>250095</v>
      </c>
      <c r="B208" s="47"/>
      <c r="C208" s="49">
        <f>$D$9</f>
        <v>0</v>
      </c>
      <c r="D208" s="51">
        <v>4.5600000000000003E-4</v>
      </c>
      <c r="E208" s="50"/>
      <c r="F208" s="47" t="str">
        <f>IF(D52&lt;=A208," ",IF(D52&lt;C208,(D52-C207)*D208,(C208-A208)*D208))</f>
        <v xml:space="preserve"> </v>
      </c>
      <c r="G208" s="34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38"/>
    </row>
    <row r="209" spans="1:23" ht="15" hidden="1" x14ac:dyDescent="0.25">
      <c r="A209" s="46">
        <v>10075000</v>
      </c>
      <c r="B209" s="46"/>
      <c r="C209" s="46">
        <f>C201</f>
        <v>0</v>
      </c>
      <c r="D209" s="51">
        <v>4.5600000000000003E-4</v>
      </c>
      <c r="E209" s="46" t="str">
        <f>IF(C201&lt;=A209," E90",IF(C201&lt;C209,(C201-C208)*D209,(C209-A209)*D209))</f>
        <v xml:space="preserve"> E90</v>
      </c>
      <c r="F209" s="34"/>
      <c r="G209" s="34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</row>
    <row r="210" spans="1:23" ht="15" hidden="1" x14ac:dyDescent="0.25">
      <c r="A210" s="48"/>
      <c r="B210" s="48"/>
      <c r="C210" s="48"/>
      <c r="D210" s="48"/>
      <c r="E210" s="48"/>
      <c r="F210" s="34"/>
      <c r="G210" s="34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</row>
    <row r="211" spans="1:23" ht="15" hidden="1" x14ac:dyDescent="0.25">
      <c r="A211" s="52" t="s">
        <v>69</v>
      </c>
      <c r="B211" s="52"/>
      <c r="C211" s="48"/>
      <c r="D211" s="48"/>
      <c r="E211" s="53">
        <f>SUM(F202:F209)</f>
        <v>0</v>
      </c>
      <c r="F211" s="34"/>
      <c r="G211" s="34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38"/>
      <c r="W211" s="38"/>
    </row>
    <row r="212" spans="1:23" hidden="1" x14ac:dyDescent="0.2">
      <c r="B212" s="38"/>
      <c r="C212" s="38"/>
      <c r="D212" s="38"/>
      <c r="E212" s="38"/>
      <c r="F212" s="38"/>
      <c r="G212" s="38"/>
      <c r="H212" s="38"/>
      <c r="I212" s="38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  <c r="V212" s="38"/>
      <c r="W212" s="38"/>
    </row>
    <row r="213" spans="1:23" hidden="1" x14ac:dyDescent="0.2">
      <c r="B213" s="38"/>
      <c r="C213" s="38"/>
      <c r="D213" s="38"/>
      <c r="E213" s="38"/>
      <c r="F213" s="38"/>
      <c r="G213" s="38"/>
      <c r="H213" s="38"/>
      <c r="I213" s="38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38"/>
      <c r="W213" s="38"/>
    </row>
    <row r="214" spans="1:23" hidden="1" x14ac:dyDescent="0.2">
      <c r="B214" s="38"/>
      <c r="C214" s="38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  <c r="V214" s="38"/>
      <c r="W214" s="38"/>
    </row>
    <row r="215" spans="1:23" hidden="1" x14ac:dyDescent="0.2">
      <c r="B215" s="38"/>
      <c r="C215" s="38"/>
      <c r="D215" s="38"/>
      <c r="E215" s="38"/>
      <c r="F215" s="38"/>
      <c r="G215" s="38"/>
      <c r="H215" s="38"/>
      <c r="I215" s="38"/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  <c r="V215" s="38"/>
      <c r="W215" s="38"/>
    </row>
    <row r="216" spans="1:23" hidden="1" x14ac:dyDescent="0.2">
      <c r="B216" s="38"/>
      <c r="C216" s="38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  <c r="V216" s="38"/>
      <c r="W216" s="38"/>
    </row>
    <row r="217" spans="1:23" hidden="1" x14ac:dyDescent="0.2">
      <c r="B217" s="38"/>
      <c r="C217" s="38"/>
      <c r="D217" s="38"/>
      <c r="E217" s="38"/>
      <c r="F217" s="38"/>
      <c r="G217" s="38"/>
      <c r="H217" s="38"/>
      <c r="I217" s="38"/>
      <c r="J217" s="38"/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  <c r="V217" s="38"/>
      <c r="W217" s="38"/>
    </row>
    <row r="218" spans="1:23" hidden="1" x14ac:dyDescent="0.2">
      <c r="B218" s="38"/>
      <c r="C218" s="38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  <c r="V218" s="38"/>
      <c r="W218" s="38"/>
    </row>
    <row r="219" spans="1:23" hidden="1" x14ac:dyDescent="0.2"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</row>
    <row r="220" spans="1:23" hidden="1" x14ac:dyDescent="0.2">
      <c r="B220" s="38"/>
      <c r="C220" s="38"/>
      <c r="D220" s="38"/>
      <c r="E220" s="38"/>
      <c r="F220" s="38"/>
      <c r="G220" s="38"/>
      <c r="H220" s="38"/>
      <c r="I220" s="38"/>
      <c r="J220" s="38"/>
      <c r="K220" s="38"/>
      <c r="L220" s="38"/>
      <c r="M220" s="38"/>
      <c r="N220" s="38"/>
      <c r="O220" s="38"/>
      <c r="P220" s="38"/>
      <c r="Q220" s="38"/>
      <c r="R220" s="38"/>
      <c r="S220" s="38"/>
      <c r="T220" s="38"/>
      <c r="U220" s="38"/>
      <c r="V220" s="38"/>
      <c r="W220" s="38"/>
    </row>
    <row r="221" spans="1:23" hidden="1" x14ac:dyDescent="0.2">
      <c r="B221" s="38"/>
      <c r="C221" s="38"/>
      <c r="D221" s="38"/>
      <c r="E221" s="38"/>
      <c r="F221" s="38"/>
      <c r="G221" s="38"/>
      <c r="H221" s="38"/>
      <c r="I221" s="38"/>
      <c r="J221" s="38"/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  <c r="V221" s="38"/>
      <c r="W221" s="38"/>
    </row>
    <row r="222" spans="1:23" hidden="1" x14ac:dyDescent="0.2">
      <c r="B222" s="38"/>
      <c r="C222" s="38"/>
      <c r="D222" s="38"/>
      <c r="E222" s="38"/>
      <c r="F222" s="38"/>
      <c r="G222" s="38"/>
      <c r="H222" s="38"/>
      <c r="I222" s="38"/>
      <c r="J222" s="38"/>
      <c r="K222" s="38"/>
      <c r="L222" s="38"/>
      <c r="M222" s="38"/>
      <c r="N222" s="38"/>
      <c r="O222" s="38"/>
      <c r="P222" s="38"/>
      <c r="Q222" s="38"/>
      <c r="R222" s="38"/>
      <c r="S222" s="38"/>
      <c r="T222" s="38"/>
      <c r="U222" s="38"/>
      <c r="V222" s="38"/>
      <c r="W222" s="38"/>
    </row>
    <row r="223" spans="1:23" hidden="1" x14ac:dyDescent="0.2">
      <c r="B223" s="38"/>
      <c r="C223" s="38"/>
      <c r="D223" s="38"/>
      <c r="E223" s="38"/>
      <c r="F223" s="38"/>
      <c r="G223" s="38"/>
      <c r="H223" s="38"/>
      <c r="I223" s="38"/>
      <c r="J223" s="38"/>
      <c r="K223" s="38"/>
      <c r="L223" s="38"/>
      <c r="M223" s="38"/>
      <c r="N223" s="38"/>
      <c r="O223" s="38"/>
      <c r="P223" s="38"/>
      <c r="Q223" s="38"/>
      <c r="R223" s="38"/>
      <c r="S223" s="38"/>
      <c r="T223" s="38"/>
      <c r="U223" s="38"/>
      <c r="V223" s="38"/>
      <c r="W223" s="38"/>
    </row>
    <row r="224" spans="1:23" hidden="1" x14ac:dyDescent="0.2">
      <c r="B224" s="38"/>
      <c r="C224" s="38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38"/>
      <c r="O224" s="38"/>
      <c r="P224" s="38"/>
      <c r="Q224" s="38"/>
      <c r="R224" s="38"/>
      <c r="S224" s="38"/>
      <c r="T224" s="38"/>
      <c r="U224" s="38"/>
      <c r="V224" s="38"/>
      <c r="W224" s="38"/>
    </row>
    <row r="225" spans="1:23" hidden="1" x14ac:dyDescent="0.2">
      <c r="A225" s="2" t="s">
        <v>33</v>
      </c>
      <c r="B225" s="38"/>
      <c r="C225" s="38" t="s">
        <v>7</v>
      </c>
      <c r="D225" s="38" t="s">
        <v>7</v>
      </c>
      <c r="E225" s="38" t="s">
        <v>7</v>
      </c>
      <c r="F225" s="38"/>
      <c r="G225" s="38"/>
      <c r="H225" s="38"/>
      <c r="I225" s="38"/>
      <c r="J225" s="38"/>
      <c r="K225" s="38"/>
      <c r="L225" s="38"/>
      <c r="M225" s="38"/>
      <c r="N225" s="38"/>
      <c r="O225" s="38"/>
      <c r="P225" s="38"/>
      <c r="Q225" s="38"/>
      <c r="R225" s="38"/>
      <c r="S225" s="38"/>
      <c r="T225" s="38"/>
      <c r="U225" s="38"/>
      <c r="V225" s="38"/>
      <c r="W225" s="38"/>
    </row>
    <row r="226" spans="1:23" ht="15.75" hidden="1" x14ac:dyDescent="0.25">
      <c r="A226" s="54" t="s">
        <v>9</v>
      </c>
      <c r="B226" s="54"/>
      <c r="C226" s="38" t="s">
        <v>11</v>
      </c>
      <c r="D226" s="38" t="s">
        <v>11</v>
      </c>
      <c r="E226" s="38" t="s">
        <v>11</v>
      </c>
      <c r="F226" s="38"/>
      <c r="G226" s="38"/>
      <c r="H226" s="38"/>
      <c r="I226" s="38"/>
      <c r="J226" s="38"/>
      <c r="K226" s="38"/>
      <c r="L226" s="38"/>
      <c r="M226" s="38"/>
      <c r="N226" s="38"/>
      <c r="O226" s="38"/>
      <c r="P226" s="38"/>
      <c r="Q226" s="38"/>
      <c r="R226" s="38"/>
      <c r="S226" s="38"/>
      <c r="T226" s="38"/>
      <c r="U226" s="38"/>
      <c r="V226" s="38"/>
      <c r="W226" s="38"/>
    </row>
    <row r="227" spans="1:23" ht="15.75" hidden="1" x14ac:dyDescent="0.25">
      <c r="A227" s="54" t="s">
        <v>34</v>
      </c>
      <c r="B227" s="54"/>
      <c r="C227" s="38"/>
      <c r="D227" s="38"/>
      <c r="E227" s="38"/>
      <c r="F227" s="38"/>
      <c r="G227" s="38"/>
      <c r="H227" s="38"/>
      <c r="I227" s="38"/>
      <c r="J227" s="38"/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  <c r="V227" s="38"/>
      <c r="W227" s="38"/>
    </row>
    <row r="228" spans="1:23" ht="15.75" hidden="1" x14ac:dyDescent="0.25">
      <c r="A228" s="54" t="s">
        <v>35</v>
      </c>
      <c r="B228" s="54"/>
      <c r="C228" s="55">
        <f>B7*12.5/100</f>
        <v>0</v>
      </c>
      <c r="D228" s="56"/>
      <c r="E228" s="56"/>
      <c r="F228" s="56"/>
      <c r="G228" s="56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  <c r="V228" s="38"/>
      <c r="W228" s="38"/>
    </row>
    <row r="229" spans="1:23" ht="15.75" hidden="1" x14ac:dyDescent="0.25">
      <c r="A229" s="54" t="s">
        <v>36</v>
      </c>
      <c r="B229" s="54"/>
      <c r="C229" s="56">
        <f>B7*10%</f>
        <v>0</v>
      </c>
      <c r="D229" s="56"/>
      <c r="E229" s="56"/>
      <c r="F229" s="56"/>
      <c r="G229" s="56"/>
      <c r="H229" s="38"/>
      <c r="I229" s="38"/>
      <c r="J229" s="38"/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  <c r="V229" s="38"/>
      <c r="W229" s="38"/>
    </row>
    <row r="230" spans="1:23" ht="15.75" hidden="1" x14ac:dyDescent="0.25">
      <c r="A230" s="54" t="s">
        <v>37</v>
      </c>
      <c r="B230" s="54"/>
      <c r="C230" s="57">
        <f>IF(B7&gt;150000,9000+(B7-150000)*12.5%,B7*6%)</f>
        <v>0</v>
      </c>
      <c r="D230" s="57">
        <f>IF(B7&gt;160000,9600+(B7-160000)*12.5%,B7*6%)</f>
        <v>0</v>
      </c>
      <c r="E230" s="56"/>
      <c r="F230" s="56">
        <f>IF(AND(C9="ja",C10="NVT",C11="ja"),C231,0)</f>
        <v>0</v>
      </c>
      <c r="G230" s="56"/>
      <c r="H230" s="38"/>
      <c r="I230" s="38"/>
      <c r="J230" s="38"/>
      <c r="K230" s="38"/>
      <c r="L230" s="38"/>
      <c r="M230" s="38"/>
      <c r="N230" s="38"/>
      <c r="O230" s="38"/>
      <c r="P230" s="38"/>
      <c r="Q230" s="38"/>
      <c r="R230" s="38"/>
      <c r="S230" s="38"/>
      <c r="T230" s="38"/>
      <c r="U230" s="38"/>
      <c r="V230" s="38"/>
      <c r="W230" s="38"/>
    </row>
    <row r="231" spans="1:23" ht="15.75" hidden="1" x14ac:dyDescent="0.25">
      <c r="A231" s="54" t="s">
        <v>38</v>
      </c>
      <c r="B231" s="54"/>
      <c r="C231" s="57">
        <f>IF(B7&gt;150000,7500+(B7-150000)*10%,B7*5%)</f>
        <v>0</v>
      </c>
      <c r="D231" s="57">
        <f>IF(B7&gt;160000,8000+(B7-160000)*10%,B7*5%)</f>
        <v>0</v>
      </c>
      <c r="E231" s="56"/>
      <c r="F231" s="56">
        <f>IF(AND(C9="ja",C10="NVT",C11="neen"),C230,0)</f>
        <v>0</v>
      </c>
      <c r="G231" s="56"/>
      <c r="H231" s="38"/>
      <c r="I231" s="38"/>
      <c r="J231" s="38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  <c r="V231" s="38"/>
      <c r="W231" s="38"/>
    </row>
    <row r="232" spans="1:23" ht="15.75" hidden="1" x14ac:dyDescent="0.25">
      <c r="A232" s="54" t="s">
        <v>39</v>
      </c>
      <c r="B232" s="54"/>
      <c r="C232" s="56"/>
      <c r="D232" s="56"/>
      <c r="E232" s="56"/>
      <c r="F232" s="56">
        <f>IF(AND(C9="neen",C11="ja"),C229,0)</f>
        <v>0</v>
      </c>
      <c r="G232" s="56"/>
      <c r="H232" s="38"/>
      <c r="I232" s="38"/>
      <c r="J232" s="38"/>
      <c r="K232" s="38"/>
      <c r="L232" s="38"/>
      <c r="M232" s="38"/>
      <c r="N232" s="38"/>
      <c r="O232" s="38"/>
      <c r="P232" s="38"/>
      <c r="Q232" s="38"/>
      <c r="R232" s="38"/>
      <c r="S232" s="38"/>
      <c r="T232" s="38"/>
      <c r="U232" s="38"/>
      <c r="V232" s="38"/>
      <c r="W232" s="38"/>
    </row>
    <row r="233" spans="1:23" ht="15.75" hidden="1" x14ac:dyDescent="0.25">
      <c r="A233" s="54" t="s">
        <v>40</v>
      </c>
      <c r="B233" s="54"/>
      <c r="C233" s="56"/>
      <c r="D233" s="56"/>
      <c r="E233" s="56"/>
      <c r="F233" s="56">
        <f>IF(AND(C9="neen",C11="neen"),C228,0)</f>
        <v>0</v>
      </c>
      <c r="G233" s="56"/>
      <c r="H233" s="38"/>
      <c r="I233" s="38"/>
      <c r="J233" s="38"/>
      <c r="K233" s="38"/>
      <c r="L233" s="38"/>
      <c r="M233" s="38"/>
      <c r="N233" s="38"/>
      <c r="O233" s="38"/>
      <c r="P233" s="38"/>
      <c r="Q233" s="38"/>
      <c r="R233" s="38"/>
      <c r="S233" s="38"/>
      <c r="T233" s="38"/>
      <c r="U233" s="38"/>
      <c r="V233" s="38"/>
      <c r="W233" s="38"/>
    </row>
    <row r="234" spans="1:23" ht="15.75" hidden="1" x14ac:dyDescent="0.25">
      <c r="A234" s="54" t="s">
        <v>41</v>
      </c>
      <c r="B234" s="54"/>
      <c r="C234" s="56"/>
      <c r="D234" s="56"/>
      <c r="E234" s="56"/>
      <c r="F234" s="56">
        <f>IF(AND(C9="ja",C10&lt;&gt;"NVT",C11="ja"),D231,0)</f>
        <v>0</v>
      </c>
      <c r="G234" s="56"/>
      <c r="H234" s="38"/>
      <c r="I234" s="38"/>
      <c r="J234" s="38"/>
      <c r="K234" s="38"/>
      <c r="L234" s="38"/>
      <c r="M234" s="38"/>
      <c r="N234" s="38"/>
      <c r="O234" s="38"/>
      <c r="P234" s="38"/>
      <c r="Q234" s="38"/>
      <c r="R234" s="38"/>
      <c r="S234" s="38"/>
      <c r="T234" s="38"/>
      <c r="U234" s="38"/>
      <c r="V234" s="38"/>
      <c r="W234" s="38"/>
    </row>
    <row r="235" spans="1:23" ht="15.75" hidden="1" x14ac:dyDescent="0.25">
      <c r="A235" s="54" t="s">
        <v>102</v>
      </c>
      <c r="B235" s="54"/>
      <c r="C235" s="56"/>
      <c r="D235" s="56"/>
      <c r="E235" s="56"/>
      <c r="F235" s="56">
        <f>IF(AND(C9="ja",C10&lt;&gt;"NVT",C11="neen"),D230,0)</f>
        <v>0</v>
      </c>
      <c r="G235" s="56"/>
      <c r="H235" s="38"/>
      <c r="I235" s="38"/>
      <c r="J235" s="38"/>
      <c r="K235" s="38"/>
      <c r="L235" s="38"/>
      <c r="M235" s="38"/>
      <c r="N235" s="38"/>
      <c r="O235" s="38"/>
      <c r="P235" s="38"/>
      <c r="Q235" s="38"/>
      <c r="R235" s="38"/>
      <c r="S235" s="38"/>
      <c r="T235" s="38"/>
      <c r="U235" s="38"/>
      <c r="V235" s="38"/>
      <c r="W235" s="38"/>
    </row>
    <row r="236" spans="1:23" ht="15.75" hidden="1" x14ac:dyDescent="0.25">
      <c r="A236" s="54" t="s">
        <v>42</v>
      </c>
      <c r="B236" s="54"/>
      <c r="C236" s="56"/>
      <c r="D236" s="56"/>
      <c r="E236" s="56"/>
      <c r="F236" s="56"/>
      <c r="G236" s="56"/>
      <c r="H236" s="38"/>
      <c r="I236" s="38"/>
      <c r="J236" s="38"/>
      <c r="K236" s="38"/>
      <c r="L236" s="38"/>
      <c r="M236" s="38"/>
      <c r="N236" s="38"/>
      <c r="O236" s="38"/>
      <c r="P236" s="38"/>
      <c r="Q236" s="38"/>
      <c r="R236" s="38"/>
      <c r="S236" s="38"/>
      <c r="T236" s="38"/>
      <c r="U236" s="38"/>
      <c r="V236" s="38"/>
      <c r="W236" s="38"/>
    </row>
    <row r="237" spans="1:23" ht="15.75" hidden="1" x14ac:dyDescent="0.25">
      <c r="A237" s="54" t="s">
        <v>43</v>
      </c>
      <c r="B237" s="54"/>
      <c r="C237" s="56"/>
      <c r="D237" s="56"/>
      <c r="E237" s="56"/>
      <c r="F237" s="56">
        <f>SUM(F230:F236)</f>
        <v>0</v>
      </c>
      <c r="G237" s="56"/>
      <c r="H237" s="38"/>
      <c r="I237" s="38"/>
      <c r="J237" s="38"/>
      <c r="K237" s="38"/>
      <c r="L237" s="38"/>
      <c r="M237" s="38"/>
      <c r="N237" s="38"/>
      <c r="O237" s="38"/>
      <c r="P237" s="38"/>
      <c r="Q237" s="38"/>
      <c r="R237" s="38"/>
      <c r="S237" s="38"/>
      <c r="T237" s="38"/>
      <c r="U237" s="38"/>
      <c r="V237" s="38"/>
      <c r="W237" s="38"/>
    </row>
    <row r="238" spans="1:23" ht="15.75" hidden="1" x14ac:dyDescent="0.25">
      <c r="A238" s="54" t="s">
        <v>44</v>
      </c>
      <c r="B238" s="54"/>
      <c r="C238" s="38"/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8"/>
      <c r="T238" s="38"/>
      <c r="U238" s="38"/>
      <c r="V238" s="38"/>
      <c r="W238" s="38"/>
    </row>
    <row r="239" spans="1:23" ht="15.75" hidden="1" x14ac:dyDescent="0.25">
      <c r="A239" s="54" t="s">
        <v>103</v>
      </c>
      <c r="B239" s="54"/>
      <c r="C239" s="38"/>
      <c r="D239" s="38"/>
      <c r="E239" s="38"/>
      <c r="F239" s="38"/>
      <c r="G239" s="38"/>
      <c r="H239" s="38"/>
      <c r="I239" s="38"/>
      <c r="J239" s="38"/>
      <c r="K239" s="38"/>
      <c r="L239" s="38"/>
      <c r="M239" s="38"/>
      <c r="N239" s="38"/>
      <c r="O239" s="38"/>
      <c r="P239" s="38"/>
      <c r="Q239" s="38"/>
      <c r="R239" s="38"/>
      <c r="S239" s="38"/>
      <c r="T239" s="38"/>
      <c r="U239" s="38"/>
      <c r="V239" s="38"/>
      <c r="W239" s="38"/>
    </row>
    <row r="240" spans="1:23" ht="15.75" hidden="1" x14ac:dyDescent="0.25">
      <c r="A240" s="54" t="s">
        <v>45</v>
      </c>
      <c r="B240" s="54"/>
      <c r="C240" s="38"/>
      <c r="D240" s="38"/>
      <c r="E240" s="38"/>
      <c r="F240" s="38"/>
      <c r="G240" s="38"/>
      <c r="H240" s="38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38"/>
      <c r="T240" s="38"/>
      <c r="U240" s="38"/>
      <c r="V240" s="38"/>
      <c r="W240" s="38"/>
    </row>
    <row r="241" spans="1:39" ht="15.75" hidden="1" x14ac:dyDescent="0.25">
      <c r="A241" s="54" t="s">
        <v>46</v>
      </c>
      <c r="B241" s="54"/>
      <c r="C241" s="38"/>
      <c r="D241" s="38"/>
      <c r="E241" s="38"/>
      <c r="F241" s="38"/>
      <c r="G241" s="38"/>
      <c r="H241" s="38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38"/>
      <c r="T241" s="38"/>
      <c r="U241" s="38"/>
      <c r="V241" s="38"/>
      <c r="W241" s="38"/>
    </row>
    <row r="242" spans="1:39" ht="15.75" hidden="1" x14ac:dyDescent="0.25">
      <c r="A242" s="54" t="s">
        <v>47</v>
      </c>
      <c r="B242" s="54"/>
      <c r="C242" s="38"/>
      <c r="D242" s="38"/>
      <c r="E242" s="38"/>
      <c r="F242" s="38"/>
      <c r="G242" s="38"/>
      <c r="H242" s="38"/>
      <c r="I242" s="38"/>
      <c r="J242" s="38"/>
      <c r="K242" s="38"/>
      <c r="L242" s="38"/>
      <c r="M242" s="38"/>
      <c r="N242" s="38"/>
      <c r="O242" s="38"/>
      <c r="P242" s="38"/>
      <c r="Q242" s="38"/>
      <c r="R242" s="38"/>
      <c r="S242" s="38"/>
      <c r="T242" s="38"/>
      <c r="U242" s="38"/>
      <c r="V242" s="38"/>
      <c r="W242" s="38"/>
    </row>
    <row r="243" spans="1:39" ht="15.75" hidden="1" x14ac:dyDescent="0.25">
      <c r="A243" s="54" t="s">
        <v>48</v>
      </c>
      <c r="B243" s="38"/>
      <c r="C243" s="38"/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8"/>
      <c r="T243" s="38"/>
      <c r="U243" s="38"/>
      <c r="V243" s="38"/>
      <c r="W243" s="38"/>
    </row>
    <row r="244" spans="1:39" ht="15.75" hidden="1" x14ac:dyDescent="0.25">
      <c r="A244" s="54" t="s">
        <v>49</v>
      </c>
      <c r="B244" s="38"/>
      <c r="C244" s="38"/>
      <c r="D244" s="38"/>
      <c r="E244" s="38"/>
      <c r="F244" s="38"/>
      <c r="G244" s="38"/>
      <c r="H244" s="38"/>
      <c r="I244" s="38"/>
      <c r="J244" s="38"/>
      <c r="K244" s="38"/>
      <c r="L244" s="38"/>
      <c r="M244" s="38"/>
      <c r="N244" s="38"/>
      <c r="O244" s="38"/>
      <c r="P244" s="38"/>
      <c r="Q244" s="38"/>
      <c r="R244" s="38"/>
      <c r="S244" s="38"/>
      <c r="T244" s="38"/>
      <c r="U244" s="38"/>
      <c r="V244" s="38"/>
      <c r="W244" s="38"/>
    </row>
    <row r="245" spans="1:39" ht="15.75" hidden="1" x14ac:dyDescent="0.25">
      <c r="A245" s="54" t="s">
        <v>50</v>
      </c>
      <c r="B245" s="38"/>
      <c r="C245" s="38"/>
      <c r="D245" s="38"/>
      <c r="E245" s="38"/>
      <c r="F245" s="38"/>
      <c r="G245" s="38"/>
      <c r="H245" s="38"/>
      <c r="I245" s="38"/>
      <c r="J245" s="38"/>
      <c r="K245" s="38"/>
      <c r="L245" s="38"/>
      <c r="M245" s="38"/>
      <c r="N245" s="38"/>
      <c r="O245" s="38"/>
      <c r="P245" s="38"/>
      <c r="Q245" s="38"/>
      <c r="R245" s="38"/>
      <c r="S245" s="38"/>
      <c r="T245" s="38"/>
      <c r="U245" s="38"/>
      <c r="V245" s="38"/>
      <c r="W245" s="38"/>
    </row>
    <row r="246" spans="1:39" ht="15.75" hidden="1" x14ac:dyDescent="0.25">
      <c r="A246" s="54" t="s">
        <v>51</v>
      </c>
      <c r="B246" s="38"/>
      <c r="C246" s="38"/>
      <c r="D246" s="38"/>
      <c r="E246" s="38"/>
      <c r="F246" s="38"/>
      <c r="G246" s="38"/>
      <c r="H246" s="38"/>
      <c r="I246" s="38"/>
      <c r="J246" s="38"/>
      <c r="K246" s="38"/>
      <c r="L246" s="38"/>
      <c r="M246" s="38"/>
      <c r="N246" s="38"/>
      <c r="O246" s="38"/>
      <c r="P246" s="38"/>
      <c r="Q246" s="38"/>
      <c r="R246" s="38"/>
      <c r="S246" s="38"/>
      <c r="T246" s="38"/>
      <c r="U246" s="38"/>
      <c r="V246" s="38"/>
      <c r="W246" s="38"/>
    </row>
    <row r="247" spans="1:39" ht="15.75" hidden="1" x14ac:dyDescent="0.25">
      <c r="A247" s="54" t="s">
        <v>52</v>
      </c>
      <c r="B247" s="38"/>
      <c r="C247" s="38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P247" s="38"/>
      <c r="Q247" s="38"/>
      <c r="R247" s="38"/>
      <c r="S247" s="38"/>
      <c r="T247" s="38"/>
      <c r="U247" s="38"/>
      <c r="V247" s="38"/>
      <c r="W247" s="38"/>
    </row>
    <row r="248" spans="1:39" ht="15.75" hidden="1" x14ac:dyDescent="0.25">
      <c r="A248" s="54" t="s">
        <v>53</v>
      </c>
      <c r="B248" s="38"/>
      <c r="C248" s="38"/>
      <c r="D248" s="38"/>
      <c r="E248" s="38"/>
      <c r="F248" s="38"/>
      <c r="G248" s="38"/>
      <c r="H248" s="38"/>
      <c r="I248" s="38"/>
      <c r="J248" s="38"/>
      <c r="K248" s="38"/>
      <c r="L248" s="38"/>
      <c r="M248" s="38"/>
      <c r="N248" s="38"/>
      <c r="O248" s="38"/>
      <c r="P248" s="38"/>
      <c r="Q248" s="38"/>
      <c r="R248" s="38"/>
      <c r="S248" s="38"/>
      <c r="T248" s="38"/>
      <c r="U248" s="38"/>
      <c r="V248" s="38"/>
      <c r="W248" s="38"/>
    </row>
    <row r="249" spans="1:39" ht="15.75" hidden="1" x14ac:dyDescent="0.25">
      <c r="A249" s="54" t="s">
        <v>54</v>
      </c>
      <c r="B249" s="38"/>
      <c r="C249" s="38"/>
      <c r="D249" s="38"/>
      <c r="E249" s="38"/>
      <c r="F249" s="38"/>
      <c r="G249" s="38"/>
      <c r="H249" s="38"/>
      <c r="I249" s="38"/>
      <c r="J249" s="38"/>
      <c r="K249" s="38"/>
      <c r="L249" s="38"/>
      <c r="M249" s="38"/>
      <c r="N249" s="38"/>
      <c r="O249" s="38"/>
      <c r="P249" s="38"/>
      <c r="Q249" s="38"/>
      <c r="R249" s="38"/>
      <c r="S249" s="38"/>
      <c r="T249" s="38"/>
      <c r="U249" s="38"/>
      <c r="V249" s="38"/>
      <c r="W249" s="38"/>
    </row>
    <row r="250" spans="1:39" ht="15.75" hidden="1" x14ac:dyDescent="0.25">
      <c r="A250" s="54" t="s">
        <v>55</v>
      </c>
      <c r="B250" s="15"/>
      <c r="C250" s="38"/>
      <c r="D250" s="38"/>
      <c r="E250" s="38"/>
      <c r="F250" s="38"/>
      <c r="G250" s="38"/>
      <c r="H250" s="38"/>
      <c r="I250" s="38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38"/>
      <c r="U250" s="38"/>
      <c r="V250" s="38"/>
      <c r="W250" s="38"/>
    </row>
    <row r="251" spans="1:39" ht="15.75" hidden="1" x14ac:dyDescent="0.25">
      <c r="A251" s="54" t="s">
        <v>56</v>
      </c>
      <c r="B251" s="15"/>
      <c r="C251" s="38"/>
      <c r="D251" s="38"/>
      <c r="E251" s="38"/>
      <c r="F251" s="38"/>
      <c r="G251" s="38"/>
      <c r="H251" s="38"/>
      <c r="I251" s="38"/>
      <c r="J251" s="38"/>
      <c r="K251" s="38"/>
      <c r="L251" s="38"/>
      <c r="M251" s="38"/>
      <c r="N251" s="38"/>
      <c r="O251" s="38"/>
      <c r="P251" s="38"/>
      <c r="Q251" s="38"/>
      <c r="R251" s="38"/>
      <c r="S251" s="38"/>
      <c r="T251" s="38"/>
      <c r="U251" s="38"/>
      <c r="V251" s="38"/>
      <c r="W251" s="38"/>
    </row>
    <row r="252" spans="1:39" ht="15.75" hidden="1" x14ac:dyDescent="0.25">
      <c r="A252" s="54" t="s">
        <v>57</v>
      </c>
      <c r="B252" s="38"/>
      <c r="C252" s="38"/>
      <c r="D252" s="38"/>
      <c r="E252" s="38"/>
      <c r="F252" s="38"/>
      <c r="G252" s="38"/>
      <c r="H252" s="38"/>
      <c r="I252" s="38"/>
      <c r="J252" s="38"/>
      <c r="K252" s="38"/>
      <c r="L252" s="38"/>
      <c r="M252" s="38"/>
      <c r="N252" s="38"/>
      <c r="O252" s="38"/>
      <c r="P252" s="38"/>
      <c r="Q252" s="38"/>
      <c r="R252" s="38"/>
      <c r="S252" s="38"/>
      <c r="T252" s="38"/>
      <c r="U252" s="38"/>
      <c r="V252" s="38"/>
      <c r="W252" s="38"/>
    </row>
    <row r="253" spans="1:39" ht="15.75" hidden="1" x14ac:dyDescent="0.25">
      <c r="A253" s="54" t="s">
        <v>104</v>
      </c>
      <c r="B253" s="38"/>
      <c r="C253" s="38"/>
      <c r="D253" s="38"/>
      <c r="E253" s="38"/>
      <c r="F253" s="38"/>
      <c r="G253" s="38"/>
      <c r="H253" s="38"/>
      <c r="I253" s="38"/>
      <c r="J253" s="38"/>
      <c r="K253" s="38"/>
      <c r="L253" s="38"/>
      <c r="M253" s="38"/>
      <c r="N253" s="38"/>
      <c r="O253" s="38"/>
      <c r="P253" s="38"/>
      <c r="Q253" s="38"/>
      <c r="R253" s="38"/>
      <c r="S253" s="38"/>
      <c r="T253" s="38"/>
      <c r="U253" s="38"/>
      <c r="V253" s="38"/>
      <c r="W253" s="38"/>
    </row>
    <row r="254" spans="1:39" ht="15.75" hidden="1" x14ac:dyDescent="0.25">
      <c r="A254" s="54" t="s">
        <v>105</v>
      </c>
      <c r="B254" s="38"/>
      <c r="C254" s="38"/>
      <c r="D254" s="38"/>
      <c r="E254" s="38"/>
      <c r="F254" s="38"/>
      <c r="G254" s="38"/>
      <c r="H254" s="38"/>
      <c r="I254" s="38"/>
      <c r="J254" s="38"/>
      <c r="K254" s="38"/>
      <c r="L254" s="38"/>
      <c r="M254" s="38"/>
      <c r="N254" s="38"/>
      <c r="O254" s="38"/>
      <c r="P254" s="38"/>
      <c r="Q254" s="38"/>
      <c r="R254" s="38"/>
      <c r="S254" s="38"/>
      <c r="T254" s="38"/>
      <c r="U254" s="38"/>
      <c r="V254" s="38"/>
      <c r="W254" s="38"/>
    </row>
    <row r="255" spans="1:39" ht="15.75" hidden="1" x14ac:dyDescent="0.25">
      <c r="A255" s="54" t="s">
        <v>58</v>
      </c>
      <c r="B255" s="58"/>
      <c r="C255" s="38"/>
      <c r="D255" s="38"/>
      <c r="E255" s="59"/>
      <c r="F255" s="59"/>
      <c r="G255" s="59"/>
      <c r="H255" s="59"/>
      <c r="I255" s="59"/>
      <c r="J255" s="59"/>
      <c r="K255" s="59"/>
      <c r="L255" s="59"/>
      <c r="M255" s="59"/>
      <c r="N255" s="59"/>
      <c r="O255" s="59"/>
      <c r="P255" s="59"/>
      <c r="Q255" s="59"/>
      <c r="R255" s="59"/>
      <c r="S255" s="59"/>
      <c r="T255" s="59"/>
      <c r="U255" s="59"/>
      <c r="V255" s="59"/>
      <c r="W255" s="59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  <c r="AM255" s="18"/>
    </row>
    <row r="256" spans="1:39" ht="15.75" hidden="1" x14ac:dyDescent="0.25">
      <c r="A256" s="54" t="s">
        <v>59</v>
      </c>
      <c r="E256" s="59"/>
      <c r="F256" s="59"/>
      <c r="G256" s="59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  <c r="AM256" s="18"/>
    </row>
    <row r="257" spans="1:6" ht="15.75" hidden="1" x14ac:dyDescent="0.25">
      <c r="A257" s="54" t="s">
        <v>106</v>
      </c>
    </row>
    <row r="258" spans="1:6" ht="15.75" hidden="1" x14ac:dyDescent="0.25">
      <c r="A258" s="54" t="s">
        <v>107</v>
      </c>
    </row>
    <row r="259" spans="1:6" ht="15.75" hidden="1" x14ac:dyDescent="0.25">
      <c r="A259" s="54" t="s">
        <v>60</v>
      </c>
      <c r="C259" s="2" t="s">
        <v>63</v>
      </c>
      <c r="D259" s="2" t="s">
        <v>64</v>
      </c>
    </row>
    <row r="260" spans="1:6" ht="15.75" hidden="1" x14ac:dyDescent="0.25">
      <c r="A260" s="54" t="s">
        <v>61</v>
      </c>
      <c r="D260" s="2">
        <v>525</v>
      </c>
    </row>
    <row r="261" spans="1:6" ht="15.75" hidden="1" x14ac:dyDescent="0.25">
      <c r="A261" s="54" t="s">
        <v>62</v>
      </c>
      <c r="D261" s="2">
        <v>100</v>
      </c>
    </row>
    <row r="262" spans="1:6" ht="15.75" hidden="1" x14ac:dyDescent="0.25">
      <c r="A262" s="54" t="s">
        <v>65</v>
      </c>
      <c r="D262" s="2">
        <v>675</v>
      </c>
    </row>
    <row r="263" spans="1:6" ht="15.75" hidden="1" x14ac:dyDescent="0.25">
      <c r="A263" s="54" t="s">
        <v>66</v>
      </c>
    </row>
    <row r="264" spans="1:6" hidden="1" x14ac:dyDescent="0.2"/>
    <row r="265" spans="1:6" hidden="1" x14ac:dyDescent="0.2"/>
    <row r="266" spans="1:6" ht="14.25" hidden="1" x14ac:dyDescent="0.2">
      <c r="A266" s="60" t="s">
        <v>67</v>
      </c>
      <c r="B266" s="60"/>
      <c r="C266" s="60" t="s">
        <v>67</v>
      </c>
      <c r="D266" s="61" t="s">
        <v>68</v>
      </c>
      <c r="E266" s="62"/>
      <c r="F266" s="60" t="s">
        <v>15</v>
      </c>
    </row>
    <row r="267" spans="1:6" ht="15" hidden="1" x14ac:dyDescent="0.25">
      <c r="A267" s="63">
        <v>0</v>
      </c>
      <c r="B267" s="64"/>
      <c r="C267" s="63">
        <v>7500</v>
      </c>
      <c r="D267" s="65">
        <v>4.5600000000000002E-2</v>
      </c>
      <c r="E267" s="66"/>
      <c r="F267" s="63">
        <f>IF($B$7&lt;C267,$B$7*D267,C267*D267)</f>
        <v>0</v>
      </c>
    </row>
    <row r="268" spans="1:6" ht="15" hidden="1" x14ac:dyDescent="0.25">
      <c r="A268" s="63">
        <v>7500</v>
      </c>
      <c r="B268" s="64"/>
      <c r="C268" s="63">
        <v>17500</v>
      </c>
      <c r="D268" s="65">
        <v>2.8500000000000001E-2</v>
      </c>
      <c r="E268" s="66"/>
      <c r="F268" s="64" t="str">
        <f t="shared" ref="F268:F273" si="0">IF($B$7&lt;=A268," ",IF($B$7&lt;C268,($B$7-C267)*D268,(C268-A268)*D268))</f>
        <v xml:space="preserve"> </v>
      </c>
    </row>
    <row r="269" spans="1:6" ht="15" hidden="1" x14ac:dyDescent="0.25">
      <c r="A269" s="63">
        <v>17500</v>
      </c>
      <c r="B269" s="64"/>
      <c r="C269" s="63">
        <v>30000</v>
      </c>
      <c r="D269" s="65">
        <v>2.2800000000000001E-2</v>
      </c>
      <c r="E269" s="66"/>
      <c r="F269" s="64" t="str">
        <f t="shared" si="0"/>
        <v xml:space="preserve"> </v>
      </c>
    </row>
    <row r="270" spans="1:6" ht="15" hidden="1" x14ac:dyDescent="0.25">
      <c r="A270" s="63">
        <v>30000</v>
      </c>
      <c r="B270" s="64"/>
      <c r="C270" s="63">
        <v>45495</v>
      </c>
      <c r="D270" s="65">
        <v>1.7100000000000001E-2</v>
      </c>
      <c r="E270" s="66"/>
      <c r="F270" s="64" t="str">
        <f t="shared" si="0"/>
        <v xml:space="preserve"> </v>
      </c>
    </row>
    <row r="271" spans="1:6" ht="15" hidden="1" x14ac:dyDescent="0.25">
      <c r="A271" s="63">
        <v>45495</v>
      </c>
      <c r="B271" s="64"/>
      <c r="C271" s="63">
        <v>64095</v>
      </c>
      <c r="D271" s="65">
        <v>1.14E-2</v>
      </c>
      <c r="E271" s="66"/>
      <c r="F271" s="64" t="str">
        <f t="shared" si="0"/>
        <v xml:space="preserve"> </v>
      </c>
    </row>
    <row r="272" spans="1:6" ht="15" hidden="1" x14ac:dyDescent="0.25">
      <c r="A272" s="63">
        <v>64095</v>
      </c>
      <c r="B272" s="64"/>
      <c r="C272" s="63">
        <v>250095</v>
      </c>
      <c r="D272" s="65">
        <v>5.7000000000000002E-3</v>
      </c>
      <c r="E272" s="66"/>
      <c r="F272" s="64" t="str">
        <f t="shared" si="0"/>
        <v xml:space="preserve"> </v>
      </c>
    </row>
    <row r="273" spans="1:6" ht="15" hidden="1" x14ac:dyDescent="0.25">
      <c r="A273" s="63">
        <v>250095</v>
      </c>
      <c r="B273" s="64"/>
      <c r="C273" s="63">
        <f>$B$7</f>
        <v>0</v>
      </c>
      <c r="D273" s="65">
        <v>5.6999999999999998E-4</v>
      </c>
      <c r="E273" s="66"/>
      <c r="F273" s="64" t="str">
        <f t="shared" si="0"/>
        <v xml:space="preserve"> </v>
      </c>
    </row>
    <row r="274" spans="1:6" ht="15" hidden="1" x14ac:dyDescent="0.25">
      <c r="A274" s="67"/>
      <c r="B274" s="68"/>
      <c r="C274" s="68"/>
      <c r="D274" s="69"/>
      <c r="E274" s="70"/>
      <c r="F274" s="70"/>
    </row>
    <row r="275" spans="1:6" ht="15" hidden="1" x14ac:dyDescent="0.25">
      <c r="A275" s="60" t="s">
        <v>69</v>
      </c>
      <c r="B275" s="71"/>
      <c r="C275" s="68"/>
      <c r="D275" s="72"/>
      <c r="E275" s="70"/>
      <c r="F275" s="73">
        <f>SUM(F267:F274)</f>
        <v>0</v>
      </c>
    </row>
    <row r="276" spans="1:6" hidden="1" x14ac:dyDescent="0.2"/>
    <row r="277" spans="1:6" hidden="1" x14ac:dyDescent="0.2"/>
    <row r="278" spans="1:6" hidden="1" x14ac:dyDescent="0.2"/>
    <row r="279" spans="1:6" hidden="1" x14ac:dyDescent="0.2"/>
  </sheetData>
  <sheetProtection algorithmName="SHA-512" hashValue="3MHkMRo6JGNWREtDZRXWwepxB2kFi3D1qzrhZjynLR6Yh/Z1O30hRpOW/YFrEVkizPMhcnGYv3QwmAe57ceiEQ==" saltValue="0hIpHwLXfdS60StWnfY52Q==" spinCount="100000" sheet="1" objects="1" scenarios="1"/>
  <phoneticPr fontId="0" type="noConversion"/>
  <dataValidations count="5">
    <dataValidation type="list" allowBlank="1" showInputMessage="1" showErrorMessage="1" sqref="C9">
      <formula1>$C$225:$C$226</formula1>
    </dataValidation>
    <dataValidation type="list" allowBlank="1" showInputMessage="1" showErrorMessage="1" sqref="C10">
      <formula1>$A$225:$A$263</formula1>
    </dataValidation>
    <dataValidation type="list" allowBlank="1" showInputMessage="1" showErrorMessage="1" sqref="C11:C12">
      <formula1>$D$225:$D$226</formula1>
    </dataValidation>
    <dataValidation type="list" allowBlank="1" showInputMessage="1" showErrorMessage="1" sqref="C33:C36">
      <formula1>$E$117:$E$118</formula1>
    </dataValidation>
    <dataValidation type="list" allowBlank="1" showInputMessage="1" showErrorMessage="1" sqref="C40:C41">
      <formula1>$E$75:$E$76</formula1>
    </dataValidation>
  </dataValidations>
  <hyperlinks>
    <hyperlink ref="D81" r:id="rId1"/>
    <hyperlink ref="C81" r:id="rId2"/>
    <hyperlink ref="C83" r:id="rId3"/>
    <hyperlink ref="D83" r:id="rId4"/>
    <hyperlink ref="C85" r:id="rId5"/>
  </hyperlinks>
  <pageMargins left="0.75" right="0.75" top="1" bottom="1" header="0.5" footer="0.5"/>
  <pageSetup paperSize="9" scale="93" orientation="landscape" horizontalDpi="300" verticalDpi="300" r:id="rId6"/>
  <headerFooter alignWithMargins="0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VKWPW</vt:lpstr>
      <vt:lpstr>VKWPW!_1._Zegels_Minuut_Brevet</vt:lpstr>
      <vt:lpstr>VKWPW!_2._Registratie_Minuut_Brevet</vt:lpstr>
      <vt:lpstr>VKWPW!_3._Registratie_aanhangsel</vt:lpstr>
      <vt:lpstr>VKWPW!Aard</vt:lpstr>
      <vt:lpstr>VKWPW!Afdrukbereik</vt:lpstr>
      <vt:lpstr>VKWPW!Datum</vt:lpstr>
      <vt:lpstr>VKWPW!KOSTENFICHE</vt:lpstr>
      <vt:lpstr>VKWPW!Naam</vt:lpstr>
      <vt:lpstr>VKWPW!Rep.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2012-08-13T20:10:04Z</dcterms:created>
  <dcterms:modified xsi:type="dcterms:W3CDTF">2014-11-15T20:03:24Z</dcterms:modified>
</cp:coreProperties>
</file>