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WAL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VPWAL!$A$1:$G$39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4" i="1" l="1"/>
  <c r="A45" i="1"/>
  <c r="A46" i="1"/>
  <c r="A47" i="1"/>
  <c r="A48" i="1"/>
  <c r="A49" i="1"/>
  <c r="A50" i="1"/>
  <c r="G50" i="1"/>
  <c r="A51" i="1"/>
  <c r="G51" i="1"/>
  <c r="A52" i="1"/>
  <c r="A53" i="1"/>
  <c r="G53" i="1"/>
  <c r="A54" i="1"/>
  <c r="G54" i="1"/>
  <c r="A55" i="1"/>
  <c r="G55" i="1"/>
  <c r="H55" i="1"/>
  <c r="J55" i="1"/>
  <c r="A56" i="1"/>
  <c r="G56" i="1"/>
  <c r="H56" i="1"/>
  <c r="J56" i="1"/>
  <c r="A57" i="1"/>
  <c r="J57" i="1"/>
  <c r="A58" i="1"/>
  <c r="J58" i="1"/>
  <c r="A59" i="1"/>
  <c r="E59" i="1"/>
  <c r="E64" i="1" s="1"/>
  <c r="J59" i="1"/>
  <c r="A60" i="1"/>
  <c r="E60" i="1"/>
  <c r="J60" i="1"/>
  <c r="A61" i="1"/>
  <c r="E61" i="1"/>
  <c r="A62" i="1"/>
  <c r="E62" i="1"/>
  <c r="A63" i="1"/>
  <c r="A64" i="1"/>
  <c r="A65" i="1"/>
  <c r="C65" i="1"/>
  <c r="D65" i="1"/>
  <c r="D70" i="1" s="1"/>
  <c r="A66" i="1"/>
  <c r="C66" i="1"/>
  <c r="D66" i="1"/>
  <c r="A67" i="1"/>
  <c r="C67" i="1"/>
  <c r="C70" i="1" s="1"/>
  <c r="D67" i="1"/>
  <c r="E67" i="1"/>
  <c r="A68" i="1"/>
  <c r="C68" i="1"/>
  <c r="D68" i="1"/>
  <c r="A69" i="1"/>
  <c r="G71" i="1"/>
  <c r="G72" i="1"/>
  <c r="D73" i="1"/>
  <c r="G67" i="1" s="1"/>
  <c r="G73" i="1"/>
  <c r="G74" i="1"/>
  <c r="G75" i="1"/>
  <c r="A76" i="1"/>
  <c r="D76" i="1"/>
  <c r="I76" i="1" s="1"/>
  <c r="G70" i="1"/>
  <c r="G76" i="1"/>
  <c r="A77" i="1"/>
  <c r="D77" i="1"/>
  <c r="I77" i="1" s="1"/>
  <c r="G77" i="1"/>
  <c r="A78" i="1"/>
  <c r="D78" i="1"/>
  <c r="D96" i="1" s="1"/>
  <c r="G78" i="1"/>
  <c r="A79" i="1"/>
  <c r="D79" i="1"/>
  <c r="I79" i="1" s="1"/>
  <c r="G79" i="1"/>
  <c r="A80" i="1"/>
  <c r="D80" i="1"/>
  <c r="I80" i="1" s="1"/>
  <c r="G80" i="1"/>
  <c r="A81" i="1"/>
  <c r="D81" i="1"/>
  <c r="D99" i="1" s="1"/>
  <c r="G81" i="1"/>
  <c r="A82" i="1"/>
  <c r="D82" i="1"/>
  <c r="I82" i="1" s="1"/>
  <c r="G82" i="1"/>
  <c r="I88" i="1" s="1"/>
  <c r="A83" i="1"/>
  <c r="D83" i="1"/>
  <c r="I83" i="1" s="1"/>
  <c r="G83" i="1"/>
  <c r="A84" i="1"/>
  <c r="D84" i="1"/>
  <c r="D102" i="1" s="1"/>
  <c r="G84" i="1"/>
  <c r="A85" i="1"/>
  <c r="D85" i="1"/>
  <c r="G85" i="1"/>
  <c r="A86" i="1"/>
  <c r="D86" i="1"/>
  <c r="D104" i="1" s="1"/>
  <c r="A87" i="1"/>
  <c r="D87" i="1"/>
  <c r="I87" i="1" s="1"/>
  <c r="A88" i="1"/>
  <c r="D88" i="1"/>
  <c r="D106" i="1" s="1"/>
  <c r="A89" i="1"/>
  <c r="D89" i="1"/>
  <c r="I89" i="1" s="1"/>
  <c r="A90" i="1"/>
  <c r="D90" i="1"/>
  <c r="D108" i="1" s="1"/>
  <c r="G90" i="1"/>
  <c r="G92" i="1" s="1"/>
  <c r="G94" i="1" s="1"/>
  <c r="G96" i="1" s="1"/>
  <c r="A91" i="1"/>
  <c r="D91" i="1"/>
  <c r="I91" i="1" s="1"/>
  <c r="I94" i="1"/>
  <c r="I96" i="1"/>
  <c r="D97" i="1"/>
  <c r="D98" i="1"/>
  <c r="D100" i="1"/>
  <c r="D101" i="1"/>
  <c r="D109" i="1"/>
  <c r="C116" i="1"/>
  <c r="C117" i="1"/>
  <c r="G117" i="1"/>
  <c r="C118" i="1"/>
  <c r="G118" i="1"/>
  <c r="G119" i="1"/>
  <c r="G120" i="1"/>
  <c r="G121" i="1"/>
  <c r="I127" i="1" s="1"/>
  <c r="A122" i="1"/>
  <c r="D122" i="1"/>
  <c r="I122" i="1" s="1"/>
  <c r="G116" i="1"/>
  <c r="G122" i="1"/>
  <c r="A123" i="1"/>
  <c r="D123" i="1"/>
  <c r="I123" i="1"/>
  <c r="G123" i="1"/>
  <c r="A124" i="1"/>
  <c r="D124" i="1"/>
  <c r="D142" i="1" s="1"/>
  <c r="G124" i="1"/>
  <c r="I130" i="1" s="1"/>
  <c r="A125" i="1"/>
  <c r="D125" i="1"/>
  <c r="G125" i="1"/>
  <c r="I125" i="1"/>
  <c r="A126" i="1"/>
  <c r="D126" i="1"/>
  <c r="G126" i="1"/>
  <c r="I126" i="1"/>
  <c r="A127" i="1"/>
  <c r="D127" i="1"/>
  <c r="G127" i="1"/>
  <c r="A128" i="1"/>
  <c r="D128" i="1"/>
  <c r="D146" i="1" s="1"/>
  <c r="G128" i="1"/>
  <c r="I128" i="1"/>
  <c r="A129" i="1"/>
  <c r="D129" i="1"/>
  <c r="D147" i="1" s="1"/>
  <c r="G129" i="1"/>
  <c r="A130" i="1"/>
  <c r="D130" i="1"/>
  <c r="D148" i="1" s="1"/>
  <c r="G130" i="1"/>
  <c r="A131" i="1"/>
  <c r="D131" i="1"/>
  <c r="I131" i="1" s="1"/>
  <c r="G131" i="1"/>
  <c r="A132" i="1"/>
  <c r="D132" i="1"/>
  <c r="I132" i="1" s="1"/>
  <c r="A133" i="1"/>
  <c r="D133" i="1"/>
  <c r="A134" i="1"/>
  <c r="D134" i="1"/>
  <c r="D152" i="1"/>
  <c r="A135" i="1"/>
  <c r="D135" i="1"/>
  <c r="I135" i="1" s="1"/>
  <c r="A136" i="1"/>
  <c r="D136" i="1"/>
  <c r="I136" i="1" s="1"/>
  <c r="G136" i="1"/>
  <c r="G138" i="1" s="1"/>
  <c r="G140" i="1" s="1"/>
  <c r="G142" i="1" s="1"/>
  <c r="A137" i="1"/>
  <c r="D137" i="1"/>
  <c r="D155" i="1" s="1"/>
  <c r="I140" i="1"/>
  <c r="D141" i="1"/>
  <c r="I142" i="1"/>
  <c r="D143" i="1"/>
  <c r="D144" i="1"/>
  <c r="D145" i="1"/>
  <c r="D150" i="1"/>
  <c r="D153" i="1"/>
  <c r="C162" i="1"/>
  <c r="C164" i="1" s="1"/>
  <c r="C163" i="1"/>
  <c r="G167" i="1"/>
  <c r="G168" i="1"/>
  <c r="G169" i="1"/>
  <c r="G170" i="1"/>
  <c r="G171" i="1"/>
  <c r="A172" i="1"/>
  <c r="D172" i="1"/>
  <c r="G166" i="1" s="1"/>
  <c r="G172" i="1"/>
  <c r="A173" i="1"/>
  <c r="D173" i="1"/>
  <c r="G173" i="1"/>
  <c r="I173" i="1"/>
  <c r="A174" i="1"/>
  <c r="D174" i="1"/>
  <c r="I174" i="1" s="1"/>
  <c r="D192" i="1"/>
  <c r="G174" i="1"/>
  <c r="A175" i="1"/>
  <c r="D175" i="1"/>
  <c r="I175" i="1"/>
  <c r="G175" i="1"/>
  <c r="A176" i="1"/>
  <c r="D176" i="1"/>
  <c r="I176" i="1" s="1"/>
  <c r="D194" i="1"/>
  <c r="G176" i="1"/>
  <c r="I182" i="1" s="1"/>
  <c r="A177" i="1"/>
  <c r="D177" i="1"/>
  <c r="I177" i="1"/>
  <c r="G177" i="1"/>
  <c r="A178" i="1"/>
  <c r="D178" i="1"/>
  <c r="D196" i="1" s="1"/>
  <c r="I178" i="1"/>
  <c r="G178" i="1"/>
  <c r="A179" i="1"/>
  <c r="D179" i="1"/>
  <c r="I179" i="1"/>
  <c r="G179" i="1"/>
  <c r="I185" i="1" s="1"/>
  <c r="A180" i="1"/>
  <c r="D180" i="1"/>
  <c r="D198" i="1"/>
  <c r="G180" i="1"/>
  <c r="A181" i="1"/>
  <c r="D181" i="1"/>
  <c r="G181" i="1"/>
  <c r="A182" i="1"/>
  <c r="D182" i="1"/>
  <c r="A183" i="1"/>
  <c r="D183" i="1"/>
  <c r="I183" i="1" s="1"/>
  <c r="A184" i="1"/>
  <c r="D184" i="1"/>
  <c r="D202" i="1"/>
  <c r="A185" i="1"/>
  <c r="D185" i="1"/>
  <c r="A186" i="1"/>
  <c r="D186" i="1"/>
  <c r="I186" i="1" s="1"/>
  <c r="G186" i="1"/>
  <c r="G188" i="1" s="1"/>
  <c r="G190" i="1" s="1"/>
  <c r="G192" i="1" s="1"/>
  <c r="A187" i="1"/>
  <c r="D187" i="1"/>
  <c r="D205" i="1" s="1"/>
  <c r="I187" i="1"/>
  <c r="I190" i="1"/>
  <c r="D191" i="1"/>
  <c r="I192" i="1"/>
  <c r="D193" i="1"/>
  <c r="D200" i="1"/>
  <c r="C212" i="1"/>
  <c r="C214" i="1"/>
  <c r="C213" i="1"/>
  <c r="G217" i="1"/>
  <c r="G218" i="1"/>
  <c r="G219" i="1"/>
  <c r="G220" i="1"/>
  <c r="G221" i="1"/>
  <c r="A222" i="1"/>
  <c r="D222" i="1"/>
  <c r="G222" i="1"/>
  <c r="A223" i="1"/>
  <c r="D223" i="1"/>
  <c r="I223" i="1" s="1"/>
  <c r="G223" i="1"/>
  <c r="A224" i="1"/>
  <c r="D224" i="1"/>
  <c r="I224" i="1" s="1"/>
  <c r="G224" i="1"/>
  <c r="A225" i="1"/>
  <c r="D225" i="1"/>
  <c r="I225" i="1" s="1"/>
  <c r="G225" i="1"/>
  <c r="A226" i="1"/>
  <c r="D226" i="1"/>
  <c r="D244" i="1" s="1"/>
  <c r="G226" i="1"/>
  <c r="A227" i="1"/>
  <c r="D227" i="1"/>
  <c r="I227" i="1" s="1"/>
  <c r="G227" i="1"/>
  <c r="A228" i="1"/>
  <c r="D228" i="1"/>
  <c r="D246" i="1" s="1"/>
  <c r="G228" i="1"/>
  <c r="A229" i="1"/>
  <c r="D229" i="1"/>
  <c r="D247" i="1" s="1"/>
  <c r="G229" i="1"/>
  <c r="A230" i="1"/>
  <c r="D230" i="1"/>
  <c r="I230" i="1" s="1"/>
  <c r="G230" i="1"/>
  <c r="A231" i="1"/>
  <c r="D231" i="1" s="1"/>
  <c r="G231" i="1"/>
  <c r="A232" i="1"/>
  <c r="D232" i="1"/>
  <c r="D250" i="1" s="1"/>
  <c r="A233" i="1"/>
  <c r="D233" i="1"/>
  <c r="A234" i="1"/>
  <c r="D234" i="1"/>
  <c r="D252" i="1" s="1"/>
  <c r="A235" i="1"/>
  <c r="D235" i="1"/>
  <c r="D253" i="1" s="1"/>
  <c r="I235" i="1"/>
  <c r="A236" i="1"/>
  <c r="D236" i="1"/>
  <c r="I236" i="1" s="1"/>
  <c r="G236" i="1"/>
  <c r="G238" i="1"/>
  <c r="G240" i="1" s="1"/>
  <c r="G242" i="1" s="1"/>
  <c r="A237" i="1"/>
  <c r="D237" i="1"/>
  <c r="I237" i="1" s="1"/>
  <c r="I240" i="1"/>
  <c r="I242" i="1"/>
  <c r="D243" i="1"/>
  <c r="D254" i="1"/>
  <c r="C262" i="1"/>
  <c r="C264" i="1"/>
  <c r="C263" i="1"/>
  <c r="C277" i="1"/>
  <c r="C288" i="1" s="1"/>
  <c r="E288" i="1" s="1"/>
  <c r="G288" i="1" s="1"/>
  <c r="A287" i="1"/>
  <c r="L287" i="1"/>
  <c r="A288" i="1"/>
  <c r="A289" i="1"/>
  <c r="L289" i="1"/>
  <c r="A290" i="1"/>
  <c r="A291" i="1"/>
  <c r="C291" i="1" s="1"/>
  <c r="E291" i="1" s="1"/>
  <c r="G291" i="1" s="1"/>
  <c r="L291" i="1"/>
  <c r="A292" i="1"/>
  <c r="L292" i="1"/>
  <c r="A300" i="1"/>
  <c r="C300" i="1"/>
  <c r="E300" i="1" s="1"/>
  <c r="G300" i="1" s="1"/>
  <c r="A301" i="1"/>
  <c r="A302" i="1"/>
  <c r="A303" i="1"/>
  <c r="A304" i="1"/>
  <c r="A305" i="1"/>
  <c r="A313" i="1"/>
  <c r="C313" i="1" s="1"/>
  <c r="E313" i="1" s="1"/>
  <c r="G313" i="1" s="1"/>
  <c r="A314" i="1"/>
  <c r="A315" i="1"/>
  <c r="A316" i="1"/>
  <c r="A317" i="1"/>
  <c r="C317" i="1" s="1"/>
  <c r="E317" i="1" s="1"/>
  <c r="G317" i="1" s="1"/>
  <c r="A318" i="1"/>
  <c r="A326" i="1"/>
  <c r="A327" i="1"/>
  <c r="A328" i="1"/>
  <c r="A329" i="1"/>
  <c r="C329" i="1" s="1"/>
  <c r="E329" i="1" s="1"/>
  <c r="G329" i="1" s="1"/>
  <c r="A330" i="1"/>
  <c r="C330" i="1" s="1"/>
  <c r="E330" i="1" s="1"/>
  <c r="G330" i="1" s="1"/>
  <c r="A331" i="1"/>
  <c r="I232" i="1"/>
  <c r="I229" i="1"/>
  <c r="D203" i="1"/>
  <c r="D195" i="1"/>
  <c r="I233" i="1"/>
  <c r="D197" i="1"/>
  <c r="I133" i="1"/>
  <c r="I124" i="1"/>
  <c r="D107" i="1"/>
  <c r="I85" i="1"/>
  <c r="D103" i="1" s="1"/>
  <c r="I181" i="1"/>
  <c r="D199" i="1" s="1"/>
  <c r="D188" i="1"/>
  <c r="D251" i="1"/>
  <c r="I234" i="1"/>
  <c r="D201" i="1"/>
  <c r="I184" i="1"/>
  <c r="D151" i="1"/>
  <c r="I134" i="1"/>
  <c r="D105" i="1"/>
  <c r="D240" i="1"/>
  <c r="J62" i="1" l="1"/>
  <c r="G62" i="1" s="1"/>
  <c r="D190" i="1"/>
  <c r="D92" i="1"/>
  <c r="I226" i="1"/>
  <c r="C328" i="1"/>
  <c r="E328" i="1" s="1"/>
  <c r="G328" i="1" s="1"/>
  <c r="C303" i="1"/>
  <c r="E303" i="1" s="1"/>
  <c r="G303" i="1" s="1"/>
  <c r="I86" i="1"/>
  <c r="C327" i="1"/>
  <c r="E327" i="1" s="1"/>
  <c r="G327" i="1" s="1"/>
  <c r="C316" i="1"/>
  <c r="E316" i="1" s="1"/>
  <c r="G316" i="1" s="1"/>
  <c r="C312" i="1"/>
  <c r="E312" i="1" s="1"/>
  <c r="G312" i="1" s="1"/>
  <c r="I129" i="1"/>
  <c r="C44" i="1"/>
  <c r="E41" i="1" s="1"/>
  <c r="C14" i="1" s="1"/>
  <c r="C16" i="1" s="1"/>
  <c r="D238" i="1"/>
  <c r="D94" i="1"/>
  <c r="C287" i="1"/>
  <c r="E287" i="1" s="1"/>
  <c r="G287" i="1" s="1"/>
  <c r="C299" i="1"/>
  <c r="E299" i="1" s="1"/>
  <c r="G299" i="1" s="1"/>
  <c r="D149" i="1"/>
  <c r="D241" i="1"/>
  <c r="C325" i="1"/>
  <c r="E325" i="1" s="1"/>
  <c r="G325" i="1" s="1"/>
  <c r="C315" i="1"/>
  <c r="E315" i="1" s="1"/>
  <c r="G315" i="1" s="1"/>
  <c r="C305" i="1"/>
  <c r="E305" i="1" s="1"/>
  <c r="G305" i="1" s="1"/>
  <c r="D138" i="1"/>
  <c r="C326" i="1"/>
  <c r="E326" i="1" s="1"/>
  <c r="G326" i="1" s="1"/>
  <c r="G333" i="1" s="1"/>
  <c r="C302" i="1"/>
  <c r="E302" i="1" s="1"/>
  <c r="G302" i="1" s="1"/>
  <c r="C289" i="1"/>
  <c r="E289" i="1" s="1"/>
  <c r="G289" i="1" s="1"/>
  <c r="C290" i="1"/>
  <c r="E290" i="1" s="1"/>
  <c r="G290" i="1" s="1"/>
  <c r="C292" i="1"/>
  <c r="E292" i="1" s="1"/>
  <c r="G292" i="1" s="1"/>
  <c r="D140" i="1"/>
  <c r="I90" i="1"/>
  <c r="C286" i="1"/>
  <c r="E286" i="1" s="1"/>
  <c r="G286" i="1" s="1"/>
  <c r="G294" i="1" s="1"/>
  <c r="C331" i="1"/>
  <c r="E331" i="1" s="1"/>
  <c r="G331" i="1" s="1"/>
  <c r="C318" i="1"/>
  <c r="E318" i="1" s="1"/>
  <c r="G318" i="1" s="1"/>
  <c r="C314" i="1"/>
  <c r="E314" i="1" s="1"/>
  <c r="G314" i="1" s="1"/>
  <c r="G320" i="1" s="1"/>
  <c r="D272" i="1" s="1"/>
  <c r="C304" i="1"/>
  <c r="E304" i="1" s="1"/>
  <c r="G304" i="1" s="1"/>
  <c r="C301" i="1"/>
  <c r="E301" i="1" s="1"/>
  <c r="G301" i="1" s="1"/>
  <c r="I180" i="1"/>
  <c r="I172" i="1"/>
  <c r="I231" i="1"/>
  <c r="D249" i="1"/>
  <c r="I222" i="1"/>
  <c r="D255" i="1"/>
  <c r="D248" i="1"/>
  <c r="I228" i="1"/>
  <c r="D242" i="1"/>
  <c r="G216" i="1"/>
  <c r="D204" i="1"/>
  <c r="D207" i="1" s="1"/>
  <c r="G184" i="1" s="1"/>
  <c r="D154" i="1"/>
  <c r="D157" i="1" s="1"/>
  <c r="G134" i="1" s="1"/>
  <c r="I84" i="1"/>
  <c r="I78" i="1"/>
  <c r="D245" i="1"/>
  <c r="D95" i="1"/>
  <c r="I81" i="1"/>
  <c r="I137" i="1"/>
  <c r="G307" i="1" l="1"/>
  <c r="C269" i="1"/>
  <c r="D269" i="1" s="1"/>
  <c r="D270" i="1" s="1"/>
  <c r="D274" i="1" s="1"/>
  <c r="H269" i="1" s="1"/>
  <c r="I285" i="1" s="1"/>
  <c r="E294" i="1"/>
  <c r="D257" i="1"/>
  <c r="G234" i="1" s="1"/>
  <c r="D111" i="1"/>
  <c r="G88" i="1" s="1"/>
  <c r="I48" i="1"/>
  <c r="G15" i="1"/>
  <c r="G27" i="1" s="1"/>
  <c r="J287" i="1" l="1"/>
  <c r="I286" i="1"/>
  <c r="L288" i="1" s="1"/>
  <c r="J286" i="1"/>
  <c r="I284" i="1"/>
  <c r="L290" i="1" s="1"/>
  <c r="I287" i="1"/>
  <c r="L294" i="1" l="1"/>
  <c r="L296" i="1" s="1"/>
  <c r="C24" i="1" s="1"/>
</calcChain>
</file>

<file path=xl/comments1.xml><?xml version="1.0" encoding="utf-8"?>
<comments xmlns="http://schemas.openxmlformats.org/spreadsheetml/2006/main">
  <authors>
    <author>Jo Hermans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Sous réserve de dérogation dans les conditions de la vente, le prix de la vente doit être payé endéans les six semaines à dater de l’adjudication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Les frais doivent être payés endéans les 5 jours à partir de cette date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<sst xmlns="http://schemas.openxmlformats.org/spreadsheetml/2006/main" count="115" uniqueCount="85">
  <si>
    <t>Dossier</t>
  </si>
  <si>
    <t>Afrekening koper</t>
  </si>
  <si>
    <t>Décompte acquéreur</t>
  </si>
  <si>
    <t>OV notarishuis</t>
  </si>
  <si>
    <t>OV in café</t>
  </si>
  <si>
    <t>Recht van hoger bod afgeschaft in notarishuis</t>
  </si>
  <si>
    <t>Recht van hoger bod afgeschaft in café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</si>
  <si>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</si>
  <si>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</si>
  <si>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</si>
  <si>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</si>
  <si>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</si>
  <si>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</si>
  <si>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</si>
  <si>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</si>
  <si>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</si>
  <si>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</si>
  <si>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</si>
  <si>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</si>
  <si>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</si>
  <si>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</si>
  <si>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</si>
  <si>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</si>
  <si>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</si>
  <si>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</si>
  <si>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</si>
  <si>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</si>
  <si>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</si>
  <si>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</si>
  <si>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</si>
  <si>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</si>
  <si>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</si>
  <si>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</si>
  <si>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</si>
  <si>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</si>
  <si>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</si>
  <si>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</si>
  <si>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</si>
  <si>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</si>
  <si>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VENTE PUBLIQUE EN WALLONIE</t>
  </si>
  <si>
    <t>Acquéreur</t>
  </si>
  <si>
    <t>Situation du bien</t>
  </si>
  <si>
    <t>Date de l'adjudication</t>
  </si>
  <si>
    <t>Date où la vente est définitive</t>
  </si>
  <si>
    <t>Adjud. définit. après surenchère?</t>
  </si>
  <si>
    <t>Prix:</t>
  </si>
  <si>
    <t>Pourcentage applicable:</t>
  </si>
  <si>
    <t>Frais selon le pourcentage:</t>
  </si>
  <si>
    <t>Réduction art. 53?</t>
  </si>
  <si>
    <t>Zone de pression immobilière?</t>
  </si>
  <si>
    <t xml:space="preserve">Crédit Soc. Wall. ou Fam. Nombr.? </t>
  </si>
  <si>
    <t>Frais réels (avec réduction</t>
  </si>
  <si>
    <t>et autres)</t>
  </si>
  <si>
    <t>Publicité (jusqu'à fin 2017):</t>
  </si>
  <si>
    <t>Mesurage:</t>
  </si>
  <si>
    <t>Cautionnement:</t>
  </si>
  <si>
    <t>Ratification:</t>
  </si>
  <si>
    <t>Prime de premier offrant:</t>
  </si>
  <si>
    <t>Total:</t>
  </si>
  <si>
    <t>oui</t>
  </si>
  <si>
    <t>non</t>
  </si>
  <si>
    <t>P.A.</t>
  </si>
  <si>
    <t>0</t>
  </si>
  <si>
    <t>Pourcentage frais si prix &lt; 30000 €?</t>
  </si>
  <si>
    <t>Donceel</t>
  </si>
  <si>
    <t>Genappe</t>
  </si>
  <si>
    <t>Perwez</t>
  </si>
  <si>
    <t>Profondeville</t>
  </si>
  <si>
    <t>Sainte-Ode</t>
  </si>
  <si>
    <t>Silly</t>
  </si>
  <si>
    <t>Overeengekomen kosten:</t>
  </si>
  <si>
    <t>Basis registratie:</t>
  </si>
  <si>
    <t>Wettelijke kosten:</t>
  </si>
  <si>
    <t>Verschil:</t>
  </si>
  <si>
    <t>VERKOOPPRIJS</t>
  </si>
  <si>
    <t>WETTELIJKE KOSTEN VOOR DE REGISTRATIERECHTEN</t>
  </si>
  <si>
    <t>Registratie 10 PROCENT</t>
  </si>
  <si>
    <t>OPENBARE VERKOOP</t>
  </si>
  <si>
    <t>WK</t>
  </si>
  <si>
    <t xml:space="preserve">van  </t>
  </si>
  <si>
    <t xml:space="preserve">tot </t>
  </si>
  <si>
    <t>Registratie 12,50 PROCENT</t>
  </si>
  <si>
    <t>Registratie 6 PROCENT</t>
  </si>
  <si>
    <t>Registratie 5 PROCENT</t>
  </si>
  <si>
    <t>Droits d'enregistrement réels: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</si>
</sst>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 &quot;€&quot;\ * #,##0.00_ ;_ &quot;€&quot;\ * \-#,##0.00_ ;_ &quot;€&quot;\ * &quot;-&quot;??_ ;_ @_ "/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.00\ &quot;€&quot;"/>
    <numFmt numFmtId="167" formatCode="#.##000"/>
    <numFmt numFmtId="168" formatCode="_-* #,##0\ _F_B_-;\-* #,##0\ _F_B_-;_-* &quot;-&quot;\ _F_B_-;_-@_-"/>
    <numFmt numFmtId="169" formatCode="\$#,#00"/>
    <numFmt numFmtId="170" formatCode="_-* #,##0\ &quot;FB&quot;_-;\-* #,##0\ &quot;FB&quot;_-;_-* &quot;-&quot;\ &quot;FB&quot;_-;_-@_-"/>
    <numFmt numFmtId="171" formatCode="m\o\n\t\h\ d\,\ \y\y\y\y"/>
    <numFmt numFmtId="172" formatCode="#,#00"/>
    <numFmt numFmtId="173" formatCode="#,"/>
    <numFmt numFmtId="174" formatCode="%#,#00"/>
    <numFmt numFmtId="175" formatCode="d/mm/yy"/>
    <numFmt numFmtId="176" formatCode="#,##0.00_ ;\-#,##0.00\ 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1"/>
        <bgColor indexed="9"/>
      </patternFill>
    </fill>
    <fill>
      <patternFill patternType="solid">
        <fgColor indexed="11"/>
        <bgColor indexed="9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9"/>
      </patternFill>
    </fill>
    <fill>
      <patternFill patternType="solid">
        <fgColor indexed="53"/>
        <bgColor indexed="9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7" fontId="5" fillId="0" borderId="0">
      <protection locked="0"/>
    </xf>
    <xf numFmtId="168" fontId="1" fillId="0" borderId="0" applyFont="0" applyFill="0" applyBorder="0" applyAlignment="0" applyProtection="0"/>
    <xf numFmtId="169" fontId="5" fillId="0" borderId="0">
      <protection locked="0"/>
    </xf>
    <xf numFmtId="170" fontId="1" fillId="0" borderId="0" applyFont="0" applyFill="0" applyBorder="0" applyAlignment="0" applyProtection="0"/>
    <xf numFmtId="171" fontId="5" fillId="0" borderId="0">
      <protection locked="0"/>
    </xf>
    <xf numFmtId="172" fontId="5" fillId="0" borderId="0">
      <protection locked="0"/>
    </xf>
    <xf numFmtId="173" fontId="6" fillId="0" borderId="0">
      <protection locked="0"/>
    </xf>
    <xf numFmtId="173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4" fontId="5" fillId="0" borderId="0">
      <protection locked="0"/>
    </xf>
    <xf numFmtId="0" fontId="7" fillId="0" borderId="0"/>
    <xf numFmtId="0" fontId="12" fillId="0" borderId="0"/>
    <xf numFmtId="0" fontId="1" fillId="0" borderId="0"/>
    <xf numFmtId="0" fontId="12" fillId="0" borderId="0"/>
    <xf numFmtId="173" fontId="5" fillId="0" borderId="1">
      <protection locked="0"/>
    </xf>
    <xf numFmtId="0" fontId="13" fillId="0" borderId="5" applyNumberFormat="0" applyFill="0" applyAlignment="0" applyProtection="0"/>
  </cellStyleXfs>
  <cellXfs count="89">
    <xf numFmtId="0" fontId="0" fillId="0" borderId="0" xfId="0"/>
    <xf numFmtId="0" fontId="1" fillId="2" borderId="0" xfId="13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165" fontId="0" fillId="3" borderId="0" xfId="0" applyNumberFormat="1" applyFill="1" applyProtection="1">
      <protection hidden="1"/>
    </xf>
    <xf numFmtId="166" fontId="0" fillId="3" borderId="0" xfId="0" applyNumberFormat="1" applyFill="1" applyProtection="1">
      <protection hidden="1"/>
    </xf>
    <xf numFmtId="0" fontId="1" fillId="3" borderId="0" xfId="0" applyFont="1" applyFill="1" applyProtection="1">
      <protection hidden="1"/>
    </xf>
    <xf numFmtId="0" fontId="3" fillId="3" borderId="0" xfId="0" applyFont="1" applyFill="1" applyAlignment="1" applyProtection="1">
      <alignment horizontal="justify"/>
      <protection hidden="1"/>
    </xf>
    <xf numFmtId="0" fontId="4" fillId="3" borderId="0" xfId="9" applyFill="1" applyAlignment="1" applyProtection="1"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1" fillId="5" borderId="0" xfId="13" applyFont="1" applyFill="1" applyBorder="1" applyAlignment="1" applyProtection="1">
      <alignment horizontal="left"/>
      <protection locked="0" hidden="1"/>
    </xf>
    <xf numFmtId="0" fontId="1" fillId="5" borderId="0" xfId="13" applyFill="1" applyBorder="1" applyAlignment="1" applyProtection="1">
      <alignment horizontal="left"/>
      <protection hidden="1"/>
    </xf>
    <xf numFmtId="165" fontId="0" fillId="4" borderId="0" xfId="0" applyNumberFormat="1" applyFill="1" applyProtection="1">
      <protection hidden="1"/>
    </xf>
    <xf numFmtId="166" fontId="0" fillId="6" borderId="0" xfId="0" applyNumberFormat="1" applyFill="1" applyProtection="1">
      <protection hidden="1"/>
    </xf>
    <xf numFmtId="166" fontId="0" fillId="7" borderId="2" xfId="0" applyNumberFormat="1" applyFill="1" applyBorder="1" applyProtection="1">
      <protection hidden="1"/>
    </xf>
    <xf numFmtId="0" fontId="8" fillId="3" borderId="0" xfId="0" applyFont="1" applyFill="1" applyProtection="1">
      <protection hidden="1"/>
    </xf>
    <xf numFmtId="0" fontId="2" fillId="8" borderId="3" xfId="0" applyFont="1" applyFill="1" applyBorder="1" applyProtection="1">
      <protection hidden="1"/>
    </xf>
    <xf numFmtId="0" fontId="0" fillId="8" borderId="3" xfId="0" applyFill="1" applyBorder="1" applyProtection="1">
      <protection hidden="1"/>
    </xf>
    <xf numFmtId="10" fontId="0" fillId="5" borderId="0" xfId="0" applyNumberFormat="1" applyFill="1" applyProtection="1">
      <protection hidden="1"/>
    </xf>
    <xf numFmtId="10" fontId="3" fillId="3" borderId="0" xfId="0" applyNumberFormat="1" applyFont="1" applyFill="1" applyAlignment="1" applyProtection="1">
      <alignment horizontal="justify"/>
      <protection hidden="1"/>
    </xf>
    <xf numFmtId="10" fontId="0" fillId="3" borderId="0" xfId="0" applyNumberFormat="1" applyFill="1" applyProtection="1">
      <protection hidden="1"/>
    </xf>
    <xf numFmtId="165" fontId="0" fillId="4" borderId="0" xfId="0" applyNumberFormat="1" applyFill="1" applyProtection="1">
      <protection locked="0" hidden="1"/>
    </xf>
    <xf numFmtId="166" fontId="0" fillId="9" borderId="0" xfId="0" applyNumberFormat="1" applyFill="1" applyProtection="1">
      <protection locked="0" hidden="1"/>
    </xf>
    <xf numFmtId="166" fontId="0" fillId="4" borderId="0" xfId="0" applyNumberFormat="1" applyFill="1" applyProtection="1">
      <protection locked="0"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0" fillId="10" borderId="0" xfId="0" applyFill="1" applyProtection="1">
      <protection hidden="1"/>
    </xf>
    <xf numFmtId="0" fontId="8" fillId="11" borderId="0" xfId="0" applyFont="1" applyFill="1" applyProtection="1">
      <protection hidden="1"/>
    </xf>
    <xf numFmtId="164" fontId="0" fillId="8" borderId="0" xfId="0" applyNumberFormat="1" applyFill="1" applyAlignment="1" applyProtection="1">
      <alignment horizontal="center"/>
      <protection locked="0" hidden="1"/>
    </xf>
    <xf numFmtId="165" fontId="0" fillId="5" borderId="0" xfId="0" applyNumberFormat="1" applyFill="1" applyProtection="1">
      <protection hidden="1"/>
    </xf>
    <xf numFmtId="0" fontId="0" fillId="4" borderId="0" xfId="0" applyFill="1" applyProtection="1">
      <protection hidden="1"/>
    </xf>
    <xf numFmtId="0" fontId="0" fillId="8" borderId="0" xfId="0" applyFill="1" applyProtection="1">
      <protection hidden="1"/>
    </xf>
    <xf numFmtId="0" fontId="0" fillId="3" borderId="3" xfId="0" applyFill="1" applyBorder="1" applyProtection="1">
      <protection hidden="1"/>
    </xf>
    <xf numFmtId="0" fontId="0" fillId="5" borderId="0" xfId="0" applyFill="1" applyProtection="1">
      <protection hidden="1"/>
    </xf>
    <xf numFmtId="0" fontId="0" fillId="2" borderId="0" xfId="0" applyFill="1" applyProtection="1">
      <protection hidden="1"/>
    </xf>
    <xf numFmtId="175" fontId="1" fillId="6" borderId="0" xfId="13" applyNumberFormat="1" applyFill="1" applyBorder="1" applyAlignment="1" applyProtection="1">
      <alignment horizontal="left"/>
      <protection locked="0" hidden="1"/>
    </xf>
    <xf numFmtId="0" fontId="4" fillId="3" borderId="0" xfId="9" applyFill="1" applyBorder="1" applyAlignment="1" applyProtection="1">
      <alignment horizontal="left"/>
      <protection hidden="1"/>
    </xf>
    <xf numFmtId="0" fontId="1" fillId="10" borderId="0" xfId="0" applyFont="1" applyFill="1" applyBorder="1" applyAlignment="1" applyProtection="1">
      <alignment horizontal="left"/>
      <protection hidden="1"/>
    </xf>
    <xf numFmtId="0" fontId="1" fillId="10" borderId="4" xfId="13" applyFont="1" applyFill="1" applyBorder="1" applyAlignment="1" applyProtection="1">
      <alignment horizontal="left"/>
      <protection hidden="1"/>
    </xf>
    <xf numFmtId="3" fontId="1" fillId="3" borderId="0" xfId="0" applyNumberFormat="1" applyFont="1" applyFill="1" applyProtection="1">
      <protection hidden="1"/>
    </xf>
    <xf numFmtId="0" fontId="3" fillId="3" borderId="0" xfId="0" applyFont="1" applyFill="1" applyProtection="1">
      <protection hidden="1"/>
    </xf>
    <xf numFmtId="4" fontId="1" fillId="3" borderId="0" xfId="0" applyNumberFormat="1" applyFont="1" applyFill="1" applyProtection="1">
      <protection hidden="1"/>
    </xf>
    <xf numFmtId="4" fontId="1" fillId="12" borderId="0" xfId="0" applyNumberFormat="1" applyFont="1" applyFill="1" applyProtection="1">
      <protection hidden="1"/>
    </xf>
    <xf numFmtId="176" fontId="0" fillId="4" borderId="0" xfId="0" applyNumberFormat="1" applyFill="1" applyBorder="1" applyAlignment="1" applyProtection="1">
      <alignment horizontal="right"/>
      <protection hidden="1"/>
    </xf>
    <xf numFmtId="4" fontId="1" fillId="9" borderId="0" xfId="0" applyNumberFormat="1" applyFont="1" applyFill="1" applyProtection="1">
      <protection hidden="1"/>
    </xf>
    <xf numFmtId="0" fontId="0" fillId="5" borderId="0" xfId="0" applyFill="1" applyBorder="1" applyAlignment="1" applyProtection="1">
      <alignment horizontal="center"/>
      <protection locked="0" hidden="1"/>
    </xf>
    <xf numFmtId="0" fontId="1" fillId="13" borderId="0" xfId="13" applyFill="1" applyBorder="1" applyAlignment="1" applyProtection="1">
      <alignment horizontal="center"/>
      <protection locked="0" hidden="1"/>
    </xf>
    <xf numFmtId="0" fontId="1" fillId="14" borderId="4" xfId="13" applyFont="1" applyFill="1" applyBorder="1" applyAlignment="1" applyProtection="1">
      <alignment horizontal="left"/>
      <protection hidden="1"/>
    </xf>
    <xf numFmtId="49" fontId="0" fillId="4" borderId="0" xfId="13" applyNumberFormat="1" applyFont="1" applyFill="1" applyBorder="1" applyAlignment="1" applyProtection="1">
      <alignment horizontal="left"/>
      <protection locked="0" hidden="1"/>
    </xf>
    <xf numFmtId="10" fontId="0" fillId="4" borderId="0" xfId="0" applyNumberFormat="1" applyFill="1" applyProtection="1">
      <protection locked="0"/>
    </xf>
    <xf numFmtId="10" fontId="0" fillId="15" borderId="0" xfId="0" applyNumberFormat="1" applyFill="1" applyProtection="1">
      <protection hidden="1"/>
    </xf>
    <xf numFmtId="0" fontId="0" fillId="16" borderId="0" xfId="0" applyFill="1" applyProtection="1">
      <protection hidden="1"/>
    </xf>
    <xf numFmtId="165" fontId="0" fillId="16" borderId="0" xfId="0" applyNumberFormat="1" applyFill="1" applyProtection="1">
      <protection hidden="1"/>
    </xf>
    <xf numFmtId="0" fontId="0" fillId="11" borderId="0" xfId="0" applyFill="1" applyProtection="1">
      <protection hidden="1"/>
    </xf>
    <xf numFmtId="165" fontId="0" fillId="11" borderId="0" xfId="0" applyNumberFormat="1" applyFill="1" applyProtection="1">
      <protection hidden="1"/>
    </xf>
    <xf numFmtId="0" fontId="0" fillId="12" borderId="0" xfId="0" applyFill="1" applyProtection="1">
      <protection hidden="1"/>
    </xf>
    <xf numFmtId="165" fontId="0" fillId="12" borderId="0" xfId="0" applyNumberFormat="1" applyFill="1" applyProtection="1">
      <protection hidden="1"/>
    </xf>
    <xf numFmtId="4" fontId="1" fillId="0" borderId="0" xfId="0" applyNumberFormat="1" applyFont="1" applyBorder="1" applyProtection="1">
      <protection locked="0"/>
    </xf>
    <xf numFmtId="44" fontId="8" fillId="2" borderId="0" xfId="0" applyNumberFormat="1" applyFont="1" applyFill="1" applyBorder="1" applyProtection="1">
      <protection locked="0"/>
    </xf>
    <xf numFmtId="10" fontId="1" fillId="0" borderId="0" xfId="0" applyNumberFormat="1" applyFont="1" applyFill="1" applyBorder="1" applyProtection="1">
      <protection locked="0"/>
    </xf>
    <xf numFmtId="0" fontId="0" fillId="17" borderId="0" xfId="0" applyFill="1" applyBorder="1"/>
    <xf numFmtId="0" fontId="0" fillId="17" borderId="0" xfId="0" applyFill="1"/>
    <xf numFmtId="4" fontId="8" fillId="0" borderId="0" xfId="0" applyNumberFormat="1" applyFont="1" applyBorder="1" applyProtection="1">
      <protection locked="0"/>
    </xf>
    <xf numFmtId="4" fontId="1" fillId="0" borderId="0" xfId="0" applyNumberFormat="1" applyFont="1" applyFill="1" applyBorder="1" applyProtection="1">
      <protection locked="0"/>
    </xf>
    <xf numFmtId="10" fontId="1" fillId="0" borderId="0" xfId="0" applyNumberFormat="1" applyFont="1" applyBorder="1" applyProtection="1">
      <protection locked="0"/>
    </xf>
    <xf numFmtId="4" fontId="11" fillId="4" borderId="0" xfId="0" applyNumberFormat="1" applyFont="1" applyFill="1" applyBorder="1" applyProtection="1">
      <protection locked="0"/>
    </xf>
    <xf numFmtId="4" fontId="1" fillId="4" borderId="0" xfId="0" applyNumberFormat="1" applyFont="1" applyFill="1" applyBorder="1" applyProtection="1">
      <protection locked="0"/>
    </xf>
    <xf numFmtId="10" fontId="1" fillId="4" borderId="0" xfId="0" applyNumberFormat="1" applyFont="1" applyFill="1" applyBorder="1" applyProtection="1">
      <protection locked="0"/>
    </xf>
    <xf numFmtId="0" fontId="0" fillId="18" borderId="0" xfId="0" applyFill="1" applyBorder="1"/>
    <xf numFmtId="0" fontId="8" fillId="19" borderId="0" xfId="0" applyFont="1" applyFill="1" applyAlignment="1">
      <alignment horizontal="center"/>
    </xf>
    <xf numFmtId="0" fontId="0" fillId="19" borderId="0" xfId="0" applyFill="1"/>
    <xf numFmtId="44" fontId="0" fillId="6" borderId="0" xfId="0" applyNumberFormat="1" applyFill="1" applyProtection="1">
      <protection hidden="1"/>
    </xf>
    <xf numFmtId="4" fontId="11" fillId="4" borderId="0" xfId="0" applyNumberFormat="1" applyFont="1" applyFill="1" applyBorder="1" applyAlignment="1" applyProtection="1">
      <alignment horizontal="center"/>
      <protection locked="0"/>
    </xf>
    <xf numFmtId="4" fontId="1" fillId="4" borderId="0" xfId="0" applyNumberFormat="1" applyFont="1" applyFill="1" applyBorder="1" applyAlignment="1" applyProtection="1">
      <alignment horizontal="center"/>
      <protection locked="0"/>
    </xf>
    <xf numFmtId="4" fontId="0" fillId="18" borderId="0" xfId="0" applyNumberFormat="1" applyFill="1" applyBorder="1"/>
    <xf numFmtId="4" fontId="8" fillId="19" borderId="0" xfId="0" applyNumberFormat="1" applyFont="1" applyFill="1"/>
    <xf numFmtId="4" fontId="1" fillId="6" borderId="0" xfId="0" applyNumberFormat="1" applyFont="1" applyFill="1" applyProtection="1">
      <protection hidden="1"/>
    </xf>
    <xf numFmtId="44" fontId="0" fillId="12" borderId="0" xfId="0" applyNumberFormat="1" applyFill="1" applyProtection="1">
      <protection hidden="1"/>
    </xf>
    <xf numFmtId="44" fontId="0" fillId="3" borderId="0" xfId="0" applyNumberFormat="1" applyFill="1" applyProtection="1">
      <protection hidden="1"/>
    </xf>
    <xf numFmtId="4" fontId="0" fillId="17" borderId="0" xfId="0" applyNumberFormat="1" applyFill="1"/>
    <xf numFmtId="44" fontId="0" fillId="8" borderId="0" xfId="0" applyNumberFormat="1" applyFill="1" applyProtection="1">
      <protection hidden="1"/>
    </xf>
    <xf numFmtId="44" fontId="0" fillId="20" borderId="0" xfId="0" applyNumberFormat="1" applyFill="1" applyProtection="1">
      <protection hidden="1"/>
    </xf>
    <xf numFmtId="4" fontId="0" fillId="21" borderId="0" xfId="0" applyNumberFormat="1" applyFill="1"/>
    <xf numFmtId="4" fontId="0" fillId="22" borderId="0" xfId="0" applyNumberFormat="1" applyFill="1"/>
    <xf numFmtId="4" fontId="0" fillId="3" borderId="0" xfId="0" applyNumberFormat="1" applyFill="1" applyProtection="1">
      <protection hidden="1"/>
    </xf>
    <xf numFmtId="0" fontId="0" fillId="6" borderId="0" xfId="0" applyFill="1" applyProtection="1">
      <protection hidden="1"/>
    </xf>
    <xf numFmtId="165" fontId="0" fillId="23" borderId="0" xfId="0" applyNumberForma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WALDECACQ.xlsx" TargetMode="External"/><Relationship Id="rId1" Type="http://schemas.openxmlformats.org/officeDocument/2006/relationships/hyperlink" Target="VPWALAFKOP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1"/>
  <sheetViews>
    <sheetView tabSelected="1" workbookViewId="0">
      <selection activeCell="C3" sqref="C3"/>
    </sheetView>
  </sheetViews>
  <sheetFormatPr defaultRowHeight="12.75" x14ac:dyDescent="0.2"/>
  <cols>
    <col min="1" max="1" width="31" style="3" customWidth="1"/>
    <col min="2" max="2" width="1" style="3" customWidth="1"/>
    <col min="3" max="3" width="14.28515625" style="3" customWidth="1"/>
    <col min="4" max="4" width="2.7109375" style="3" customWidth="1"/>
    <col min="5" max="5" width="30.5703125" style="3" customWidth="1"/>
    <col min="6" max="6" width="2.140625" style="3" customWidth="1"/>
    <col min="7" max="7" width="14.5703125" style="3" customWidth="1"/>
    <col min="8" max="8" width="9.140625" style="3"/>
    <col min="9" max="9" width="11.7109375" style="3" customWidth="1"/>
    <col min="10" max="10" width="11.85546875" style="3" bestFit="1" customWidth="1"/>
    <col min="11" max="11" width="13.28515625" style="3" customWidth="1"/>
    <col min="12" max="12" width="11.85546875" style="3" bestFit="1" customWidth="1"/>
    <col min="13" max="16384" width="9.140625" style="3"/>
  </cols>
  <sheetData>
    <row r="1" spans="1:11" ht="13.5" thickTop="1" x14ac:dyDescent="0.2">
      <c r="A1" s="18" t="s">
        <v>39</v>
      </c>
      <c r="B1" s="18"/>
      <c r="C1" s="19"/>
      <c r="D1" s="34"/>
    </row>
    <row r="3" spans="1:11" x14ac:dyDescent="0.2">
      <c r="A3" s="40" t="s">
        <v>0</v>
      </c>
      <c r="B3" s="4"/>
      <c r="C3" s="50" t="s">
        <v>62</v>
      </c>
      <c r="D3" s="11"/>
      <c r="E3" s="32"/>
    </row>
    <row r="4" spans="1:11" x14ac:dyDescent="0.2">
      <c r="A4" s="49" t="s">
        <v>40</v>
      </c>
      <c r="B4" s="4"/>
      <c r="C4" s="12"/>
      <c r="D4" s="13"/>
      <c r="E4" s="35"/>
    </row>
    <row r="5" spans="1:11" x14ac:dyDescent="0.2">
      <c r="A5" s="49" t="s">
        <v>41</v>
      </c>
      <c r="B5" s="4"/>
      <c r="C5" s="1"/>
      <c r="D5" s="2"/>
      <c r="E5" s="36"/>
    </row>
    <row r="6" spans="1:11" x14ac:dyDescent="0.2">
      <c r="A6" s="49" t="s">
        <v>42</v>
      </c>
      <c r="B6" s="4"/>
      <c r="C6" s="37">
        <v>41959</v>
      </c>
      <c r="D6" s="5"/>
    </row>
    <row r="7" spans="1:11" x14ac:dyDescent="0.2">
      <c r="A7" s="49" t="s">
        <v>43</v>
      </c>
      <c r="B7" s="4"/>
      <c r="C7" s="37">
        <v>41974</v>
      </c>
      <c r="D7" s="5"/>
    </row>
    <row r="8" spans="1:11" x14ac:dyDescent="0.2">
      <c r="A8" s="49" t="s">
        <v>44</v>
      </c>
      <c r="B8" s="4"/>
      <c r="C8" s="48" t="s">
        <v>59</v>
      </c>
    </row>
    <row r="9" spans="1:11" x14ac:dyDescent="0.2">
      <c r="A9" s="49" t="s">
        <v>63</v>
      </c>
      <c r="C9" s="51">
        <v>0.3</v>
      </c>
    </row>
    <row r="10" spans="1:11" x14ac:dyDescent="0.2">
      <c r="A10" s="33" t="s">
        <v>45</v>
      </c>
      <c r="C10" s="30">
        <v>0</v>
      </c>
      <c r="E10" s="39" t="s">
        <v>48</v>
      </c>
      <c r="F10" s="8"/>
      <c r="G10" s="47" t="s">
        <v>60</v>
      </c>
    </row>
    <row r="11" spans="1:11" x14ac:dyDescent="0.2">
      <c r="E11" s="39" t="s">
        <v>49</v>
      </c>
      <c r="F11" s="38"/>
      <c r="G11" s="47" t="s">
        <v>61</v>
      </c>
    </row>
    <row r="12" spans="1:11" x14ac:dyDescent="0.2">
      <c r="E12" s="39" t="s">
        <v>50</v>
      </c>
      <c r="F12" s="38"/>
      <c r="G12" s="47" t="s">
        <v>60</v>
      </c>
    </row>
    <row r="13" spans="1:11" x14ac:dyDescent="0.2">
      <c r="A13" s="6"/>
      <c r="B13" s="6"/>
      <c r="D13" s="6"/>
      <c r="G13" s="6"/>
      <c r="H13" s="7"/>
      <c r="I13" s="7"/>
    </row>
    <row r="14" spans="1:11" x14ac:dyDescent="0.2">
      <c r="A14" s="31" t="s">
        <v>46</v>
      </c>
      <c r="B14" s="6"/>
      <c r="C14" s="20">
        <f>IF(C8="non",E41,E41+1%)</f>
        <v>0.31</v>
      </c>
      <c r="D14" s="6"/>
      <c r="E14" s="28" t="s">
        <v>51</v>
      </c>
      <c r="G14" s="6"/>
      <c r="H14" s="7"/>
      <c r="I14" s="7"/>
    </row>
    <row r="15" spans="1:11" x14ac:dyDescent="0.2">
      <c r="E15" s="28" t="s">
        <v>52</v>
      </c>
      <c r="G15" s="15">
        <f>C16-G62</f>
        <v>0</v>
      </c>
      <c r="I15" s="26"/>
      <c r="J15" s="27"/>
      <c r="K15" s="27"/>
    </row>
    <row r="16" spans="1:11" ht="15" customHeight="1" x14ac:dyDescent="0.2">
      <c r="A16" s="32" t="s">
        <v>47</v>
      </c>
      <c r="C16" s="14">
        <f>C10*C14</f>
        <v>0</v>
      </c>
      <c r="G16" s="6"/>
      <c r="I16" s="26"/>
    </row>
    <row r="17" spans="1:7" ht="15" customHeight="1" x14ac:dyDescent="0.2">
      <c r="C17" s="7"/>
      <c r="E17" s="28" t="s">
        <v>53</v>
      </c>
      <c r="G17" s="25">
        <v>0</v>
      </c>
    </row>
    <row r="18" spans="1:7" ht="15" customHeight="1" x14ac:dyDescent="0.2">
      <c r="G18" s="6"/>
    </row>
    <row r="19" spans="1:7" ht="15" customHeight="1" x14ac:dyDescent="0.2">
      <c r="E19" s="28" t="s">
        <v>54</v>
      </c>
      <c r="G19" s="23">
        <v>0</v>
      </c>
    </row>
    <row r="20" spans="1:7" ht="15" customHeight="1" x14ac:dyDescent="0.2">
      <c r="G20" s="6"/>
    </row>
    <row r="21" spans="1:7" ht="15" customHeight="1" x14ac:dyDescent="0.2">
      <c r="E21" s="28" t="s">
        <v>55</v>
      </c>
      <c r="G21" s="23">
        <v>0</v>
      </c>
    </row>
    <row r="22" spans="1:7" ht="15" customHeight="1" x14ac:dyDescent="0.2">
      <c r="G22" s="6"/>
    </row>
    <row r="23" spans="1:7" ht="15" customHeight="1" x14ac:dyDescent="0.2">
      <c r="E23" s="28" t="s">
        <v>56</v>
      </c>
      <c r="G23" s="23">
        <v>0</v>
      </c>
    </row>
    <row r="24" spans="1:7" ht="15" customHeight="1" x14ac:dyDescent="0.2">
      <c r="A24" s="87" t="s">
        <v>84</v>
      </c>
      <c r="B24" s="87"/>
      <c r="C24" s="88">
        <f>L296</f>
        <v>50</v>
      </c>
      <c r="G24" s="7"/>
    </row>
    <row r="25" spans="1:7" ht="15" customHeight="1" x14ac:dyDescent="0.2">
      <c r="E25" s="28" t="s">
        <v>57</v>
      </c>
      <c r="G25" s="24">
        <v>0</v>
      </c>
    </row>
    <row r="26" spans="1:7" ht="15" customHeight="1" thickBot="1" x14ac:dyDescent="0.25">
      <c r="G26" s="7"/>
    </row>
    <row r="27" spans="1:7" ht="15" customHeight="1" thickTop="1" thickBot="1" x14ac:dyDescent="0.25">
      <c r="E27" s="29" t="s">
        <v>58</v>
      </c>
      <c r="F27" s="17"/>
      <c r="G27" s="16">
        <f>SUM(G15:G23)-G25</f>
        <v>0</v>
      </c>
    </row>
    <row r="28" spans="1:7" ht="15" customHeight="1" thickTop="1" x14ac:dyDescent="0.2"/>
    <row r="29" spans="1:7" ht="15" customHeight="1" x14ac:dyDescent="0.2">
      <c r="E29" s="10" t="s">
        <v>2</v>
      </c>
    </row>
    <row r="30" spans="1:7" ht="15" customHeight="1" x14ac:dyDescent="0.2">
      <c r="E30" s="10" t="s">
        <v>1</v>
      </c>
    </row>
    <row r="31" spans="1:7" ht="15" customHeight="1" x14ac:dyDescent="0.2"/>
    <row r="32" spans="1:7" ht="15" hidden="1" customHeight="1" x14ac:dyDescent="0.2"/>
    <row r="33" spans="1:11" ht="15" hidden="1" customHeight="1" x14ac:dyDescent="0.2"/>
    <row r="34" spans="1:11" ht="15" hidden="1" customHeight="1" x14ac:dyDescent="0.2"/>
    <row r="35" spans="1:11" ht="15" hidden="1" customHeight="1" x14ac:dyDescent="0.2"/>
    <row r="36" spans="1:11" ht="15" hidden="1" customHeight="1" x14ac:dyDescent="0.2"/>
    <row r="37" spans="1:11" ht="15" hidden="1" customHeight="1" x14ac:dyDescent="0.2"/>
    <row r="38" spans="1:11" ht="15" hidden="1" customHeight="1" x14ac:dyDescent="0.2"/>
    <row r="39" spans="1:11" ht="15" hidden="1" customHeight="1" x14ac:dyDescent="0.2"/>
    <row r="40" spans="1:11" ht="15" hidden="1" customHeight="1" x14ac:dyDescent="0.25">
      <c r="A40" s="9"/>
      <c r="B40" s="9"/>
    </row>
    <row r="41" spans="1:11" ht="15" hidden="1" customHeight="1" x14ac:dyDescent="0.25">
      <c r="A41" s="9"/>
      <c r="B41" s="9"/>
      <c r="E41" s="20">
        <f>C44</f>
        <v>0.3</v>
      </c>
      <c r="F41" s="22"/>
    </row>
    <row r="42" spans="1:11" ht="15" hidden="1" customHeight="1" x14ac:dyDescent="0.25">
      <c r="A42" s="9"/>
      <c r="B42" s="9"/>
    </row>
    <row r="43" spans="1:11" ht="15" hidden="1" customHeight="1" x14ac:dyDescent="0.25">
      <c r="A43" s="9"/>
      <c r="B43" s="9"/>
    </row>
    <row r="44" spans="1:11" ht="15" hidden="1" customHeight="1" x14ac:dyDescent="0.25">
      <c r="A44" s="21">
        <f>IF(C10&lt;=30000,C9,0)</f>
        <v>0.3</v>
      </c>
      <c r="B44" s="9"/>
      <c r="C44" s="22">
        <f>SUM(A44:A69)</f>
        <v>0.3</v>
      </c>
      <c r="I44" s="6"/>
      <c r="J44" s="6"/>
    </row>
    <row r="45" spans="1:11" ht="15.75" hidden="1" x14ac:dyDescent="0.25">
      <c r="A45" s="21">
        <f>IF(AND(C10&gt;30000,C10&lt;=40000),31.5%,0)</f>
        <v>0</v>
      </c>
      <c r="B45" s="21"/>
      <c r="I45" s="6"/>
      <c r="J45" s="6"/>
    </row>
    <row r="46" spans="1:11" ht="15.75" hidden="1" x14ac:dyDescent="0.25">
      <c r="A46" s="21">
        <f>IF(AND(C10&gt;40000,C10&lt;=50000),28%,0)</f>
        <v>0</v>
      </c>
      <c r="B46" s="21"/>
      <c r="I46" s="6"/>
      <c r="J46" s="6"/>
      <c r="K46" s="6"/>
    </row>
    <row r="47" spans="1:11" ht="15.75" hidden="1" x14ac:dyDescent="0.25">
      <c r="A47" s="21">
        <f>IF(AND(C10&gt;50000,C10&lt;=60000),24.5%,0)</f>
        <v>0</v>
      </c>
      <c r="B47" s="21"/>
    </row>
    <row r="48" spans="1:11" ht="15.75" hidden="1" x14ac:dyDescent="0.25">
      <c r="A48" s="21">
        <f>IF(AND(C10&gt;60000,C10&lt;=70000),23.5%,0)</f>
        <v>0</v>
      </c>
      <c r="B48" s="21"/>
      <c r="I48" s="3">
        <f>IF(K46&gt;0,K46,C16)</f>
        <v>0</v>
      </c>
    </row>
    <row r="49" spans="1:10" ht="15.75" hidden="1" x14ac:dyDescent="0.25">
      <c r="A49" s="21">
        <f>IF(AND(C10&gt;70000,C10&lt;=80000),23%,0)</f>
        <v>0</v>
      </c>
      <c r="B49" s="21"/>
    </row>
    <row r="50" spans="1:10" ht="15.75" hidden="1" x14ac:dyDescent="0.25">
      <c r="A50" s="21">
        <f>IF(AND(C10&gt;80000,C10&lt;=90000),22%,0)</f>
        <v>0</v>
      </c>
      <c r="B50" s="3" t="s">
        <v>61</v>
      </c>
      <c r="C50" s="41" t="s">
        <v>59</v>
      </c>
      <c r="D50" s="41" t="s">
        <v>59</v>
      </c>
      <c r="E50" s="41" t="s">
        <v>59</v>
      </c>
      <c r="G50" s="3" t="e">
        <f>IF(AND(#REF!="ja",G10="ja"),-750,-1500)</f>
        <v>#REF!</v>
      </c>
    </row>
    <row r="51" spans="1:10" ht="15.75" hidden="1" x14ac:dyDescent="0.25">
      <c r="A51" s="21">
        <f>IF(AND(C10&gt;90000,C10&lt;=100000),21.5%,0)</f>
        <v>0</v>
      </c>
      <c r="B51" s="42" t="s">
        <v>7</v>
      </c>
      <c r="C51" s="41" t="s">
        <v>60</v>
      </c>
      <c r="D51" s="41" t="s">
        <v>60</v>
      </c>
      <c r="E51" s="41" t="s">
        <v>60</v>
      </c>
      <c r="G51" s="3">
        <f>IF(AND(G10="ja",G11="ja"),-1000,0)</f>
        <v>0</v>
      </c>
    </row>
    <row r="52" spans="1:10" ht="15.75" hidden="1" x14ac:dyDescent="0.25">
      <c r="A52" s="21">
        <f>IF(AND(C10&gt;100000,C10&lt;=110000),21%,0)</f>
        <v>0</v>
      </c>
      <c r="B52" s="42" t="s">
        <v>8</v>
      </c>
    </row>
    <row r="53" spans="1:10" ht="15.75" hidden="1" x14ac:dyDescent="0.25">
      <c r="A53" s="21">
        <f>IF(AND(C10&gt;110000,C10&lt;=125000),20.75%,0)</f>
        <v>0</v>
      </c>
      <c r="B53" s="42" t="s">
        <v>9</v>
      </c>
      <c r="G53" s="45">
        <f>C10*12.5/100</f>
        <v>0</v>
      </c>
      <c r="H53" s="41"/>
      <c r="I53" s="41"/>
      <c r="J53" s="41"/>
    </row>
    <row r="54" spans="1:10" ht="15.75" hidden="1" x14ac:dyDescent="0.25">
      <c r="A54" s="21">
        <f>IF(AND(C10&gt;125000,C10&lt;=150000),20%,0)</f>
        <v>0</v>
      </c>
      <c r="B54" s="42" t="s">
        <v>10</v>
      </c>
      <c r="G54" s="43">
        <f>C10*10%</f>
        <v>0</v>
      </c>
      <c r="H54" s="41"/>
      <c r="I54" s="41"/>
      <c r="J54" s="41"/>
    </row>
    <row r="55" spans="1:10" ht="15.75" hidden="1" x14ac:dyDescent="0.25">
      <c r="A55" s="21">
        <f>IF(AND(C10&gt;150000,C10&lt;=175000),19.75%,0)</f>
        <v>0</v>
      </c>
      <c r="B55" s="42" t="s">
        <v>11</v>
      </c>
      <c r="G55" s="43">
        <f>IF(C10&gt;150000,9000+(C10-150000)*12.5%,C10*6%)</f>
        <v>0</v>
      </c>
      <c r="H55" s="43">
        <f>IF(C10&gt;160000,9600+(C10-160000)*12.5%,C10*6%)</f>
        <v>0</v>
      </c>
      <c r="I55" s="41"/>
      <c r="J55" s="43">
        <f>IF(AND(G10="oui",G11="P.A.",G12="oui"),G56,0)</f>
        <v>0</v>
      </c>
    </row>
    <row r="56" spans="1:10" ht="15.75" hidden="1" x14ac:dyDescent="0.25">
      <c r="A56" s="21">
        <f>IF(AND(C10&gt;175000,C10&lt;=200000),19.25%,0)</f>
        <v>0</v>
      </c>
      <c r="B56" s="42" t="s">
        <v>12</v>
      </c>
      <c r="G56" s="43">
        <f>IF(C10&gt;150000,7500+(C10-150000)*10%,C10*5%)</f>
        <v>0</v>
      </c>
      <c r="H56" s="43">
        <f>IF(C10&gt;160000,8000+(C10-160000)*10%,C10*5%)</f>
        <v>0</v>
      </c>
      <c r="I56" s="41"/>
      <c r="J56" s="43">
        <f>IF(AND(G10="oui",G11="P.A.",G12="non"),G55,0)</f>
        <v>0</v>
      </c>
    </row>
    <row r="57" spans="1:10" ht="15.75" hidden="1" x14ac:dyDescent="0.25">
      <c r="A57" s="21">
        <f>IF(AND(C10&gt;200000,C10&lt;=225000),18.5%,0)</f>
        <v>0</v>
      </c>
      <c r="B57" s="42" t="s">
        <v>13</v>
      </c>
      <c r="G57" s="41"/>
      <c r="H57" s="41"/>
      <c r="I57" s="41"/>
      <c r="J57" s="43">
        <f>IF(AND(G10="non",G12="oui"),G54,0)</f>
        <v>0</v>
      </c>
    </row>
    <row r="58" spans="1:10" ht="15.75" hidden="1" x14ac:dyDescent="0.25">
      <c r="A58" s="21">
        <f>IF(AND(C10&gt;225000,C10&lt;=250000),18%,0)</f>
        <v>0</v>
      </c>
      <c r="B58" s="42" t="s">
        <v>14</v>
      </c>
      <c r="G58" s="41"/>
      <c r="H58" s="41"/>
      <c r="I58" s="41"/>
      <c r="J58" s="43">
        <f>IF(AND(G10="non",G12="non"),G53,0)</f>
        <v>0</v>
      </c>
    </row>
    <row r="59" spans="1:10" ht="15.75" hidden="1" x14ac:dyDescent="0.25">
      <c r="A59" s="21">
        <f>IF(AND(C10&gt;250000,C10&lt;=275000),17.5%,0)</f>
        <v>0</v>
      </c>
      <c r="B59" s="42" t="s">
        <v>15</v>
      </c>
      <c r="E59" s="7" t="e">
        <f>IF(AND(#REF!="ja",C8="neen"),D111,0)</f>
        <v>#REF!</v>
      </c>
      <c r="F59" s="7"/>
      <c r="G59" s="41"/>
      <c r="H59" s="41"/>
      <c r="I59" s="41"/>
      <c r="J59" s="43">
        <f>IF(AND(G10="oui",G11&lt;&gt;"P.A.",G12="oui"),H56,0)</f>
        <v>0</v>
      </c>
    </row>
    <row r="60" spans="1:10" ht="15.75" hidden="1" x14ac:dyDescent="0.25">
      <c r="A60" s="21">
        <f>IF(AND(C10&gt;275000,C10&lt;=300000),17.25%,0)</f>
        <v>0</v>
      </c>
      <c r="B60" s="42" t="s">
        <v>64</v>
      </c>
      <c r="E60" s="3" t="e">
        <f>IF(AND(#REF!="neen",C8="neen"),D157,0)</f>
        <v>#REF!</v>
      </c>
      <c r="G60" s="41"/>
      <c r="H60" s="41"/>
      <c r="I60" s="41"/>
      <c r="J60" s="43">
        <f>IF(AND(G10="oui",G11&lt;&gt;"P.A.",G12="non"),H55,0)</f>
        <v>0</v>
      </c>
    </row>
    <row r="61" spans="1:10" ht="15.75" hidden="1" x14ac:dyDescent="0.25">
      <c r="A61" s="21">
        <f>IF(AND(C10&gt;300000,C10&lt;=325000),16.75%,0)</f>
        <v>0</v>
      </c>
      <c r="B61" s="42" t="s">
        <v>16</v>
      </c>
      <c r="E61" s="3" t="e">
        <f>IF(AND(#REF!="ja",C8="ja"),D207,0)</f>
        <v>#REF!</v>
      </c>
      <c r="G61" s="41"/>
      <c r="H61" s="41"/>
      <c r="I61" s="41"/>
      <c r="J61" s="43"/>
    </row>
    <row r="62" spans="1:10" ht="13.5" hidden="1" customHeight="1" x14ac:dyDescent="0.25">
      <c r="A62" s="21">
        <f>IF(AND(C10&gt;325000,C10&lt;=375000),16.5%,0)</f>
        <v>0</v>
      </c>
      <c r="B62" s="42" t="s">
        <v>17</v>
      </c>
      <c r="E62" s="3" t="e">
        <f>IF(AND(#REF!="neen",C8="ja"),D257,0)</f>
        <v>#REF!</v>
      </c>
      <c r="G62" s="44">
        <f>G53-J62</f>
        <v>0</v>
      </c>
      <c r="H62" s="41"/>
      <c r="I62" s="41"/>
      <c r="J62" s="46">
        <f>SUM(J55:J61)</f>
        <v>0</v>
      </c>
    </row>
    <row r="63" spans="1:10" ht="15.75" hidden="1" x14ac:dyDescent="0.25">
      <c r="A63" s="21">
        <f>IF(AND(C10&gt;375000,C10&lt;=400000),16%,0)</f>
        <v>0</v>
      </c>
      <c r="B63" s="42" t="s">
        <v>18</v>
      </c>
    </row>
    <row r="64" spans="1:10" ht="13.5" hidden="1" customHeight="1" x14ac:dyDescent="0.25">
      <c r="A64" s="21">
        <f>IF(AND(C10&gt;400000,C10&lt;=425000),15.75%,0)</f>
        <v>0</v>
      </c>
      <c r="B64" s="42" t="s">
        <v>65</v>
      </c>
      <c r="E64" s="7" t="e">
        <f>SUM(E59:E62)</f>
        <v>#REF!</v>
      </c>
      <c r="F64" s="7"/>
    </row>
    <row r="65" spans="1:12" ht="15.75" hidden="1" x14ac:dyDescent="0.25">
      <c r="A65" s="21">
        <f>IF(AND(C10&gt;425000,C10&lt;=500000),15.5%,0)</f>
        <v>0</v>
      </c>
      <c r="B65" s="42" t="s">
        <v>19</v>
      </c>
      <c r="C65" s="3">
        <f>IF(C8="neen",D92,0)</f>
        <v>0</v>
      </c>
      <c r="D65" s="3" t="e">
        <f>IF(AND(#REF!="ja",C8="neen"),G96,0)</f>
        <v>#REF!</v>
      </c>
      <c r="H65" s="3" t="s">
        <v>59</v>
      </c>
      <c r="I65" s="3" t="s">
        <v>59</v>
      </c>
      <c r="J65" s="3" t="s">
        <v>59</v>
      </c>
      <c r="K65" s="3" t="s">
        <v>59</v>
      </c>
      <c r="L65" s="3" t="s">
        <v>59</v>
      </c>
    </row>
    <row r="66" spans="1:12" ht="15.75" hidden="1" x14ac:dyDescent="0.25">
      <c r="A66" s="21">
        <f>IF(AND(C10&gt;500000,C10&lt;=550000),15.25%,0)</f>
        <v>0</v>
      </c>
      <c r="B66" s="42" t="s">
        <v>20</v>
      </c>
      <c r="C66" s="3">
        <f>IF(C8="neen",D138,0)</f>
        <v>0</v>
      </c>
      <c r="D66" s="3" t="e">
        <f>IF(AND(#REF!="neen",C8="neen"),G142,0)</f>
        <v>#REF!</v>
      </c>
      <c r="H66" s="3" t="s">
        <v>60</v>
      </c>
      <c r="I66" s="3" t="s">
        <v>60</v>
      </c>
      <c r="J66" s="3" t="s">
        <v>60</v>
      </c>
      <c r="K66" s="3" t="s">
        <v>60</v>
      </c>
      <c r="L66" s="3" t="s">
        <v>60</v>
      </c>
    </row>
    <row r="67" spans="1:12" ht="15.75" hidden="1" x14ac:dyDescent="0.25">
      <c r="A67" s="21">
        <f>IF(AND(C10&gt;550000,C10&lt;=600000),15%,0)</f>
        <v>0</v>
      </c>
      <c r="B67" s="42" t="s">
        <v>21</v>
      </c>
      <c r="C67" s="3">
        <f>IF(C8="ja",D188,0)</f>
        <v>0</v>
      </c>
      <c r="D67" s="3" t="e">
        <f>IF(AND(#REF!="ja",C8="ja"),G192,0)</f>
        <v>#REF!</v>
      </c>
      <c r="E67" s="3" t="e">
        <f>IF(AND(G10="ja",#REF!="neen"),-1500,0)</f>
        <v>#REF!</v>
      </c>
      <c r="G67" s="3" t="e">
        <f>SUM(D73:E73)</f>
        <v>#REF!</v>
      </c>
    </row>
    <row r="68" spans="1:12" ht="15.75" hidden="1" x14ac:dyDescent="0.25">
      <c r="A68" s="21">
        <f>IF(AND(C10&gt;600000,C10&lt;=750000),14.75%,0)</f>
        <v>0</v>
      </c>
      <c r="B68" s="42" t="s">
        <v>22</v>
      </c>
      <c r="C68" s="3">
        <f>IF(C8="ja",D238,0)</f>
        <v>0</v>
      </c>
      <c r="D68" s="3" t="e">
        <f>IF(AND(#REF!="neen",C8="ja"),G242,0)</f>
        <v>#REF!</v>
      </c>
    </row>
    <row r="69" spans="1:12" ht="15.75" hidden="1" x14ac:dyDescent="0.25">
      <c r="A69" s="21">
        <f>IF(C10&gt;750000,14.5%,0)</f>
        <v>0</v>
      </c>
      <c r="B69" s="42" t="s">
        <v>23</v>
      </c>
    </row>
    <row r="70" spans="1:12" ht="15.75" hidden="1" x14ac:dyDescent="0.25">
      <c r="A70" s="9"/>
      <c r="B70" s="42" t="s">
        <v>24</v>
      </c>
      <c r="C70" s="3">
        <f>SUM(C65:C69)</f>
        <v>0</v>
      </c>
      <c r="D70" s="3" t="e">
        <f>SUM(D65:D69)</f>
        <v>#REF!</v>
      </c>
      <c r="E70" s="3">
        <v>12500</v>
      </c>
      <c r="G70" s="7">
        <f>D76</f>
        <v>0</v>
      </c>
    </row>
    <row r="71" spans="1:12" ht="15.75" hidden="1" x14ac:dyDescent="0.25">
      <c r="A71" s="9"/>
      <c r="B71" s="42" t="s">
        <v>25</v>
      </c>
      <c r="E71" s="3">
        <v>25000</v>
      </c>
      <c r="G71" s="3">
        <f>E70*23.5%</f>
        <v>2937.5</v>
      </c>
    </row>
    <row r="72" spans="1:12" ht="15.75" hidden="1" x14ac:dyDescent="0.25">
      <c r="B72" s="42" t="s">
        <v>26</v>
      </c>
      <c r="E72" s="3">
        <v>37500</v>
      </c>
      <c r="G72" s="3">
        <f>E71*22.5%</f>
        <v>5625</v>
      </c>
    </row>
    <row r="73" spans="1:12" ht="15.75" hidden="1" x14ac:dyDescent="0.25">
      <c r="A73" s="3" t="s">
        <v>3</v>
      </c>
      <c r="B73" s="42" t="s">
        <v>27</v>
      </c>
      <c r="D73" s="3" t="e">
        <f>IF(AND(G10="ja",#REF!="ja"),-750,0)</f>
        <v>#REF!</v>
      </c>
      <c r="E73" s="3">
        <v>50000</v>
      </c>
      <c r="G73" s="3">
        <f>E72*21.5%</f>
        <v>8062.5</v>
      </c>
    </row>
    <row r="74" spans="1:12" ht="15.75" hidden="1" x14ac:dyDescent="0.25">
      <c r="B74" s="42" t="s">
        <v>28</v>
      </c>
      <c r="E74" s="3">
        <v>62500</v>
      </c>
      <c r="G74" s="3">
        <f>E73*20.5%</f>
        <v>10250</v>
      </c>
    </row>
    <row r="75" spans="1:12" ht="15.75" hidden="1" x14ac:dyDescent="0.25">
      <c r="B75" s="42" t="s">
        <v>29</v>
      </c>
      <c r="E75" s="3">
        <v>75000</v>
      </c>
      <c r="G75" s="3">
        <f>E74*19.5%</f>
        <v>12187.5</v>
      </c>
    </row>
    <row r="76" spans="1:12" ht="15.75" hidden="1" x14ac:dyDescent="0.25">
      <c r="A76" s="7">
        <f>$C$10*23.5/100</f>
        <v>0</v>
      </c>
      <c r="B76" s="42" t="s">
        <v>30</v>
      </c>
      <c r="D76" s="7">
        <f>IF($C$10&lt;12501,A76,0)</f>
        <v>0</v>
      </c>
      <c r="E76" s="3">
        <v>100000</v>
      </c>
      <c r="G76" s="3">
        <f>E75*18%</f>
        <v>13500</v>
      </c>
      <c r="I76" s="7">
        <f>D76</f>
        <v>0</v>
      </c>
    </row>
    <row r="77" spans="1:12" ht="15.75" hidden="1" x14ac:dyDescent="0.25">
      <c r="A77" s="7">
        <f>$C$10*22.5/100</f>
        <v>0</v>
      </c>
      <c r="B77" s="42" t="s">
        <v>31</v>
      </c>
      <c r="D77" s="3">
        <f>IF(AND(12500&lt;$C$10,$C$10&lt;25001),A77,0)</f>
        <v>0</v>
      </c>
      <c r="E77" s="3">
        <v>125000</v>
      </c>
      <c r="G77" s="3">
        <f>E76*17.5%</f>
        <v>17500</v>
      </c>
      <c r="I77" s="3">
        <f t="shared" ref="I77:I91" si="0">IF(D77&lt;G71,G71,D77)</f>
        <v>2937.5</v>
      </c>
    </row>
    <row r="78" spans="1:12" ht="15.75" hidden="1" x14ac:dyDescent="0.25">
      <c r="A78" s="7">
        <f>$C$10*21.5/100</f>
        <v>0</v>
      </c>
      <c r="B78" s="42" t="s">
        <v>66</v>
      </c>
      <c r="D78" s="3">
        <f>IF(AND(25000&lt;$C$10,$C$10&lt;37501),A78,0)</f>
        <v>0</v>
      </c>
      <c r="E78" s="3">
        <v>150000</v>
      </c>
      <c r="G78" s="3">
        <f>E77*17%</f>
        <v>21250</v>
      </c>
      <c r="I78" s="3">
        <f t="shared" si="0"/>
        <v>5625</v>
      </c>
    </row>
    <row r="79" spans="1:12" ht="15.75" hidden="1" x14ac:dyDescent="0.25">
      <c r="A79" s="7">
        <f>$C$10*20.5/100</f>
        <v>0</v>
      </c>
      <c r="B79" s="42" t="s">
        <v>67</v>
      </c>
      <c r="D79" s="3">
        <f>IF(AND(37500&lt;$C$10,$C$10&lt;50001),A79,0)</f>
        <v>0</v>
      </c>
      <c r="E79" s="3">
        <v>200000</v>
      </c>
      <c r="G79" s="3">
        <f>E78*16.5%</f>
        <v>24750</v>
      </c>
      <c r="I79" s="3">
        <f t="shared" si="0"/>
        <v>8062.5</v>
      </c>
    </row>
    <row r="80" spans="1:12" ht="15.75" hidden="1" x14ac:dyDescent="0.25">
      <c r="A80" s="7">
        <f>$C$10*19.5/100</f>
        <v>0</v>
      </c>
      <c r="B80" s="42" t="s">
        <v>32</v>
      </c>
      <c r="D80" s="3">
        <f>IF(AND(50000&lt;$C$10,$C$10&lt;62501),A80,0)</f>
        <v>0</v>
      </c>
      <c r="E80" s="3">
        <v>300000</v>
      </c>
      <c r="G80" s="3">
        <f>E79*16%</f>
        <v>32000</v>
      </c>
      <c r="I80" s="3">
        <f t="shared" si="0"/>
        <v>10250</v>
      </c>
    </row>
    <row r="81" spans="1:9" ht="15.75" hidden="1" x14ac:dyDescent="0.25">
      <c r="A81" s="7">
        <f>$C$10*18/100</f>
        <v>0</v>
      </c>
      <c r="B81" s="42" t="s">
        <v>33</v>
      </c>
      <c r="D81" s="3">
        <f>IF(AND(62500&lt;$C$10,$C$10&lt;75001),A81,0)</f>
        <v>0</v>
      </c>
      <c r="E81" s="3">
        <v>375000</v>
      </c>
      <c r="G81" s="3">
        <f>E80*15.5%</f>
        <v>46500</v>
      </c>
      <c r="I81" s="3">
        <f t="shared" si="0"/>
        <v>12187.5</v>
      </c>
    </row>
    <row r="82" spans="1:9" ht="15.75" hidden="1" x14ac:dyDescent="0.25">
      <c r="A82" s="7">
        <f>$C$10*17.5/100</f>
        <v>0</v>
      </c>
      <c r="B82" s="42" t="s">
        <v>68</v>
      </c>
      <c r="D82" s="3">
        <f>IF(AND(75000&lt;$C$10,$C$10&lt;100001),A82,0)</f>
        <v>0</v>
      </c>
      <c r="E82" s="3">
        <v>600000</v>
      </c>
      <c r="G82" s="3">
        <f>E81*14.5%</f>
        <v>54374.999999999993</v>
      </c>
      <c r="I82" s="3">
        <f t="shared" si="0"/>
        <v>13500</v>
      </c>
    </row>
    <row r="83" spans="1:9" ht="15.75" hidden="1" x14ac:dyDescent="0.25">
      <c r="A83" s="7">
        <f>$C$10*17/100</f>
        <v>0</v>
      </c>
      <c r="B83" s="42" t="s">
        <v>69</v>
      </c>
      <c r="D83" s="3">
        <f>IF(AND(100000&lt;$C$10,$C$10&lt;125001),A83,0)</f>
        <v>0</v>
      </c>
      <c r="E83" s="3">
        <v>1000000</v>
      </c>
      <c r="G83" s="3">
        <f>E82*14%</f>
        <v>84000.000000000015</v>
      </c>
      <c r="I83" s="3">
        <f t="shared" si="0"/>
        <v>17500</v>
      </c>
    </row>
    <row r="84" spans="1:9" ht="15.75" hidden="1" x14ac:dyDescent="0.25">
      <c r="A84" s="7">
        <f>$C$10*16.5/100</f>
        <v>0</v>
      </c>
      <c r="B84" s="42" t="s">
        <v>34</v>
      </c>
      <c r="D84" s="3">
        <f>IF(AND(125000&lt;$C$10,$C$10&lt;150001),A84,0)</f>
        <v>0</v>
      </c>
      <c r="E84" s="3">
        <v>1500000</v>
      </c>
      <c r="G84" s="3">
        <f>E83*13.5%</f>
        <v>135000</v>
      </c>
      <c r="I84" s="3">
        <f t="shared" si="0"/>
        <v>21250</v>
      </c>
    </row>
    <row r="85" spans="1:9" ht="15.75" hidden="1" x14ac:dyDescent="0.25">
      <c r="A85" s="7">
        <f>$C$10*16/100</f>
        <v>0</v>
      </c>
      <c r="B85" s="42" t="s">
        <v>35</v>
      </c>
      <c r="D85" s="3">
        <f>IF(AND(150000&lt;$C$10,$C$10&lt;200001),A85,0)</f>
        <v>0</v>
      </c>
      <c r="G85" s="3">
        <f>E84*13.25%</f>
        <v>198750</v>
      </c>
      <c r="I85" s="3">
        <f t="shared" si="0"/>
        <v>24750</v>
      </c>
    </row>
    <row r="86" spans="1:9" ht="15.75" hidden="1" x14ac:dyDescent="0.25">
      <c r="A86" s="7">
        <f>$C$10*15.5/100</f>
        <v>0</v>
      </c>
      <c r="B86" s="42" t="s">
        <v>36</v>
      </c>
      <c r="D86" s="3">
        <f>IF(AND(200000&lt;$C$10,$C$10&lt;300001),A86,0)</f>
        <v>0</v>
      </c>
      <c r="I86" s="3">
        <f t="shared" si="0"/>
        <v>32000</v>
      </c>
    </row>
    <row r="87" spans="1:9" ht="15.75" hidden="1" x14ac:dyDescent="0.25">
      <c r="A87" s="7">
        <f>$C$10*14.5/100</f>
        <v>0</v>
      </c>
      <c r="B87" s="42" t="s">
        <v>37</v>
      </c>
      <c r="D87" s="3">
        <f>IF(AND(300000&lt;$C$10,$C$10&lt;375001),A87,0)</f>
        <v>0</v>
      </c>
      <c r="I87" s="3">
        <f t="shared" si="0"/>
        <v>46500</v>
      </c>
    </row>
    <row r="88" spans="1:9" ht="15.75" hidden="1" x14ac:dyDescent="0.25">
      <c r="A88" s="7">
        <f>$C$10*14/100</f>
        <v>0</v>
      </c>
      <c r="B88" s="42" t="s">
        <v>38</v>
      </c>
      <c r="D88" s="3">
        <f>IF(AND(375000&lt;$C$10,$C$10&lt;600001),A88,0)</f>
        <v>0</v>
      </c>
      <c r="G88" s="7">
        <f>D111-$C$10*5/100</f>
        <v>0</v>
      </c>
      <c r="I88" s="3">
        <f t="shared" si="0"/>
        <v>54374.999999999993</v>
      </c>
    </row>
    <row r="89" spans="1:9" hidden="1" x14ac:dyDescent="0.2">
      <c r="A89" s="7">
        <f>$C$10*13.5/100</f>
        <v>0</v>
      </c>
      <c r="B89" s="7"/>
      <c r="D89" s="3">
        <f>IF(AND(600000&lt;$C$10,$C$10&lt;1000001),A89,0)</f>
        <v>0</v>
      </c>
      <c r="I89" s="3">
        <f t="shared" si="0"/>
        <v>84000.000000000015</v>
      </c>
    </row>
    <row r="90" spans="1:9" hidden="1" x14ac:dyDescent="0.2">
      <c r="A90" s="7">
        <f>$C$10*13.25/100</f>
        <v>0</v>
      </c>
      <c r="B90" s="7"/>
      <c r="D90" s="3">
        <f>IF(AND(1000000&lt;$C$10,$C$10&lt;1500001),A90,0)</f>
        <v>0</v>
      </c>
      <c r="G90" s="3" t="e">
        <f>IF(AND($G$10="ja",#REF!="ja"),I94-750,0)</f>
        <v>#REF!</v>
      </c>
      <c r="I90" s="3">
        <f t="shared" si="0"/>
        <v>135000</v>
      </c>
    </row>
    <row r="91" spans="1:9" hidden="1" x14ac:dyDescent="0.2">
      <c r="A91" s="7">
        <f>$C$10*13/100</f>
        <v>0</v>
      </c>
      <c r="B91" s="7"/>
      <c r="D91" s="3">
        <f>IF(1500000&lt;$C$10,A91,0)</f>
        <v>0</v>
      </c>
      <c r="I91" s="3">
        <f t="shared" si="0"/>
        <v>198750</v>
      </c>
    </row>
    <row r="92" spans="1:9" hidden="1" x14ac:dyDescent="0.2">
      <c r="D92" s="7">
        <f>SUM(D76:D91)</f>
        <v>0</v>
      </c>
      <c r="G92" s="3" t="e">
        <f>IF(G90=0,I96,G90)</f>
        <v>#REF!</v>
      </c>
    </row>
    <row r="93" spans="1:9" hidden="1" x14ac:dyDescent="0.2"/>
    <row r="94" spans="1:9" hidden="1" x14ac:dyDescent="0.2">
      <c r="D94" s="7">
        <f>D76</f>
        <v>0</v>
      </c>
      <c r="G94" s="3" t="e">
        <f>IF(G92=0,I94,G92)</f>
        <v>#REF!</v>
      </c>
      <c r="I94" s="3" t="e">
        <f>IF(#REF!="ja",G88,D111)</f>
        <v>#REF!</v>
      </c>
    </row>
    <row r="95" spans="1:9" hidden="1" x14ac:dyDescent="0.2">
      <c r="D95" s="3">
        <f t="shared" ref="D95:D109" si="1">IF(D77&gt;0,I77,0)</f>
        <v>0</v>
      </c>
    </row>
    <row r="96" spans="1:9" hidden="1" x14ac:dyDescent="0.2">
      <c r="D96" s="3">
        <f t="shared" si="1"/>
        <v>0</v>
      </c>
      <c r="G96" s="3" t="e">
        <f>IF(AND($G$11="ja",$G$10="ja"),G94-1000,G94)</f>
        <v>#REF!</v>
      </c>
      <c r="I96" s="3" t="e">
        <f>IF(AND($G$10="ja",#REF!="neen"),I94-1500,0)</f>
        <v>#REF!</v>
      </c>
    </row>
    <row r="97" spans="4:4" hidden="1" x14ac:dyDescent="0.2">
      <c r="D97" s="3">
        <f t="shared" si="1"/>
        <v>0</v>
      </c>
    </row>
    <row r="98" spans="4:4" hidden="1" x14ac:dyDescent="0.2">
      <c r="D98" s="3">
        <f t="shared" si="1"/>
        <v>0</v>
      </c>
    </row>
    <row r="99" spans="4:4" hidden="1" x14ac:dyDescent="0.2">
      <c r="D99" s="3">
        <f t="shared" si="1"/>
        <v>0</v>
      </c>
    </row>
    <row r="100" spans="4:4" hidden="1" x14ac:dyDescent="0.2">
      <c r="D100" s="3">
        <f t="shared" si="1"/>
        <v>0</v>
      </c>
    </row>
    <row r="101" spans="4:4" hidden="1" x14ac:dyDescent="0.2">
      <c r="D101" s="3">
        <f t="shared" si="1"/>
        <v>0</v>
      </c>
    </row>
    <row r="102" spans="4:4" hidden="1" x14ac:dyDescent="0.2">
      <c r="D102" s="3">
        <f t="shared" si="1"/>
        <v>0</v>
      </c>
    </row>
    <row r="103" spans="4:4" hidden="1" x14ac:dyDescent="0.2">
      <c r="D103" s="3">
        <f t="shared" si="1"/>
        <v>0</v>
      </c>
    </row>
    <row r="104" spans="4:4" hidden="1" x14ac:dyDescent="0.2">
      <c r="D104" s="3">
        <f t="shared" si="1"/>
        <v>0</v>
      </c>
    </row>
    <row r="105" spans="4:4" hidden="1" x14ac:dyDescent="0.2">
      <c r="D105" s="3">
        <f t="shared" si="1"/>
        <v>0</v>
      </c>
    </row>
    <row r="106" spans="4:4" hidden="1" x14ac:dyDescent="0.2">
      <c r="D106" s="3">
        <f t="shared" si="1"/>
        <v>0</v>
      </c>
    </row>
    <row r="107" spans="4:4" hidden="1" x14ac:dyDescent="0.2">
      <c r="D107" s="3">
        <f t="shared" si="1"/>
        <v>0</v>
      </c>
    </row>
    <row r="108" spans="4:4" hidden="1" x14ac:dyDescent="0.2">
      <c r="D108" s="3">
        <f t="shared" si="1"/>
        <v>0</v>
      </c>
    </row>
    <row r="109" spans="4:4" hidden="1" x14ac:dyDescent="0.2">
      <c r="D109" s="3">
        <f t="shared" si="1"/>
        <v>0</v>
      </c>
    </row>
    <row r="110" spans="4:4" hidden="1" x14ac:dyDescent="0.2"/>
    <row r="111" spans="4:4" hidden="1" x14ac:dyDescent="0.2">
      <c r="D111" s="7">
        <f>SUM(D94:D109)</f>
        <v>0</v>
      </c>
    </row>
    <row r="112" spans="4:4" hidden="1" x14ac:dyDescent="0.2"/>
    <row r="113" spans="1:9" hidden="1" x14ac:dyDescent="0.2"/>
    <row r="114" spans="1:9" hidden="1" x14ac:dyDescent="0.2"/>
    <row r="115" spans="1:9" hidden="1" x14ac:dyDescent="0.2"/>
    <row r="116" spans="1:9" hidden="1" x14ac:dyDescent="0.2">
      <c r="C116" s="3" t="e">
        <f>IF(AND($G$10="ja",#REF!="ja"),-750,0)</f>
        <v>#REF!</v>
      </c>
      <c r="E116" s="3">
        <v>12500</v>
      </c>
      <c r="G116" s="7">
        <f>D122</f>
        <v>0</v>
      </c>
    </row>
    <row r="117" spans="1:9" hidden="1" x14ac:dyDescent="0.2">
      <c r="C117" s="3" t="e">
        <f>IF(AND($G$10="ja",#REF!="neen"),-1500,0)</f>
        <v>#REF!</v>
      </c>
      <c r="E117" s="3">
        <v>25000</v>
      </c>
      <c r="G117" s="3">
        <f>E116*23%</f>
        <v>2875</v>
      </c>
    </row>
    <row r="118" spans="1:9" hidden="1" x14ac:dyDescent="0.2">
      <c r="C118" s="3" t="e">
        <f>SUM(C116:C117)</f>
        <v>#REF!</v>
      </c>
      <c r="E118" s="3">
        <v>37500</v>
      </c>
      <c r="G118" s="3">
        <f>E117*22%</f>
        <v>5500</v>
      </c>
    </row>
    <row r="119" spans="1:9" hidden="1" x14ac:dyDescent="0.2">
      <c r="E119" s="3">
        <v>50000</v>
      </c>
      <c r="G119" s="3">
        <f>E118*21%</f>
        <v>7875</v>
      </c>
    </row>
    <row r="120" spans="1:9" hidden="1" x14ac:dyDescent="0.2">
      <c r="A120" s="3" t="s">
        <v>4</v>
      </c>
      <c r="E120" s="3">
        <v>62500</v>
      </c>
      <c r="G120" s="3">
        <f>E119*20%</f>
        <v>10000</v>
      </c>
    </row>
    <row r="121" spans="1:9" hidden="1" x14ac:dyDescent="0.2">
      <c r="E121" s="3">
        <v>75000</v>
      </c>
      <c r="G121" s="3">
        <f>E120*19%</f>
        <v>11875</v>
      </c>
    </row>
    <row r="122" spans="1:9" hidden="1" x14ac:dyDescent="0.2">
      <c r="A122" s="7">
        <f>$C$10*23/100</f>
        <v>0</v>
      </c>
      <c r="B122" s="7"/>
      <c r="D122" s="7">
        <f>IF($C$10&lt;12501,A122,0)</f>
        <v>0</v>
      </c>
      <c r="E122" s="3">
        <v>100000</v>
      </c>
      <c r="G122" s="3">
        <f>E121*17.5%</f>
        <v>13125</v>
      </c>
      <c r="I122" s="7">
        <f>D122</f>
        <v>0</v>
      </c>
    </row>
    <row r="123" spans="1:9" hidden="1" x14ac:dyDescent="0.2">
      <c r="A123" s="7">
        <f>$C$10*22/100</f>
        <v>0</v>
      </c>
      <c r="B123" s="7"/>
      <c r="D123" s="3">
        <f>IF(AND(12500&lt;$C$10,$C$10&lt;25001),A123,0)</f>
        <v>0</v>
      </c>
      <c r="E123" s="3">
        <v>125000</v>
      </c>
      <c r="G123" s="3">
        <f>E122*17%</f>
        <v>17000</v>
      </c>
      <c r="I123" s="3">
        <f t="shared" ref="I123:I137" si="2">IF(D123&lt;G117,G117,D123)</f>
        <v>2875</v>
      </c>
    </row>
    <row r="124" spans="1:9" hidden="1" x14ac:dyDescent="0.2">
      <c r="A124" s="7">
        <f>$C$10*21/100</f>
        <v>0</v>
      </c>
      <c r="B124" s="7"/>
      <c r="D124" s="3">
        <f>IF(AND(25000&lt;$C$10,$C$10&lt;37501),A124,0)</f>
        <v>0</v>
      </c>
      <c r="E124" s="3">
        <v>150000</v>
      </c>
      <c r="G124" s="3">
        <f>E123*16.5%</f>
        <v>20625</v>
      </c>
      <c r="I124" s="3">
        <f t="shared" si="2"/>
        <v>5500</v>
      </c>
    </row>
    <row r="125" spans="1:9" hidden="1" x14ac:dyDescent="0.2">
      <c r="A125" s="7">
        <f>$C$10*20/100</f>
        <v>0</v>
      </c>
      <c r="B125" s="7"/>
      <c r="D125" s="3">
        <f>IF(AND(37500&lt;$C$10,$C$10&lt;50001),A125,0)</f>
        <v>0</v>
      </c>
      <c r="E125" s="3">
        <v>200000</v>
      </c>
      <c r="G125" s="3">
        <f>E124*16%</f>
        <v>24000</v>
      </c>
      <c r="I125" s="3">
        <f t="shared" si="2"/>
        <v>7875</v>
      </c>
    </row>
    <row r="126" spans="1:9" hidden="1" x14ac:dyDescent="0.2">
      <c r="A126" s="7">
        <f>$C$10*19/100</f>
        <v>0</v>
      </c>
      <c r="B126" s="7"/>
      <c r="D126" s="3">
        <f>IF(AND(50000&lt;$C$10,$C$10&lt;62501),A126,0)</f>
        <v>0</v>
      </c>
      <c r="E126" s="3">
        <v>300000</v>
      </c>
      <c r="G126" s="3">
        <f>E125*15.5%</f>
        <v>31000</v>
      </c>
      <c r="I126" s="3">
        <f t="shared" si="2"/>
        <v>10000</v>
      </c>
    </row>
    <row r="127" spans="1:9" hidden="1" x14ac:dyDescent="0.2">
      <c r="A127" s="7">
        <f>$C$10*17.5/100</f>
        <v>0</v>
      </c>
      <c r="B127" s="7"/>
      <c r="D127" s="3">
        <f>IF(AND(62500&lt;$C$10,$C$10&lt;75001),A127,0)</f>
        <v>0</v>
      </c>
      <c r="E127" s="3">
        <v>375000</v>
      </c>
      <c r="G127" s="3">
        <f>E126*15%</f>
        <v>45000</v>
      </c>
      <c r="I127" s="3">
        <f t="shared" si="2"/>
        <v>11875</v>
      </c>
    </row>
    <row r="128" spans="1:9" hidden="1" x14ac:dyDescent="0.2">
      <c r="A128" s="7">
        <f>$C$10*17/100</f>
        <v>0</v>
      </c>
      <c r="B128" s="7"/>
      <c r="D128" s="3">
        <f>IF(AND(75000&lt;$C$10,$C$10&lt;100001),A128,0)</f>
        <v>0</v>
      </c>
      <c r="E128" s="3">
        <v>600000</v>
      </c>
      <c r="G128" s="3">
        <f>E127*14%</f>
        <v>52500.000000000007</v>
      </c>
      <c r="I128" s="3">
        <f t="shared" si="2"/>
        <v>13125</v>
      </c>
    </row>
    <row r="129" spans="1:9" hidden="1" x14ac:dyDescent="0.2">
      <c r="A129" s="7">
        <f>$C$10*16.5/100</f>
        <v>0</v>
      </c>
      <c r="B129" s="7"/>
      <c r="D129" s="3">
        <f>IF(AND(100000&lt;$C$10,$C$10&lt;125001),A129,0)</f>
        <v>0</v>
      </c>
      <c r="E129" s="3">
        <v>1000000</v>
      </c>
      <c r="G129" s="3">
        <f>E128*13.5%</f>
        <v>81000</v>
      </c>
      <c r="I129" s="3">
        <f t="shared" si="2"/>
        <v>17000</v>
      </c>
    </row>
    <row r="130" spans="1:9" hidden="1" x14ac:dyDescent="0.2">
      <c r="A130" s="7">
        <f>$C$10*16/100</f>
        <v>0</v>
      </c>
      <c r="B130" s="7"/>
      <c r="D130" s="3">
        <f>IF(AND(125000&lt;$C$10,$C$10&lt;150001),A130,0)</f>
        <v>0</v>
      </c>
      <c r="E130" s="3">
        <v>1500000</v>
      </c>
      <c r="G130" s="3">
        <f>E129*13%</f>
        <v>130000</v>
      </c>
      <c r="I130" s="3">
        <f t="shared" si="2"/>
        <v>20625</v>
      </c>
    </row>
    <row r="131" spans="1:9" hidden="1" x14ac:dyDescent="0.2">
      <c r="A131" s="7">
        <f>$C$10*15.5/100</f>
        <v>0</v>
      </c>
      <c r="B131" s="7"/>
      <c r="D131" s="3">
        <f>IF(AND(150000&lt;$C$10,$C$10&lt;200001),A131,0)</f>
        <v>0</v>
      </c>
      <c r="G131" s="3">
        <f>E130*12.75%</f>
        <v>191250</v>
      </c>
      <c r="I131" s="3">
        <f t="shared" si="2"/>
        <v>24000</v>
      </c>
    </row>
    <row r="132" spans="1:9" hidden="1" x14ac:dyDescent="0.2">
      <c r="A132" s="7">
        <f>$C$10*15/100</f>
        <v>0</v>
      </c>
      <c r="B132" s="7"/>
      <c r="D132" s="3">
        <f>IF(AND(200000&lt;$C$10,$C$10&lt;300001),A132,0)</f>
        <v>0</v>
      </c>
      <c r="I132" s="3">
        <f t="shared" si="2"/>
        <v>31000</v>
      </c>
    </row>
    <row r="133" spans="1:9" hidden="1" x14ac:dyDescent="0.2">
      <c r="A133" s="7">
        <f>$C$10*14/100</f>
        <v>0</v>
      </c>
      <c r="B133" s="7"/>
      <c r="D133" s="3">
        <f>IF(AND(300000&lt;$C$10,$C$10&lt;375001),A133,0)</f>
        <v>0</v>
      </c>
      <c r="I133" s="3">
        <f t="shared" si="2"/>
        <v>45000</v>
      </c>
    </row>
    <row r="134" spans="1:9" hidden="1" x14ac:dyDescent="0.2">
      <c r="A134" s="7">
        <f>$C$10*13.5/100</f>
        <v>0</v>
      </c>
      <c r="B134" s="7"/>
      <c r="D134" s="3">
        <f>IF(AND(375000&lt;$C$10,$C$10&lt;600001),A134,0)</f>
        <v>0</v>
      </c>
      <c r="G134" s="7">
        <f>D157-$C$10*5/100</f>
        <v>0</v>
      </c>
      <c r="I134" s="3">
        <f t="shared" si="2"/>
        <v>52500.000000000007</v>
      </c>
    </row>
    <row r="135" spans="1:9" hidden="1" x14ac:dyDescent="0.2">
      <c r="A135" s="7">
        <f>$C$10*13/100</f>
        <v>0</v>
      </c>
      <c r="B135" s="7"/>
      <c r="D135" s="3">
        <f>IF(AND(600000&lt;$C$10,$C$10&lt;1000001),A135,0)</f>
        <v>0</v>
      </c>
      <c r="I135" s="3">
        <f t="shared" si="2"/>
        <v>81000</v>
      </c>
    </row>
    <row r="136" spans="1:9" hidden="1" x14ac:dyDescent="0.2">
      <c r="A136" s="7">
        <f>$C$10*12.75/100</f>
        <v>0</v>
      </c>
      <c r="B136" s="7"/>
      <c r="D136" s="3">
        <f>IF(AND(1000000&lt;$C$10,$C$10&lt;1500001),A136,0)</f>
        <v>0</v>
      </c>
      <c r="G136" s="3" t="e">
        <f>IF(AND($G$10="ja",#REF!="ja"),I140-750,0)</f>
        <v>#REF!</v>
      </c>
      <c r="I136" s="3">
        <f t="shared" si="2"/>
        <v>130000</v>
      </c>
    </row>
    <row r="137" spans="1:9" hidden="1" x14ac:dyDescent="0.2">
      <c r="A137" s="7">
        <f>$C$10*12.5/100</f>
        <v>0</v>
      </c>
      <c r="B137" s="7"/>
      <c r="D137" s="3">
        <f>IF(1500000&lt;$C$10,A137,0)</f>
        <v>0</v>
      </c>
      <c r="I137" s="3">
        <f t="shared" si="2"/>
        <v>191250</v>
      </c>
    </row>
    <row r="138" spans="1:9" hidden="1" x14ac:dyDescent="0.2">
      <c r="D138" s="7">
        <f>SUM(D122:D137)</f>
        <v>0</v>
      </c>
      <c r="G138" s="3" t="e">
        <f>IF(G136=0,I142,G136)</f>
        <v>#REF!</v>
      </c>
    </row>
    <row r="139" spans="1:9" hidden="1" x14ac:dyDescent="0.2"/>
    <row r="140" spans="1:9" hidden="1" x14ac:dyDescent="0.2">
      <c r="D140" s="7">
        <f>D122</f>
        <v>0</v>
      </c>
      <c r="G140" s="3" t="e">
        <f>IF(G138=0,I140,G138)</f>
        <v>#REF!</v>
      </c>
      <c r="I140" s="3" t="e">
        <f>IF(#REF!="ja",G134,D157)</f>
        <v>#REF!</v>
      </c>
    </row>
    <row r="141" spans="1:9" hidden="1" x14ac:dyDescent="0.2">
      <c r="D141" s="3">
        <f t="shared" ref="D141:D155" si="3">IF(D123&gt;0,I123,0)</f>
        <v>0</v>
      </c>
    </row>
    <row r="142" spans="1:9" hidden="1" x14ac:dyDescent="0.2">
      <c r="D142" s="3">
        <f t="shared" si="3"/>
        <v>0</v>
      </c>
      <c r="G142" s="3" t="e">
        <f>IF(AND($G$11="ja",$G$10="ja"),G140-1000,G140)</f>
        <v>#REF!</v>
      </c>
      <c r="I142" s="3" t="e">
        <f>IF(AND($G$10="ja",#REF!="neen"),I140-1500,0)</f>
        <v>#REF!</v>
      </c>
    </row>
    <row r="143" spans="1:9" hidden="1" x14ac:dyDescent="0.2">
      <c r="D143" s="3">
        <f t="shared" si="3"/>
        <v>0</v>
      </c>
    </row>
    <row r="144" spans="1:9" hidden="1" x14ac:dyDescent="0.2">
      <c r="D144" s="3">
        <f t="shared" si="3"/>
        <v>0</v>
      </c>
    </row>
    <row r="145" spans="4:4" hidden="1" x14ac:dyDescent="0.2">
      <c r="D145" s="3">
        <f t="shared" si="3"/>
        <v>0</v>
      </c>
    </row>
    <row r="146" spans="4:4" hidden="1" x14ac:dyDescent="0.2">
      <c r="D146" s="3">
        <f t="shared" si="3"/>
        <v>0</v>
      </c>
    </row>
    <row r="147" spans="4:4" hidden="1" x14ac:dyDescent="0.2">
      <c r="D147" s="3">
        <f t="shared" si="3"/>
        <v>0</v>
      </c>
    </row>
    <row r="148" spans="4:4" hidden="1" x14ac:dyDescent="0.2">
      <c r="D148" s="3">
        <f t="shared" si="3"/>
        <v>0</v>
      </c>
    </row>
    <row r="149" spans="4:4" hidden="1" x14ac:dyDescent="0.2">
      <c r="D149" s="3">
        <f t="shared" si="3"/>
        <v>0</v>
      </c>
    </row>
    <row r="150" spans="4:4" hidden="1" x14ac:dyDescent="0.2">
      <c r="D150" s="3">
        <f t="shared" si="3"/>
        <v>0</v>
      </c>
    </row>
    <row r="151" spans="4:4" hidden="1" x14ac:dyDescent="0.2">
      <c r="D151" s="3">
        <f t="shared" si="3"/>
        <v>0</v>
      </c>
    </row>
    <row r="152" spans="4:4" hidden="1" x14ac:dyDescent="0.2">
      <c r="D152" s="3">
        <f t="shared" si="3"/>
        <v>0</v>
      </c>
    </row>
    <row r="153" spans="4:4" hidden="1" x14ac:dyDescent="0.2">
      <c r="D153" s="3">
        <f t="shared" si="3"/>
        <v>0</v>
      </c>
    </row>
    <row r="154" spans="4:4" hidden="1" x14ac:dyDescent="0.2">
      <c r="D154" s="3">
        <f t="shared" si="3"/>
        <v>0</v>
      </c>
    </row>
    <row r="155" spans="4:4" hidden="1" x14ac:dyDescent="0.2">
      <c r="D155" s="3">
        <f t="shared" si="3"/>
        <v>0</v>
      </c>
    </row>
    <row r="156" spans="4:4" hidden="1" x14ac:dyDescent="0.2"/>
    <row r="157" spans="4:4" hidden="1" x14ac:dyDescent="0.2">
      <c r="D157" s="7">
        <f>SUM(D140:D155)</f>
        <v>0</v>
      </c>
    </row>
    <row r="158" spans="4:4" hidden="1" x14ac:dyDescent="0.2"/>
    <row r="159" spans="4:4" hidden="1" x14ac:dyDescent="0.2"/>
    <row r="160" spans="4:4" hidden="1" x14ac:dyDescent="0.2"/>
    <row r="161" spans="1:9" hidden="1" x14ac:dyDescent="0.2"/>
    <row r="162" spans="1:9" hidden="1" x14ac:dyDescent="0.2">
      <c r="C162" s="3" t="e">
        <f>IF(AND($G$10="ja",#REF!="ja"),-750,0)</f>
        <v>#REF!</v>
      </c>
    </row>
    <row r="163" spans="1:9" hidden="1" x14ac:dyDescent="0.2">
      <c r="C163" s="3" t="e">
        <f>IF(AND($G$10="ja",#REF!="neen"),-1500,0)</f>
        <v>#REF!</v>
      </c>
    </row>
    <row r="164" spans="1:9" hidden="1" x14ac:dyDescent="0.2">
      <c r="C164" s="3" t="e">
        <f>SUM(C162:C163)</f>
        <v>#REF!</v>
      </c>
    </row>
    <row r="165" spans="1:9" hidden="1" x14ac:dyDescent="0.2"/>
    <row r="166" spans="1:9" hidden="1" x14ac:dyDescent="0.2">
      <c r="E166" s="3">
        <v>12500</v>
      </c>
      <c r="G166" s="7">
        <f>D172</f>
        <v>0</v>
      </c>
    </row>
    <row r="167" spans="1:9" hidden="1" x14ac:dyDescent="0.2">
      <c r="E167" s="3">
        <v>25000</v>
      </c>
      <c r="G167" s="3">
        <f>E166*22.5%</f>
        <v>2812.5</v>
      </c>
    </row>
    <row r="168" spans="1:9" hidden="1" x14ac:dyDescent="0.2">
      <c r="E168" s="3">
        <v>37500</v>
      </c>
      <c r="G168" s="3">
        <f>E167*21.5%</f>
        <v>5375</v>
      </c>
    </row>
    <row r="169" spans="1:9" hidden="1" x14ac:dyDescent="0.2">
      <c r="E169" s="3">
        <v>50000</v>
      </c>
      <c r="G169" s="3">
        <f>E168*20.5%</f>
        <v>7687.4999999999991</v>
      </c>
    </row>
    <row r="170" spans="1:9" hidden="1" x14ac:dyDescent="0.2">
      <c r="A170" s="3" t="s">
        <v>5</v>
      </c>
      <c r="E170" s="3">
        <v>62500</v>
      </c>
      <c r="G170" s="3">
        <f>E169*19.5%</f>
        <v>9750</v>
      </c>
    </row>
    <row r="171" spans="1:9" hidden="1" x14ac:dyDescent="0.2">
      <c r="E171" s="3">
        <v>75000</v>
      </c>
      <c r="G171" s="3">
        <f>E170*18.5%</f>
        <v>11562.5</v>
      </c>
    </row>
    <row r="172" spans="1:9" hidden="1" x14ac:dyDescent="0.2">
      <c r="A172" s="7">
        <f>$C$10*22.5/100</f>
        <v>0</v>
      </c>
      <c r="B172" s="7"/>
      <c r="D172" s="7">
        <f>IF($C$10&lt;12501,A172,0)</f>
        <v>0</v>
      </c>
      <c r="E172" s="3">
        <v>100000</v>
      </c>
      <c r="G172" s="3">
        <f>E171*17%</f>
        <v>12750.000000000002</v>
      </c>
      <c r="I172" s="7">
        <f>D172</f>
        <v>0</v>
      </c>
    </row>
    <row r="173" spans="1:9" hidden="1" x14ac:dyDescent="0.2">
      <c r="A173" s="7">
        <f>$C$10*21.5/100</f>
        <v>0</v>
      </c>
      <c r="B173" s="7"/>
      <c r="D173" s="3">
        <f>IF(AND(12500&lt;$C$10,$C$10&lt;25001),A173,0)</f>
        <v>0</v>
      </c>
      <c r="E173" s="3">
        <v>125000</v>
      </c>
      <c r="G173" s="3">
        <f>E172*16.5%</f>
        <v>16500</v>
      </c>
      <c r="I173" s="3">
        <f t="shared" ref="I173:I187" si="4">IF(D173&lt;G167,G167,D173)</f>
        <v>2812.5</v>
      </c>
    </row>
    <row r="174" spans="1:9" hidden="1" x14ac:dyDescent="0.2">
      <c r="A174" s="7">
        <f>$C$10*20.5/100</f>
        <v>0</v>
      </c>
      <c r="B174" s="7"/>
      <c r="D174" s="3">
        <f>IF(AND(25000&lt;$C$10,$C$10&lt;37501),A174,0)</f>
        <v>0</v>
      </c>
      <c r="E174" s="3">
        <v>150000</v>
      </c>
      <c r="G174" s="3">
        <f>E173*16%</f>
        <v>20000</v>
      </c>
      <c r="I174" s="3">
        <f t="shared" si="4"/>
        <v>5375</v>
      </c>
    </row>
    <row r="175" spans="1:9" hidden="1" x14ac:dyDescent="0.2">
      <c r="A175" s="7">
        <f>$C$10*19.5/100</f>
        <v>0</v>
      </c>
      <c r="B175" s="7"/>
      <c r="D175" s="3">
        <f>IF(AND(37500&lt;$C$10,$C$10&lt;50001),A175,0)</f>
        <v>0</v>
      </c>
      <c r="E175" s="3">
        <v>200000</v>
      </c>
      <c r="G175" s="3">
        <f>E174*15.5%</f>
        <v>23250</v>
      </c>
      <c r="I175" s="3">
        <f t="shared" si="4"/>
        <v>7687.4999999999991</v>
      </c>
    </row>
    <row r="176" spans="1:9" hidden="1" x14ac:dyDescent="0.2">
      <c r="A176" s="7">
        <f>$C$10*18.5/100</f>
        <v>0</v>
      </c>
      <c r="B176" s="7"/>
      <c r="D176" s="3">
        <f>IF(AND(50000&lt;$C$10,$C$10&lt;62501),A176,0)</f>
        <v>0</v>
      </c>
      <c r="E176" s="3">
        <v>300000</v>
      </c>
      <c r="G176" s="3">
        <f>E175*15%</f>
        <v>30000</v>
      </c>
      <c r="I176" s="3">
        <f t="shared" si="4"/>
        <v>9750</v>
      </c>
    </row>
    <row r="177" spans="1:9" hidden="1" x14ac:dyDescent="0.2">
      <c r="A177" s="7">
        <f>$C$10*17/100</f>
        <v>0</v>
      </c>
      <c r="B177" s="7"/>
      <c r="D177" s="3">
        <f>IF(AND(62500&lt;$C$10,$C$10&lt;75001),A177,0)</f>
        <v>0</v>
      </c>
      <c r="E177" s="3">
        <v>375000</v>
      </c>
      <c r="G177" s="3">
        <f>E176*14.5%</f>
        <v>43500</v>
      </c>
      <c r="I177" s="3">
        <f t="shared" si="4"/>
        <v>11562.5</v>
      </c>
    </row>
    <row r="178" spans="1:9" hidden="1" x14ac:dyDescent="0.2">
      <c r="A178" s="7">
        <f>$C$10*16.5/100</f>
        <v>0</v>
      </c>
      <c r="B178" s="7"/>
      <c r="D178" s="3">
        <f>IF(AND(75000&lt;$C$10,$C$10&lt;100001),A178,0)</f>
        <v>0</v>
      </c>
      <c r="E178" s="3">
        <v>600000</v>
      </c>
      <c r="G178" s="3">
        <f>E177*13.5%</f>
        <v>50625</v>
      </c>
      <c r="I178" s="3">
        <f t="shared" si="4"/>
        <v>12750.000000000002</v>
      </c>
    </row>
    <row r="179" spans="1:9" hidden="1" x14ac:dyDescent="0.2">
      <c r="A179" s="7">
        <f>$C$10*16/100</f>
        <v>0</v>
      </c>
      <c r="B179" s="7"/>
      <c r="D179" s="3">
        <f>IF(AND(100000&lt;$C$10,$C$10&lt;125001),A179,0)</f>
        <v>0</v>
      </c>
      <c r="E179" s="3">
        <v>1000000</v>
      </c>
      <c r="G179" s="3">
        <f>E178*13%</f>
        <v>78000</v>
      </c>
      <c r="I179" s="3">
        <f t="shared" si="4"/>
        <v>16500</v>
      </c>
    </row>
    <row r="180" spans="1:9" hidden="1" x14ac:dyDescent="0.2">
      <c r="A180" s="7">
        <f>$C$10*15.5/100</f>
        <v>0</v>
      </c>
      <c r="B180" s="7"/>
      <c r="D180" s="3">
        <f>IF(AND(125000&lt;$C$10,$C$10&lt;150001),A180,0)</f>
        <v>0</v>
      </c>
      <c r="E180" s="3">
        <v>1500000</v>
      </c>
      <c r="G180" s="3">
        <f>E179*12.5%</f>
        <v>125000</v>
      </c>
      <c r="I180" s="3">
        <f t="shared" si="4"/>
        <v>20000</v>
      </c>
    </row>
    <row r="181" spans="1:9" hidden="1" x14ac:dyDescent="0.2">
      <c r="A181" s="7">
        <f>$C$10*15/100</f>
        <v>0</v>
      </c>
      <c r="B181" s="7"/>
      <c r="D181" s="3">
        <f>IF(AND(150000&lt;$C$10,$C$10&lt;200001),A181,0)</f>
        <v>0</v>
      </c>
      <c r="G181" s="3">
        <f>E180*12.25%</f>
        <v>183750</v>
      </c>
      <c r="I181" s="3">
        <f t="shared" si="4"/>
        <v>23250</v>
      </c>
    </row>
    <row r="182" spans="1:9" hidden="1" x14ac:dyDescent="0.2">
      <c r="A182" s="7">
        <f>$C$10*14.5/100</f>
        <v>0</v>
      </c>
      <c r="B182" s="7"/>
      <c r="D182" s="3">
        <f>IF(AND(200000&lt;$C$10,$C$10&lt;300001),A182,0)</f>
        <v>0</v>
      </c>
      <c r="I182" s="3">
        <f t="shared" si="4"/>
        <v>30000</v>
      </c>
    </row>
    <row r="183" spans="1:9" hidden="1" x14ac:dyDescent="0.2">
      <c r="A183" s="7">
        <f>$C$10*13.5/100</f>
        <v>0</v>
      </c>
      <c r="B183" s="7"/>
      <c r="D183" s="3">
        <f>IF(AND(300000&lt;$C$10,$C$10&lt;375001),A183,0)</f>
        <v>0</v>
      </c>
      <c r="I183" s="3">
        <f t="shared" si="4"/>
        <v>43500</v>
      </c>
    </row>
    <row r="184" spans="1:9" hidden="1" x14ac:dyDescent="0.2">
      <c r="A184" s="7">
        <f>$C$10*13/100</f>
        <v>0</v>
      </c>
      <c r="B184" s="7"/>
      <c r="D184" s="3">
        <f>IF(AND(375000&lt;$C$10,$C$10&lt;600001),A184,0)</f>
        <v>0</v>
      </c>
      <c r="G184" s="7">
        <f>D207-$C$10*5/100</f>
        <v>0</v>
      </c>
      <c r="I184" s="3">
        <f t="shared" si="4"/>
        <v>50625</v>
      </c>
    </row>
    <row r="185" spans="1:9" hidden="1" x14ac:dyDescent="0.2">
      <c r="A185" s="7">
        <f>$C$10*12.5/100</f>
        <v>0</v>
      </c>
      <c r="B185" s="7"/>
      <c r="D185" s="3">
        <f>IF(AND(600000&lt;$C$10,$C$10&lt;1000001),A185,0)</f>
        <v>0</v>
      </c>
      <c r="I185" s="3">
        <f t="shared" si="4"/>
        <v>78000</v>
      </c>
    </row>
    <row r="186" spans="1:9" hidden="1" x14ac:dyDescent="0.2">
      <c r="A186" s="7">
        <f>$C$10*12.25/100</f>
        <v>0</v>
      </c>
      <c r="B186" s="7"/>
      <c r="D186" s="3">
        <f>IF(AND(1000000&lt;$C$10,$C$10&lt;1500001),A186,0)</f>
        <v>0</v>
      </c>
      <c r="G186" s="3" t="e">
        <f>IF(AND($G$10="ja",#REF!="ja"),I190-750,0)</f>
        <v>#REF!</v>
      </c>
      <c r="I186" s="3">
        <f t="shared" si="4"/>
        <v>125000</v>
      </c>
    </row>
    <row r="187" spans="1:9" hidden="1" x14ac:dyDescent="0.2">
      <c r="A187" s="7">
        <f>$C$10*12/100</f>
        <v>0</v>
      </c>
      <c r="B187" s="7"/>
      <c r="D187" s="3">
        <f>IF(1500000&lt;$C$10,A187,0)</f>
        <v>0</v>
      </c>
      <c r="I187" s="3">
        <f t="shared" si="4"/>
        <v>183750</v>
      </c>
    </row>
    <row r="188" spans="1:9" hidden="1" x14ac:dyDescent="0.2">
      <c r="D188" s="7">
        <f>SUM(D172:D187)</f>
        <v>0</v>
      </c>
      <c r="G188" s="3" t="e">
        <f>IF(G186=0,I192,G186)</f>
        <v>#REF!</v>
      </c>
    </row>
    <row r="189" spans="1:9" hidden="1" x14ac:dyDescent="0.2"/>
    <row r="190" spans="1:9" hidden="1" x14ac:dyDescent="0.2">
      <c r="D190" s="7">
        <f>D172</f>
        <v>0</v>
      </c>
      <c r="G190" s="3" t="e">
        <f>IF(G188=0,I190,G188)</f>
        <v>#REF!</v>
      </c>
      <c r="I190" s="3" t="e">
        <f>IF(#REF!="ja",G184,D207)</f>
        <v>#REF!</v>
      </c>
    </row>
    <row r="191" spans="1:9" hidden="1" x14ac:dyDescent="0.2">
      <c r="D191" s="3">
        <f t="shared" ref="D191:D205" si="5">IF(D173&gt;0,I173,0)</f>
        <v>0</v>
      </c>
    </row>
    <row r="192" spans="1:9" hidden="1" x14ac:dyDescent="0.2">
      <c r="D192" s="3">
        <f t="shared" si="5"/>
        <v>0</v>
      </c>
      <c r="G192" s="3" t="e">
        <f>IF(AND($G$11="ja",$G$10="ja"),G190-1000,G190)</f>
        <v>#REF!</v>
      </c>
      <c r="I192" s="3" t="e">
        <f>IF(AND($G$10="ja",#REF!="neen"),I190-1500,0)</f>
        <v>#REF!</v>
      </c>
    </row>
    <row r="193" spans="4:4" hidden="1" x14ac:dyDescent="0.2">
      <c r="D193" s="3">
        <f t="shared" si="5"/>
        <v>0</v>
      </c>
    </row>
    <row r="194" spans="4:4" hidden="1" x14ac:dyDescent="0.2">
      <c r="D194" s="3">
        <f t="shared" si="5"/>
        <v>0</v>
      </c>
    </row>
    <row r="195" spans="4:4" hidden="1" x14ac:dyDescent="0.2">
      <c r="D195" s="3">
        <f t="shared" si="5"/>
        <v>0</v>
      </c>
    </row>
    <row r="196" spans="4:4" hidden="1" x14ac:dyDescent="0.2">
      <c r="D196" s="3">
        <f t="shared" si="5"/>
        <v>0</v>
      </c>
    </row>
    <row r="197" spans="4:4" hidden="1" x14ac:dyDescent="0.2">
      <c r="D197" s="3">
        <f t="shared" si="5"/>
        <v>0</v>
      </c>
    </row>
    <row r="198" spans="4:4" hidden="1" x14ac:dyDescent="0.2">
      <c r="D198" s="3">
        <f t="shared" si="5"/>
        <v>0</v>
      </c>
    </row>
    <row r="199" spans="4:4" hidden="1" x14ac:dyDescent="0.2">
      <c r="D199" s="3">
        <f t="shared" si="5"/>
        <v>0</v>
      </c>
    </row>
    <row r="200" spans="4:4" hidden="1" x14ac:dyDescent="0.2">
      <c r="D200" s="3">
        <f t="shared" si="5"/>
        <v>0</v>
      </c>
    </row>
    <row r="201" spans="4:4" hidden="1" x14ac:dyDescent="0.2">
      <c r="D201" s="3">
        <f t="shared" si="5"/>
        <v>0</v>
      </c>
    </row>
    <row r="202" spans="4:4" hidden="1" x14ac:dyDescent="0.2">
      <c r="D202" s="3">
        <f t="shared" si="5"/>
        <v>0</v>
      </c>
    </row>
    <row r="203" spans="4:4" hidden="1" x14ac:dyDescent="0.2">
      <c r="D203" s="3">
        <f t="shared" si="5"/>
        <v>0</v>
      </c>
    </row>
    <row r="204" spans="4:4" hidden="1" x14ac:dyDescent="0.2">
      <c r="D204" s="3">
        <f t="shared" si="5"/>
        <v>0</v>
      </c>
    </row>
    <row r="205" spans="4:4" hidden="1" x14ac:dyDescent="0.2">
      <c r="D205" s="3">
        <f t="shared" si="5"/>
        <v>0</v>
      </c>
    </row>
    <row r="206" spans="4:4" hidden="1" x14ac:dyDescent="0.2"/>
    <row r="207" spans="4:4" hidden="1" x14ac:dyDescent="0.2">
      <c r="D207" s="7">
        <f>SUM(D190:D205)</f>
        <v>0</v>
      </c>
    </row>
    <row r="208" spans="4:4" hidden="1" x14ac:dyDescent="0.2"/>
    <row r="209" spans="1:9" hidden="1" x14ac:dyDescent="0.2"/>
    <row r="210" spans="1:9" hidden="1" x14ac:dyDescent="0.2"/>
    <row r="211" spans="1:9" hidden="1" x14ac:dyDescent="0.2"/>
    <row r="212" spans="1:9" hidden="1" x14ac:dyDescent="0.2">
      <c r="C212" s="3" t="e">
        <f>IF(AND($G$10="ja",#REF!="ja"),-750,0)</f>
        <v>#REF!</v>
      </c>
    </row>
    <row r="213" spans="1:9" hidden="1" x14ac:dyDescent="0.2">
      <c r="C213" s="3" t="e">
        <f>IF(AND($G$10="ja",#REF!="neen"),-1500,0)</f>
        <v>#REF!</v>
      </c>
    </row>
    <row r="214" spans="1:9" hidden="1" x14ac:dyDescent="0.2">
      <c r="C214" s="3" t="e">
        <f>SUM(C212:C213)</f>
        <v>#REF!</v>
      </c>
    </row>
    <row r="215" spans="1:9" hidden="1" x14ac:dyDescent="0.2"/>
    <row r="216" spans="1:9" hidden="1" x14ac:dyDescent="0.2">
      <c r="E216" s="3">
        <v>12500</v>
      </c>
      <c r="G216" s="7">
        <f>D222</f>
        <v>0</v>
      </c>
    </row>
    <row r="217" spans="1:9" hidden="1" x14ac:dyDescent="0.2">
      <c r="E217" s="3">
        <v>25000</v>
      </c>
      <c r="G217" s="3">
        <f>E216*22%</f>
        <v>2750</v>
      </c>
    </row>
    <row r="218" spans="1:9" hidden="1" x14ac:dyDescent="0.2">
      <c r="E218" s="3">
        <v>37500</v>
      </c>
      <c r="G218" s="3">
        <f>E217*21%</f>
        <v>5250</v>
      </c>
    </row>
    <row r="219" spans="1:9" hidden="1" x14ac:dyDescent="0.2">
      <c r="E219" s="3">
        <v>50000</v>
      </c>
      <c r="G219" s="3">
        <f>E218*20%</f>
        <v>7500</v>
      </c>
    </row>
    <row r="220" spans="1:9" hidden="1" x14ac:dyDescent="0.2">
      <c r="A220" s="3" t="s">
        <v>6</v>
      </c>
      <c r="E220" s="3">
        <v>62500</v>
      </c>
      <c r="G220" s="3">
        <f>E219*19%</f>
        <v>9500</v>
      </c>
    </row>
    <row r="221" spans="1:9" hidden="1" x14ac:dyDescent="0.2">
      <c r="E221" s="3">
        <v>75000</v>
      </c>
      <c r="G221" s="3">
        <f>E220*18%</f>
        <v>11250</v>
      </c>
    </row>
    <row r="222" spans="1:9" hidden="1" x14ac:dyDescent="0.2">
      <c r="A222" s="7">
        <f>$C$10*22/100</f>
        <v>0</v>
      </c>
      <c r="B222" s="7"/>
      <c r="D222" s="7">
        <f>IF($C$10&lt;12501,A222,0)</f>
        <v>0</v>
      </c>
      <c r="E222" s="3">
        <v>100000</v>
      </c>
      <c r="G222" s="3">
        <f>E221*16.5%</f>
        <v>12375</v>
      </c>
      <c r="I222" s="7">
        <f>D222</f>
        <v>0</v>
      </c>
    </row>
    <row r="223" spans="1:9" hidden="1" x14ac:dyDescent="0.2">
      <c r="A223" s="7">
        <f>$C$10*21/100</f>
        <v>0</v>
      </c>
      <c r="B223" s="7"/>
      <c r="D223" s="3">
        <f>IF(AND(12500&lt;$C$10,$C$10&lt;25001),A223,0)</f>
        <v>0</v>
      </c>
      <c r="E223" s="3">
        <v>125000</v>
      </c>
      <c r="G223" s="3">
        <f>E222*16%</f>
        <v>16000</v>
      </c>
      <c r="I223" s="3">
        <f t="shared" ref="I223:I237" si="6">IF(D223&lt;G217,G217,D223)</f>
        <v>2750</v>
      </c>
    </row>
    <row r="224" spans="1:9" hidden="1" x14ac:dyDescent="0.2">
      <c r="A224" s="7">
        <f>$C$10*20/100</f>
        <v>0</v>
      </c>
      <c r="B224" s="7"/>
      <c r="D224" s="3">
        <f>IF(AND(25000&lt;$C$10,$C$10&lt;37501),A224,0)</f>
        <v>0</v>
      </c>
      <c r="E224" s="3">
        <v>150000</v>
      </c>
      <c r="G224" s="3">
        <f>E223*15.5%</f>
        <v>19375</v>
      </c>
      <c r="I224" s="3">
        <f t="shared" si="6"/>
        <v>5250</v>
      </c>
    </row>
    <row r="225" spans="1:9" hidden="1" x14ac:dyDescent="0.2">
      <c r="A225" s="7">
        <f>$C$10*19/100</f>
        <v>0</v>
      </c>
      <c r="B225" s="7"/>
      <c r="D225" s="3">
        <f>IF(AND(37500&lt;$C$10,$C$10&lt;50001),A225,0)</f>
        <v>0</v>
      </c>
      <c r="E225" s="3">
        <v>200000</v>
      </c>
      <c r="G225" s="3">
        <f>E224*15%</f>
        <v>22500</v>
      </c>
      <c r="I225" s="3">
        <f t="shared" si="6"/>
        <v>7500</v>
      </c>
    </row>
    <row r="226" spans="1:9" hidden="1" x14ac:dyDescent="0.2">
      <c r="A226" s="7">
        <f>$C$10*18/100</f>
        <v>0</v>
      </c>
      <c r="B226" s="7"/>
      <c r="D226" s="3">
        <f>IF(AND(50000&lt;$C$10,$C$10&lt;62501),A226,0)</f>
        <v>0</v>
      </c>
      <c r="E226" s="3">
        <v>300000</v>
      </c>
      <c r="G226" s="3">
        <f>E225*14.5%</f>
        <v>28999.999999999996</v>
      </c>
      <c r="I226" s="3">
        <f t="shared" si="6"/>
        <v>9500</v>
      </c>
    </row>
    <row r="227" spans="1:9" hidden="1" x14ac:dyDescent="0.2">
      <c r="A227" s="7">
        <f>$C$10*16.5/100</f>
        <v>0</v>
      </c>
      <c r="B227" s="7"/>
      <c r="D227" s="3">
        <f>IF(AND(62500&lt;$C$10,$C$10&lt;75001),A227,0)</f>
        <v>0</v>
      </c>
      <c r="E227" s="3">
        <v>375000</v>
      </c>
      <c r="G227" s="3">
        <f>E226*14%</f>
        <v>42000.000000000007</v>
      </c>
      <c r="I227" s="3">
        <f t="shared" si="6"/>
        <v>11250</v>
      </c>
    </row>
    <row r="228" spans="1:9" hidden="1" x14ac:dyDescent="0.2">
      <c r="A228" s="7">
        <f>$C$10*16/100</f>
        <v>0</v>
      </c>
      <c r="B228" s="7"/>
      <c r="D228" s="3">
        <f>IF(AND(75000&lt;$C$10,$C$10&lt;100001),A228,0)</f>
        <v>0</v>
      </c>
      <c r="E228" s="3">
        <v>600000</v>
      </c>
      <c r="G228" s="3">
        <f>E227*13%</f>
        <v>48750</v>
      </c>
      <c r="I228" s="3">
        <f t="shared" si="6"/>
        <v>12375</v>
      </c>
    </row>
    <row r="229" spans="1:9" hidden="1" x14ac:dyDescent="0.2">
      <c r="A229" s="7">
        <f>$C$10*15.5/100</f>
        <v>0</v>
      </c>
      <c r="B229" s="7"/>
      <c r="D229" s="3">
        <f>IF(AND(100000&lt;$C$10,$C$10&lt;125001),A229,0)</f>
        <v>0</v>
      </c>
      <c r="E229" s="3">
        <v>1000000</v>
      </c>
      <c r="G229" s="3">
        <f>E228*12.5%</f>
        <v>75000</v>
      </c>
      <c r="I229" s="3">
        <f t="shared" si="6"/>
        <v>16000</v>
      </c>
    </row>
    <row r="230" spans="1:9" hidden="1" x14ac:dyDescent="0.2">
      <c r="A230" s="7">
        <f>$C$10*15/100</f>
        <v>0</v>
      </c>
      <c r="B230" s="7"/>
      <c r="D230" s="3">
        <f>IF(AND(125000&lt;$C$10,$C$10&lt;150001),A230,0)</f>
        <v>0</v>
      </c>
      <c r="E230" s="3">
        <v>1500000</v>
      </c>
      <c r="G230" s="3">
        <f>E229*12%</f>
        <v>120000</v>
      </c>
      <c r="I230" s="3">
        <f t="shared" si="6"/>
        <v>19375</v>
      </c>
    </row>
    <row r="231" spans="1:9" hidden="1" x14ac:dyDescent="0.2">
      <c r="A231" s="7">
        <f>$C$10*14.5/100</f>
        <v>0</v>
      </c>
      <c r="B231" s="7"/>
      <c r="D231" s="3">
        <f>IF(AND(150000&lt;$C$10,$C$10&lt;200001),A231,0)</f>
        <v>0</v>
      </c>
      <c r="G231" s="3">
        <f>E230*11.75%</f>
        <v>176250</v>
      </c>
      <c r="I231" s="3">
        <f t="shared" si="6"/>
        <v>22500</v>
      </c>
    </row>
    <row r="232" spans="1:9" hidden="1" x14ac:dyDescent="0.2">
      <c r="A232" s="7">
        <f>$C$10*14/100</f>
        <v>0</v>
      </c>
      <c r="B232" s="7"/>
      <c r="D232" s="3">
        <f>IF(AND(200000&lt;$C$10,$C$10&lt;300001),A232,0)</f>
        <v>0</v>
      </c>
      <c r="I232" s="3">
        <f t="shared" si="6"/>
        <v>28999.999999999996</v>
      </c>
    </row>
    <row r="233" spans="1:9" hidden="1" x14ac:dyDescent="0.2">
      <c r="A233" s="7">
        <f>$C$10*13/100</f>
        <v>0</v>
      </c>
      <c r="B233" s="7"/>
      <c r="D233" s="3">
        <f>IF(AND(300000&lt;$C$10,$C$10&lt;375001),A233,0)</f>
        <v>0</v>
      </c>
      <c r="I233" s="3">
        <f t="shared" si="6"/>
        <v>42000.000000000007</v>
      </c>
    </row>
    <row r="234" spans="1:9" hidden="1" x14ac:dyDescent="0.2">
      <c r="A234" s="7">
        <f>$C$10*12.5/100</f>
        <v>0</v>
      </c>
      <c r="B234" s="7"/>
      <c r="D234" s="3">
        <f>IF(AND(375000&lt;$C$10,$C$10&lt;600001),A234,0)</f>
        <v>0</v>
      </c>
      <c r="G234" s="7">
        <f>D257-$C$10*5/100</f>
        <v>0</v>
      </c>
      <c r="I234" s="3">
        <f t="shared" si="6"/>
        <v>48750</v>
      </c>
    </row>
    <row r="235" spans="1:9" hidden="1" x14ac:dyDescent="0.2">
      <c r="A235" s="7">
        <f>$C$10*12/100</f>
        <v>0</v>
      </c>
      <c r="B235" s="7"/>
      <c r="D235" s="3">
        <f>IF(AND(600000&lt;$C$10,$C$10&lt;1000001),A235,0)</f>
        <v>0</v>
      </c>
      <c r="I235" s="3">
        <f t="shared" si="6"/>
        <v>75000</v>
      </c>
    </row>
    <row r="236" spans="1:9" hidden="1" x14ac:dyDescent="0.2">
      <c r="A236" s="7">
        <f>$C$10*11.75/100</f>
        <v>0</v>
      </c>
      <c r="B236" s="7"/>
      <c r="D236" s="3">
        <f>IF(AND(1000000&lt;$C$10,$C$10&lt;1500001),A236,0)</f>
        <v>0</v>
      </c>
      <c r="G236" s="3" t="e">
        <f>IF(AND($G$10="ja",#REF!="ja"),I240-750,0)</f>
        <v>#REF!</v>
      </c>
      <c r="I236" s="3">
        <f t="shared" si="6"/>
        <v>120000</v>
      </c>
    </row>
    <row r="237" spans="1:9" hidden="1" x14ac:dyDescent="0.2">
      <c r="A237" s="7">
        <f>$C$10*11.5/100</f>
        <v>0</v>
      </c>
      <c r="B237" s="7"/>
      <c r="D237" s="3">
        <f>IF(1500000&lt;$C$10,A237,0)</f>
        <v>0</v>
      </c>
      <c r="I237" s="3">
        <f t="shared" si="6"/>
        <v>176250</v>
      </c>
    </row>
    <row r="238" spans="1:9" hidden="1" x14ac:dyDescent="0.2">
      <c r="D238" s="7">
        <f>SUM(D222:D237)</f>
        <v>0</v>
      </c>
      <c r="G238" s="3" t="e">
        <f>IF(G236=0,I242,G236)</f>
        <v>#REF!</v>
      </c>
    </row>
    <row r="239" spans="1:9" hidden="1" x14ac:dyDescent="0.2"/>
    <row r="240" spans="1:9" hidden="1" x14ac:dyDescent="0.2">
      <c r="D240" s="7">
        <f>D222</f>
        <v>0</v>
      </c>
      <c r="G240" s="3" t="e">
        <f>IF(G238=0,I240,G238)</f>
        <v>#REF!</v>
      </c>
      <c r="I240" s="3" t="e">
        <f>IF(#REF!="ja",G234,D257)</f>
        <v>#REF!</v>
      </c>
    </row>
    <row r="241" spans="4:9" hidden="1" x14ac:dyDescent="0.2">
      <c r="D241" s="3">
        <f t="shared" ref="D241:D255" si="7">IF(D223&gt;0,I223,0)</f>
        <v>0</v>
      </c>
    </row>
    <row r="242" spans="4:9" hidden="1" x14ac:dyDescent="0.2">
      <c r="D242" s="3">
        <f t="shared" si="7"/>
        <v>0</v>
      </c>
      <c r="G242" s="3" t="e">
        <f>IF(AND($G$11="ja",$G$10="ja"),G240-1000,G240)</f>
        <v>#REF!</v>
      </c>
      <c r="I242" s="3" t="e">
        <f>IF(AND($G$10="ja",#REF!="neen"),I240-1500,0)</f>
        <v>#REF!</v>
      </c>
    </row>
    <row r="243" spans="4:9" hidden="1" x14ac:dyDescent="0.2">
      <c r="D243" s="3">
        <f t="shared" si="7"/>
        <v>0</v>
      </c>
    </row>
    <row r="244" spans="4:9" hidden="1" x14ac:dyDescent="0.2">
      <c r="D244" s="3">
        <f t="shared" si="7"/>
        <v>0</v>
      </c>
    </row>
    <row r="245" spans="4:9" hidden="1" x14ac:dyDescent="0.2">
      <c r="D245" s="3">
        <f t="shared" si="7"/>
        <v>0</v>
      </c>
    </row>
    <row r="246" spans="4:9" hidden="1" x14ac:dyDescent="0.2">
      <c r="D246" s="3">
        <f t="shared" si="7"/>
        <v>0</v>
      </c>
    </row>
    <row r="247" spans="4:9" hidden="1" x14ac:dyDescent="0.2">
      <c r="D247" s="3">
        <f t="shared" si="7"/>
        <v>0</v>
      </c>
    </row>
    <row r="248" spans="4:9" hidden="1" x14ac:dyDescent="0.2">
      <c r="D248" s="3">
        <f t="shared" si="7"/>
        <v>0</v>
      </c>
    </row>
    <row r="249" spans="4:9" hidden="1" x14ac:dyDescent="0.2">
      <c r="D249" s="3">
        <f t="shared" si="7"/>
        <v>0</v>
      </c>
    </row>
    <row r="250" spans="4:9" hidden="1" x14ac:dyDescent="0.2">
      <c r="D250" s="3">
        <f t="shared" si="7"/>
        <v>0</v>
      </c>
    </row>
    <row r="251" spans="4:9" hidden="1" x14ac:dyDescent="0.2">
      <c r="D251" s="3">
        <f t="shared" si="7"/>
        <v>0</v>
      </c>
    </row>
    <row r="252" spans="4:9" hidden="1" x14ac:dyDescent="0.2">
      <c r="D252" s="3">
        <f t="shared" si="7"/>
        <v>0</v>
      </c>
    </row>
    <row r="253" spans="4:9" hidden="1" x14ac:dyDescent="0.2">
      <c r="D253" s="3">
        <f t="shared" si="7"/>
        <v>0</v>
      </c>
    </row>
    <row r="254" spans="4:9" hidden="1" x14ac:dyDescent="0.2">
      <c r="D254" s="3">
        <f t="shared" si="7"/>
        <v>0</v>
      </c>
    </row>
    <row r="255" spans="4:9" hidden="1" x14ac:dyDescent="0.2">
      <c r="D255" s="3">
        <f t="shared" si="7"/>
        <v>0</v>
      </c>
    </row>
    <row r="256" spans="4:9" hidden="1" x14ac:dyDescent="0.2"/>
    <row r="257" spans="1:8" hidden="1" x14ac:dyDescent="0.2">
      <c r="D257" s="7">
        <f>SUM(D240:D255)</f>
        <v>0</v>
      </c>
    </row>
    <row r="258" spans="1:8" hidden="1" x14ac:dyDescent="0.2"/>
    <row r="259" spans="1:8" hidden="1" x14ac:dyDescent="0.2"/>
    <row r="260" spans="1:8" hidden="1" x14ac:dyDescent="0.2"/>
    <row r="261" spans="1:8" hidden="1" x14ac:dyDescent="0.2"/>
    <row r="262" spans="1:8" hidden="1" x14ac:dyDescent="0.2">
      <c r="C262" s="3" t="e">
        <f>IF(AND($G$10="ja",#REF!="ja"),-750,0)</f>
        <v>#REF!</v>
      </c>
    </row>
    <row r="263" spans="1:8" hidden="1" x14ac:dyDescent="0.2">
      <c r="C263" s="3" t="e">
        <f>IF(AND($G$10="ja",#REF!="neen"),-1500,0)</f>
        <v>#REF!</v>
      </c>
    </row>
    <row r="264" spans="1:8" hidden="1" x14ac:dyDescent="0.2">
      <c r="C264" s="3" t="e">
        <f>SUM(C262:C263)</f>
        <v>#REF!</v>
      </c>
    </row>
    <row r="265" spans="1:8" hidden="1" x14ac:dyDescent="0.2"/>
    <row r="266" spans="1:8" hidden="1" x14ac:dyDescent="0.2"/>
    <row r="267" spans="1:8" hidden="1" x14ac:dyDescent="0.2"/>
    <row r="268" spans="1:8" hidden="1" x14ac:dyDescent="0.2"/>
    <row r="269" spans="1:8" hidden="1" x14ac:dyDescent="0.2">
      <c r="A269" s="32" t="s">
        <v>70</v>
      </c>
      <c r="C269" s="52">
        <f>IF(G10="oui",C14-6.5%,C14)</f>
        <v>0.31</v>
      </c>
      <c r="D269" s="6">
        <f>C10*C269</f>
        <v>0</v>
      </c>
      <c r="F269" s="53" t="s">
        <v>71</v>
      </c>
      <c r="H269" s="54">
        <f>C10+D274</f>
        <v>0</v>
      </c>
    </row>
    <row r="270" spans="1:8" hidden="1" x14ac:dyDescent="0.2">
      <c r="D270" s="14">
        <f>D269+G17+G19</f>
        <v>0</v>
      </c>
    </row>
    <row r="271" spans="1:8" hidden="1" x14ac:dyDescent="0.2"/>
    <row r="272" spans="1:8" hidden="1" x14ac:dyDescent="0.2">
      <c r="A272" s="55" t="s">
        <v>72</v>
      </c>
      <c r="D272" s="56">
        <f>IF(G10="oui",G320,G307)</f>
        <v>0</v>
      </c>
    </row>
    <row r="273" spans="1:12" hidden="1" x14ac:dyDescent="0.2"/>
    <row r="274" spans="1:12" hidden="1" x14ac:dyDescent="0.2">
      <c r="A274" s="57" t="s">
        <v>73</v>
      </c>
      <c r="D274" s="58">
        <f>D270-D272</f>
        <v>0</v>
      </c>
      <c r="I274" s="22"/>
      <c r="J274" s="22"/>
      <c r="K274" s="22"/>
      <c r="L274" s="22"/>
    </row>
    <row r="275" spans="1:12" hidden="1" x14ac:dyDescent="0.2">
      <c r="I275" s="22"/>
      <c r="J275" s="22"/>
    </row>
    <row r="276" spans="1:12" hidden="1" x14ac:dyDescent="0.2">
      <c r="I276" s="22"/>
      <c r="J276" s="22"/>
    </row>
    <row r="277" spans="1:12" hidden="1" x14ac:dyDescent="0.2">
      <c r="A277" s="59" t="s">
        <v>74</v>
      </c>
      <c r="B277" s="59"/>
      <c r="C277" s="60">
        <f>C10</f>
        <v>0</v>
      </c>
      <c r="D277" s="61"/>
      <c r="E277" s="62"/>
      <c r="F277" s="63"/>
      <c r="G277" s="63"/>
      <c r="I277" s="22"/>
      <c r="J277" s="22"/>
    </row>
    <row r="278" spans="1:12" hidden="1" x14ac:dyDescent="0.2">
      <c r="A278" s="64"/>
      <c r="B278" s="59"/>
      <c r="C278" s="65"/>
      <c r="D278" s="66"/>
      <c r="E278" s="62"/>
      <c r="F278" s="63"/>
      <c r="G278" s="63"/>
      <c r="I278" s="22"/>
      <c r="J278" s="22"/>
    </row>
    <row r="279" spans="1:12" hidden="1" x14ac:dyDescent="0.2">
      <c r="A279" s="67" t="s">
        <v>75</v>
      </c>
      <c r="B279" s="68"/>
      <c r="C279" s="68"/>
      <c r="D279" s="69"/>
      <c r="E279" s="70"/>
      <c r="F279" s="63"/>
      <c r="G279" s="63"/>
      <c r="I279" s="22"/>
      <c r="J279" s="22"/>
    </row>
    <row r="280" spans="1:12" hidden="1" x14ac:dyDescent="0.2">
      <c r="A280" s="67"/>
      <c r="B280" s="68"/>
      <c r="C280" s="68"/>
      <c r="D280" s="69"/>
      <c r="E280" s="70"/>
      <c r="F280" s="63"/>
      <c r="G280" s="63"/>
      <c r="I280" s="22"/>
      <c r="J280" s="22"/>
    </row>
    <row r="281" spans="1:12" hidden="1" x14ac:dyDescent="0.2">
      <c r="A281" s="67" t="s">
        <v>76</v>
      </c>
      <c r="B281" s="68"/>
      <c r="C281" s="68"/>
      <c r="D281" s="69"/>
      <c r="E281" s="70"/>
      <c r="F281" s="63"/>
      <c r="G281" s="63"/>
      <c r="I281" s="22"/>
      <c r="J281" s="22"/>
    </row>
    <row r="282" spans="1:12" hidden="1" x14ac:dyDescent="0.2">
      <c r="A282" s="67"/>
      <c r="B282" s="68"/>
      <c r="C282" s="68"/>
      <c r="D282" s="69"/>
      <c r="E282" s="70"/>
      <c r="F282" s="63"/>
      <c r="G282" s="63"/>
      <c r="J282" s="6"/>
    </row>
    <row r="283" spans="1:12" hidden="1" x14ac:dyDescent="0.2">
      <c r="A283" s="67" t="s">
        <v>77</v>
      </c>
      <c r="B283" s="68"/>
      <c r="C283" s="68"/>
      <c r="D283" s="69"/>
      <c r="E283" s="70"/>
      <c r="F283" s="63"/>
      <c r="G283" s="71" t="s">
        <v>78</v>
      </c>
      <c r="I283" s="6"/>
      <c r="J283" s="6"/>
    </row>
    <row r="284" spans="1:12" hidden="1" x14ac:dyDescent="0.2">
      <c r="A284" s="67"/>
      <c r="B284" s="68"/>
      <c r="C284" s="68"/>
      <c r="D284" s="69"/>
      <c r="E284" s="70"/>
      <c r="F284" s="63"/>
      <c r="G284" s="72"/>
      <c r="I284" s="73">
        <f>H269*12.5%</f>
        <v>0</v>
      </c>
    </row>
    <row r="285" spans="1:12" hidden="1" x14ac:dyDescent="0.2">
      <c r="A285" s="74" t="s">
        <v>79</v>
      </c>
      <c r="B285" s="75" t="s">
        <v>80</v>
      </c>
      <c r="C285" s="68"/>
      <c r="D285" s="69"/>
      <c r="E285" s="70"/>
      <c r="F285" s="63"/>
      <c r="G285" s="72"/>
      <c r="I285" s="73">
        <f>H269*10%</f>
        <v>0</v>
      </c>
    </row>
    <row r="286" spans="1:12" hidden="1" x14ac:dyDescent="0.2">
      <c r="A286" s="68">
        <v>0</v>
      </c>
      <c r="B286" s="68">
        <v>7500</v>
      </c>
      <c r="C286" s="68">
        <f>IF(AND(C277&gt;A286,C277&lt;=B286),C277,0)</f>
        <v>0</v>
      </c>
      <c r="D286" s="69">
        <v>0.16900000000000001</v>
      </c>
      <c r="E286" s="76">
        <f>D286*C286</f>
        <v>0</v>
      </c>
      <c r="F286" s="63">
        <v>500</v>
      </c>
      <c r="G286" s="77">
        <f t="shared" ref="G286:G292" si="8">IF(E286&gt;0,SUM(E286:F286),0)</f>
        <v>0</v>
      </c>
      <c r="I286" s="78">
        <f>IF(H269&gt;150000,9000+(H269-150000)*12.5%,H269*6%)</f>
        <v>0</v>
      </c>
      <c r="J286" s="78">
        <f>IF(H269&gt;160000,9600+(H269-160000)*12.5%,H269*6%)</f>
        <v>0</v>
      </c>
    </row>
    <row r="287" spans="1:12" hidden="1" x14ac:dyDescent="0.2">
      <c r="A287" s="68">
        <f t="shared" ref="A287:A292" si="9">B286</f>
        <v>7500</v>
      </c>
      <c r="B287" s="68">
        <v>10000</v>
      </c>
      <c r="C287" s="68">
        <f>IF(AND(C277&gt;A287,C277&lt;=B287),C277,0)</f>
        <v>0</v>
      </c>
      <c r="D287" s="69">
        <v>0.16209999999999999</v>
      </c>
      <c r="E287" s="76">
        <f t="shared" ref="E287:E292" si="10">D287*C287</f>
        <v>0</v>
      </c>
      <c r="F287" s="63">
        <v>551.73</v>
      </c>
      <c r="G287" s="77">
        <f t="shared" si="8"/>
        <v>0</v>
      </c>
      <c r="I287" s="78">
        <f>IF(H269&gt;150000,7500+(H269-150000)*10%,H269*5%)</f>
        <v>0</v>
      </c>
      <c r="J287" s="78">
        <f>IF(H269&gt;160000,8000+(H269-160000)*10%,H269*5%)</f>
        <v>0</v>
      </c>
      <c r="L287" s="79">
        <f>IF(AND(G10="oui",G11="P.A.",G12="oui"),I287,0)</f>
        <v>0</v>
      </c>
    </row>
    <row r="288" spans="1:12" hidden="1" x14ac:dyDescent="0.2">
      <c r="A288" s="68">
        <f t="shared" si="9"/>
        <v>10000</v>
      </c>
      <c r="B288" s="68">
        <v>12500</v>
      </c>
      <c r="C288" s="68">
        <f>IF(AND(C277&gt;A288,C277&lt;=B288),C277,0)</f>
        <v>0</v>
      </c>
      <c r="D288" s="69">
        <v>0.1552</v>
      </c>
      <c r="E288" s="76">
        <f t="shared" si="10"/>
        <v>0</v>
      </c>
      <c r="F288" s="63">
        <v>620.71</v>
      </c>
      <c r="G288" s="77">
        <f t="shared" si="8"/>
        <v>0</v>
      </c>
      <c r="L288" s="79">
        <f>IF(AND(G10="oui",G11="P.A.",G12="non"),I286,0)</f>
        <v>0</v>
      </c>
    </row>
    <row r="289" spans="1:12" hidden="1" x14ac:dyDescent="0.2">
      <c r="A289" s="68">
        <f t="shared" si="9"/>
        <v>12500</v>
      </c>
      <c r="B289" s="68">
        <v>15495</v>
      </c>
      <c r="C289" s="68">
        <f>IF(AND(C277&gt;A289,C277&lt;=B289),C277,0)</f>
        <v>0</v>
      </c>
      <c r="D289" s="69">
        <v>0.14829999999999999</v>
      </c>
      <c r="E289" s="76">
        <f t="shared" si="10"/>
        <v>0</v>
      </c>
      <c r="F289" s="63">
        <v>706.91</v>
      </c>
      <c r="G289" s="77">
        <f t="shared" si="8"/>
        <v>0</v>
      </c>
      <c r="L289" s="79">
        <f>IF(AND(G10="non",G12="oui"),I285,0)</f>
        <v>0</v>
      </c>
    </row>
    <row r="290" spans="1:12" hidden="1" x14ac:dyDescent="0.2">
      <c r="A290" s="68">
        <f t="shared" si="9"/>
        <v>15495</v>
      </c>
      <c r="B290" s="68">
        <v>18600</v>
      </c>
      <c r="C290" s="68">
        <f>IF(AND(C277&gt;A290,C277&lt;=B290),C277,0)</f>
        <v>0</v>
      </c>
      <c r="D290" s="69">
        <v>0.13450000000000001</v>
      </c>
      <c r="E290" s="76">
        <f t="shared" si="10"/>
        <v>0</v>
      </c>
      <c r="F290" s="63">
        <v>920.65</v>
      </c>
      <c r="G290" s="77">
        <f t="shared" si="8"/>
        <v>0</v>
      </c>
      <c r="L290" s="79">
        <f>IF(AND(G10="non",G12="non"),I284,0)</f>
        <v>0</v>
      </c>
    </row>
    <row r="291" spans="1:12" hidden="1" x14ac:dyDescent="0.2">
      <c r="A291" s="68">
        <f t="shared" si="9"/>
        <v>18600</v>
      </c>
      <c r="B291" s="68">
        <v>186000</v>
      </c>
      <c r="C291" s="68">
        <f>IF(AND(C277&gt;A291,C277&lt;=B291),C277,0)</f>
        <v>0</v>
      </c>
      <c r="D291" s="69">
        <v>0.1166</v>
      </c>
      <c r="E291" s="76">
        <f t="shared" si="10"/>
        <v>0</v>
      </c>
      <c r="F291" s="63">
        <v>4256.04</v>
      </c>
      <c r="G291" s="77">
        <f t="shared" si="8"/>
        <v>0</v>
      </c>
      <c r="L291" s="79">
        <f>IF(AND(G10="oui",G11&lt;&gt;"P.A.",G12="oui"),J287,0)</f>
        <v>0</v>
      </c>
    </row>
    <row r="292" spans="1:12" hidden="1" x14ac:dyDescent="0.2">
      <c r="A292" s="68">
        <f t="shared" si="9"/>
        <v>186000</v>
      </c>
      <c r="B292" s="68">
        <v>999999999</v>
      </c>
      <c r="C292" s="68">
        <f>IF(AND(C277&gt;A292,C277&lt;=B292),C277,0)</f>
        <v>0</v>
      </c>
      <c r="D292" s="69">
        <v>0.1014</v>
      </c>
      <c r="E292" s="76">
        <f t="shared" si="10"/>
        <v>0</v>
      </c>
      <c r="F292" s="63">
        <v>7078.29</v>
      </c>
      <c r="G292" s="77">
        <f t="shared" si="8"/>
        <v>0</v>
      </c>
      <c r="L292" s="79">
        <f>IF(AND(G10="oui",G11&lt;&gt;"P.A.",G12="non"),J286,0)</f>
        <v>0</v>
      </c>
    </row>
    <row r="293" spans="1:12" hidden="1" x14ac:dyDescent="0.2">
      <c r="A293" s="68"/>
      <c r="B293" s="68"/>
      <c r="C293" s="68"/>
      <c r="D293" s="69"/>
      <c r="E293" s="76"/>
      <c r="F293" s="63"/>
      <c r="G293" s="63"/>
      <c r="L293" s="80"/>
    </row>
    <row r="294" spans="1:12" hidden="1" x14ac:dyDescent="0.2">
      <c r="A294" s="67" t="s">
        <v>81</v>
      </c>
      <c r="B294" s="68"/>
      <c r="C294" s="68"/>
      <c r="D294" s="69"/>
      <c r="E294" s="76">
        <f>SUM(E286:E293)</f>
        <v>0</v>
      </c>
      <c r="F294" s="63"/>
      <c r="G294" s="81">
        <f>SUM(G286:G293)</f>
        <v>0</v>
      </c>
      <c r="I294" s="80"/>
      <c r="L294" s="82">
        <f>SUM(L287:L293)</f>
        <v>0</v>
      </c>
    </row>
    <row r="295" spans="1:12" hidden="1" x14ac:dyDescent="0.2">
      <c r="A295" s="68"/>
      <c r="B295" s="68"/>
      <c r="C295" s="68"/>
      <c r="D295" s="69"/>
      <c r="E295" s="76"/>
      <c r="F295" s="63"/>
      <c r="G295" s="63"/>
    </row>
    <row r="296" spans="1:12" hidden="1" x14ac:dyDescent="0.2">
      <c r="A296" s="67" t="s">
        <v>77</v>
      </c>
      <c r="B296" s="68"/>
      <c r="C296" s="68"/>
      <c r="D296" s="69"/>
      <c r="E296" s="76"/>
      <c r="F296" s="63"/>
      <c r="G296" s="71" t="s">
        <v>78</v>
      </c>
      <c r="L296" s="83">
        <f>(IF(L294&gt;50,L294,50))</f>
        <v>50</v>
      </c>
    </row>
    <row r="297" spans="1:12" hidden="1" x14ac:dyDescent="0.2">
      <c r="A297" s="68"/>
      <c r="B297" s="68"/>
      <c r="C297" s="68"/>
      <c r="D297" s="69"/>
      <c r="E297" s="76"/>
      <c r="F297" s="63"/>
      <c r="G297" s="72"/>
    </row>
    <row r="298" spans="1:12" hidden="1" x14ac:dyDescent="0.2">
      <c r="A298" s="68" t="s">
        <v>79</v>
      </c>
      <c r="B298" s="68" t="s">
        <v>80</v>
      </c>
      <c r="C298" s="68"/>
      <c r="D298" s="69"/>
      <c r="E298" s="76"/>
      <c r="F298" s="63"/>
      <c r="G298" s="72"/>
    </row>
    <row r="299" spans="1:12" hidden="1" x14ac:dyDescent="0.2">
      <c r="A299" s="68">
        <v>0</v>
      </c>
      <c r="B299" s="68">
        <v>7500</v>
      </c>
      <c r="C299" s="68">
        <f>IF(AND(C277&gt;A299,C277&lt;=B299),C277,0)</f>
        <v>0</v>
      </c>
      <c r="D299" s="69">
        <v>0.19400000000000001</v>
      </c>
      <c r="E299" s="76">
        <f>D299*C299</f>
        <v>0</v>
      </c>
      <c r="F299" s="63">
        <v>500</v>
      </c>
      <c r="G299" s="77">
        <f t="shared" ref="G299:G305" si="11">IF(E299&gt;0,SUM(E299:F299),0)</f>
        <v>0</v>
      </c>
    </row>
    <row r="300" spans="1:12" hidden="1" x14ac:dyDescent="0.2">
      <c r="A300" s="68">
        <f t="shared" ref="A300:A305" si="12">B299</f>
        <v>7500</v>
      </c>
      <c r="B300" s="68">
        <v>10000</v>
      </c>
      <c r="C300" s="68">
        <f>IF(AND(C277&gt;A300,C277&lt;=B300),C277,0)</f>
        <v>0</v>
      </c>
      <c r="D300" s="69">
        <v>0.18709999999999999</v>
      </c>
      <c r="E300" s="76">
        <f t="shared" ref="E300:E305" si="13">D300*C300</f>
        <v>0</v>
      </c>
      <c r="F300" s="63">
        <v>551.73</v>
      </c>
      <c r="G300" s="77">
        <f t="shared" si="11"/>
        <v>0</v>
      </c>
    </row>
    <row r="301" spans="1:12" hidden="1" x14ac:dyDescent="0.2">
      <c r="A301" s="68">
        <f t="shared" si="12"/>
        <v>10000</v>
      </c>
      <c r="B301" s="68">
        <v>12500</v>
      </c>
      <c r="C301" s="68">
        <f>IF(AND(C277&gt;A301,C277&lt;=B301),C277,0)</f>
        <v>0</v>
      </c>
      <c r="D301" s="69">
        <v>0.1802</v>
      </c>
      <c r="E301" s="76">
        <f t="shared" si="13"/>
        <v>0</v>
      </c>
      <c r="F301" s="63">
        <v>620.71</v>
      </c>
      <c r="G301" s="77">
        <f t="shared" si="11"/>
        <v>0</v>
      </c>
    </row>
    <row r="302" spans="1:12" hidden="1" x14ac:dyDescent="0.2">
      <c r="A302" s="68">
        <f t="shared" si="12"/>
        <v>12500</v>
      </c>
      <c r="B302" s="68">
        <v>15495</v>
      </c>
      <c r="C302" s="68">
        <f>IF(AND(C277&gt;A302,C277&lt;=B302),C277,0)</f>
        <v>0</v>
      </c>
      <c r="D302" s="69">
        <v>0.17330000000000001</v>
      </c>
      <c r="E302" s="76">
        <f t="shared" si="13"/>
        <v>0</v>
      </c>
      <c r="F302" s="63">
        <v>706.91</v>
      </c>
      <c r="G302" s="77">
        <f t="shared" si="11"/>
        <v>0</v>
      </c>
    </row>
    <row r="303" spans="1:12" hidden="1" x14ac:dyDescent="0.2">
      <c r="A303" s="68">
        <f t="shared" si="12"/>
        <v>15495</v>
      </c>
      <c r="B303" s="68">
        <v>18600</v>
      </c>
      <c r="C303" s="68">
        <f>IF(AND(C277&gt;A303,C277&lt;=B303),C277,0)</f>
        <v>0</v>
      </c>
      <c r="D303" s="69">
        <v>0.1595</v>
      </c>
      <c r="E303" s="76">
        <f t="shared" si="13"/>
        <v>0</v>
      </c>
      <c r="F303" s="63">
        <v>920.65</v>
      </c>
      <c r="G303" s="77">
        <f t="shared" si="11"/>
        <v>0</v>
      </c>
    </row>
    <row r="304" spans="1:12" hidden="1" x14ac:dyDescent="0.2">
      <c r="A304" s="68">
        <f t="shared" si="12"/>
        <v>18600</v>
      </c>
      <c r="B304" s="68">
        <v>186000</v>
      </c>
      <c r="C304" s="68">
        <f>IF(AND(C277&gt;A304,C277&lt;=B304),C277,0)</f>
        <v>0</v>
      </c>
      <c r="D304" s="69">
        <v>0.1416</v>
      </c>
      <c r="E304" s="76">
        <f t="shared" si="13"/>
        <v>0</v>
      </c>
      <c r="F304" s="63">
        <v>4256.04</v>
      </c>
      <c r="G304" s="77">
        <f t="shared" si="11"/>
        <v>0</v>
      </c>
    </row>
    <row r="305" spans="1:7" hidden="1" x14ac:dyDescent="0.2">
      <c r="A305" s="68">
        <f t="shared" si="12"/>
        <v>186000</v>
      </c>
      <c r="B305" s="68">
        <v>999999999</v>
      </c>
      <c r="C305" s="68">
        <f>IF(AND(C277&gt;A305,C277&lt;=B305),C277,0)</f>
        <v>0</v>
      </c>
      <c r="D305" s="69">
        <v>0.12640000000000001</v>
      </c>
      <c r="E305" s="76">
        <f t="shared" si="13"/>
        <v>0</v>
      </c>
      <c r="F305" s="63">
        <v>7078.29</v>
      </c>
      <c r="G305" s="77">
        <f t="shared" si="11"/>
        <v>0</v>
      </c>
    </row>
    <row r="306" spans="1:7" hidden="1" x14ac:dyDescent="0.2">
      <c r="A306" s="68"/>
      <c r="B306" s="68"/>
      <c r="C306" s="68"/>
      <c r="D306" s="69"/>
      <c r="E306" s="76"/>
      <c r="F306" s="63"/>
      <c r="G306" s="63"/>
    </row>
    <row r="307" spans="1:7" hidden="1" x14ac:dyDescent="0.2">
      <c r="A307" s="67" t="s">
        <v>82</v>
      </c>
      <c r="B307" s="68"/>
      <c r="C307" s="68"/>
      <c r="D307" s="69"/>
      <c r="E307" s="76"/>
      <c r="F307" s="63"/>
      <c r="G307" s="84">
        <f>SUM(G299:G306)</f>
        <v>0</v>
      </c>
    </row>
    <row r="308" spans="1:7" hidden="1" x14ac:dyDescent="0.2">
      <c r="A308" s="68"/>
      <c r="B308" s="68"/>
      <c r="C308" s="68"/>
      <c r="D308" s="69"/>
      <c r="E308" s="76"/>
      <c r="F308" s="63"/>
      <c r="G308" s="63"/>
    </row>
    <row r="309" spans="1:7" hidden="1" x14ac:dyDescent="0.2">
      <c r="A309" s="67" t="s">
        <v>77</v>
      </c>
      <c r="B309" s="68"/>
      <c r="C309" s="68"/>
      <c r="D309" s="69"/>
      <c r="E309" s="76"/>
      <c r="F309" s="63"/>
      <c r="G309" s="71" t="s">
        <v>78</v>
      </c>
    </row>
    <row r="310" spans="1:7" hidden="1" x14ac:dyDescent="0.2">
      <c r="A310" s="68"/>
      <c r="B310" s="68"/>
      <c r="C310" s="68"/>
      <c r="D310" s="69"/>
      <c r="E310" s="76"/>
      <c r="F310" s="63"/>
      <c r="G310" s="72"/>
    </row>
    <row r="311" spans="1:7" hidden="1" x14ac:dyDescent="0.2">
      <c r="A311" s="68" t="s">
        <v>79</v>
      </c>
      <c r="B311" s="68" t="s">
        <v>80</v>
      </c>
      <c r="C311" s="68"/>
      <c r="D311" s="69"/>
      <c r="E311" s="76"/>
      <c r="F311" s="63"/>
      <c r="G311" s="72"/>
    </row>
    <row r="312" spans="1:7" hidden="1" x14ac:dyDescent="0.2">
      <c r="A312" s="68">
        <v>0</v>
      </c>
      <c r="B312" s="68">
        <v>7500</v>
      </c>
      <c r="C312" s="68">
        <f>IF(AND(C277&gt;A312,C277&lt;=B312),C277,0)</f>
        <v>0</v>
      </c>
      <c r="D312" s="69">
        <v>0.129</v>
      </c>
      <c r="E312" s="76">
        <f>D312*C312</f>
        <v>0</v>
      </c>
      <c r="F312" s="63">
        <v>500</v>
      </c>
      <c r="G312" s="77">
        <f t="shared" ref="G312:G318" si="14">IF(E312&gt;0,SUM(E312:F312),0)</f>
        <v>0</v>
      </c>
    </row>
    <row r="313" spans="1:7" hidden="1" x14ac:dyDescent="0.2">
      <c r="A313" s="68">
        <f t="shared" ref="A313:A318" si="15">B312</f>
        <v>7500</v>
      </c>
      <c r="B313" s="68">
        <v>10000</v>
      </c>
      <c r="C313" s="68">
        <f>IF(AND(C277&gt;A313,C277&lt;=B313),C277,0)</f>
        <v>0</v>
      </c>
      <c r="D313" s="69">
        <v>0.1221</v>
      </c>
      <c r="E313" s="76">
        <f t="shared" ref="E313:E318" si="16">D313*C313</f>
        <v>0</v>
      </c>
      <c r="F313" s="63">
        <v>551.73</v>
      </c>
      <c r="G313" s="77">
        <f t="shared" si="14"/>
        <v>0</v>
      </c>
    </row>
    <row r="314" spans="1:7" hidden="1" x14ac:dyDescent="0.2">
      <c r="A314" s="68">
        <f t="shared" si="15"/>
        <v>10000</v>
      </c>
      <c r="B314" s="68">
        <v>12500</v>
      </c>
      <c r="C314" s="68">
        <f>IF(AND(C277&gt;A314,C277&lt;=B314),C277,0)</f>
        <v>0</v>
      </c>
      <c r="D314" s="69">
        <v>0.1152</v>
      </c>
      <c r="E314" s="76">
        <f t="shared" si="16"/>
        <v>0</v>
      </c>
      <c r="F314" s="63">
        <v>620.71</v>
      </c>
      <c r="G314" s="77">
        <f t="shared" si="14"/>
        <v>0</v>
      </c>
    </row>
    <row r="315" spans="1:7" hidden="1" x14ac:dyDescent="0.2">
      <c r="A315" s="68">
        <f t="shared" si="15"/>
        <v>12500</v>
      </c>
      <c r="B315" s="68">
        <v>15495</v>
      </c>
      <c r="C315" s="68">
        <f>IF(AND(C277&gt;A315,C277&lt;=B315),C277,0)</f>
        <v>0</v>
      </c>
      <c r="D315" s="69">
        <v>0.10829999999999999</v>
      </c>
      <c r="E315" s="76">
        <f t="shared" si="16"/>
        <v>0</v>
      </c>
      <c r="F315" s="63">
        <v>706.91</v>
      </c>
      <c r="G315" s="77">
        <f t="shared" si="14"/>
        <v>0</v>
      </c>
    </row>
    <row r="316" spans="1:7" hidden="1" x14ac:dyDescent="0.2">
      <c r="A316" s="68">
        <f t="shared" si="15"/>
        <v>15495</v>
      </c>
      <c r="B316" s="68">
        <v>18600</v>
      </c>
      <c r="C316" s="68">
        <f>IF(AND(C277&gt;A316,C277&lt;=B316),C277,0)</f>
        <v>0</v>
      </c>
      <c r="D316" s="69">
        <v>9.4500000000000001E-2</v>
      </c>
      <c r="E316" s="76">
        <f t="shared" si="16"/>
        <v>0</v>
      </c>
      <c r="F316" s="63">
        <v>920.65</v>
      </c>
      <c r="G316" s="77">
        <f t="shared" si="14"/>
        <v>0</v>
      </c>
    </row>
    <row r="317" spans="1:7" hidden="1" x14ac:dyDescent="0.2">
      <c r="A317" s="68">
        <f t="shared" si="15"/>
        <v>18600</v>
      </c>
      <c r="B317" s="68">
        <v>186000</v>
      </c>
      <c r="C317" s="68">
        <f>IF(AND(C277&gt;A317,C277&lt;=B317),C277,0)</f>
        <v>0</v>
      </c>
      <c r="D317" s="69">
        <v>7.6600000000000001E-2</v>
      </c>
      <c r="E317" s="76">
        <f t="shared" si="16"/>
        <v>0</v>
      </c>
      <c r="F317" s="63">
        <v>4256.04</v>
      </c>
      <c r="G317" s="77">
        <f t="shared" si="14"/>
        <v>0</v>
      </c>
    </row>
    <row r="318" spans="1:7" hidden="1" x14ac:dyDescent="0.2">
      <c r="A318" s="68">
        <f t="shared" si="15"/>
        <v>186000</v>
      </c>
      <c r="B318" s="68">
        <v>999999999</v>
      </c>
      <c r="C318" s="68">
        <f>IF(AND(C277&gt;A318,C277&lt;=B318),C277,0)</f>
        <v>0</v>
      </c>
      <c r="D318" s="69">
        <v>6.1400000000000003E-2</v>
      </c>
      <c r="E318" s="76">
        <f t="shared" si="16"/>
        <v>0</v>
      </c>
      <c r="F318" s="63">
        <v>7078.29</v>
      </c>
      <c r="G318" s="77">
        <f t="shared" si="14"/>
        <v>0</v>
      </c>
    </row>
    <row r="319" spans="1:7" hidden="1" x14ac:dyDescent="0.2">
      <c r="A319" s="68"/>
      <c r="B319" s="68"/>
      <c r="C319" s="68"/>
      <c r="D319" s="69"/>
      <c r="E319" s="76"/>
      <c r="F319" s="63"/>
      <c r="G319" s="63"/>
    </row>
    <row r="320" spans="1:7" hidden="1" x14ac:dyDescent="0.2">
      <c r="A320" s="67" t="s">
        <v>83</v>
      </c>
      <c r="B320" s="68"/>
      <c r="C320" s="68"/>
      <c r="D320" s="69"/>
      <c r="E320" s="76"/>
      <c r="F320" s="63"/>
      <c r="G320" s="85">
        <f>SUM(G312:G319)</f>
        <v>0</v>
      </c>
    </row>
    <row r="321" spans="1:7" hidden="1" x14ac:dyDescent="0.2">
      <c r="A321" s="68"/>
      <c r="B321" s="68"/>
      <c r="C321" s="68"/>
      <c r="D321" s="69"/>
      <c r="E321" s="76"/>
      <c r="F321" s="63"/>
      <c r="G321" s="63"/>
    </row>
    <row r="322" spans="1:7" hidden="1" x14ac:dyDescent="0.2">
      <c r="A322" s="67" t="s">
        <v>77</v>
      </c>
      <c r="B322" s="68"/>
      <c r="C322" s="68"/>
      <c r="D322" s="69"/>
      <c r="E322" s="76"/>
      <c r="F322" s="63"/>
      <c r="G322" s="71" t="s">
        <v>78</v>
      </c>
    </row>
    <row r="323" spans="1:7" hidden="1" x14ac:dyDescent="0.2">
      <c r="A323" s="68"/>
      <c r="B323" s="68"/>
      <c r="C323" s="68"/>
      <c r="D323" s="69"/>
      <c r="E323" s="76"/>
      <c r="F323" s="63"/>
      <c r="G323" s="72"/>
    </row>
    <row r="324" spans="1:7" hidden="1" x14ac:dyDescent="0.2">
      <c r="A324" s="68" t="s">
        <v>79</v>
      </c>
      <c r="B324" s="68" t="s">
        <v>80</v>
      </c>
      <c r="C324" s="68"/>
      <c r="D324" s="69"/>
      <c r="E324" s="76"/>
      <c r="F324" s="63"/>
      <c r="G324" s="72"/>
    </row>
    <row r="325" spans="1:7" hidden="1" x14ac:dyDescent="0.2">
      <c r="A325" s="68">
        <v>0</v>
      </c>
      <c r="B325" s="68">
        <v>7500</v>
      </c>
      <c r="C325" s="68">
        <f>IF(AND(C277&gt;A325,C277&lt;=B325),C277,0)</f>
        <v>0</v>
      </c>
      <c r="D325" s="69">
        <v>0.11899999999999999</v>
      </c>
      <c r="E325" s="76">
        <f>D325*C325</f>
        <v>0</v>
      </c>
      <c r="F325" s="63">
        <v>500</v>
      </c>
      <c r="G325" s="77">
        <f t="shared" ref="G325:G331" si="17">IF(E325&gt;0,SUM(E325:F325),0)</f>
        <v>0</v>
      </c>
    </row>
    <row r="326" spans="1:7" hidden="1" x14ac:dyDescent="0.2">
      <c r="A326" s="68">
        <f t="shared" ref="A326:A331" si="18">B325</f>
        <v>7500</v>
      </c>
      <c r="B326" s="68">
        <v>10000</v>
      </c>
      <c r="C326" s="68">
        <f>IF(AND(C277&gt;A326,C277&lt;=B326),C277,0)</f>
        <v>0</v>
      </c>
      <c r="D326" s="69">
        <v>0.11210000000000001</v>
      </c>
      <c r="E326" s="76">
        <f t="shared" ref="E326:E331" si="19">D326*C326</f>
        <v>0</v>
      </c>
      <c r="F326" s="63">
        <v>551.73</v>
      </c>
      <c r="G326" s="77">
        <f t="shared" si="17"/>
        <v>0</v>
      </c>
    </row>
    <row r="327" spans="1:7" hidden="1" x14ac:dyDescent="0.2">
      <c r="A327" s="68">
        <f t="shared" si="18"/>
        <v>10000</v>
      </c>
      <c r="B327" s="68">
        <v>12500</v>
      </c>
      <c r="C327" s="68">
        <f>IF(AND(C277&gt;A327,C277&lt;=B327),C277,0)</f>
        <v>0</v>
      </c>
      <c r="D327" s="69">
        <v>0.1052</v>
      </c>
      <c r="E327" s="76">
        <f t="shared" si="19"/>
        <v>0</v>
      </c>
      <c r="F327" s="63">
        <v>620.71</v>
      </c>
      <c r="G327" s="77">
        <f t="shared" si="17"/>
        <v>0</v>
      </c>
    </row>
    <row r="328" spans="1:7" hidden="1" x14ac:dyDescent="0.2">
      <c r="A328" s="68">
        <f t="shared" si="18"/>
        <v>12500</v>
      </c>
      <c r="B328" s="68">
        <v>15495</v>
      </c>
      <c r="C328" s="68">
        <f>IF(AND(C277&gt;A328,C277&lt;=B328),C277,0)</f>
        <v>0</v>
      </c>
      <c r="D328" s="69">
        <v>9.8299999999999998E-2</v>
      </c>
      <c r="E328" s="76">
        <f t="shared" si="19"/>
        <v>0</v>
      </c>
      <c r="F328" s="63">
        <v>706.91</v>
      </c>
      <c r="G328" s="77">
        <f t="shared" si="17"/>
        <v>0</v>
      </c>
    </row>
    <row r="329" spans="1:7" hidden="1" x14ac:dyDescent="0.2">
      <c r="A329" s="68">
        <f t="shared" si="18"/>
        <v>15495</v>
      </c>
      <c r="B329" s="68">
        <v>18600</v>
      </c>
      <c r="C329" s="68">
        <f>IF(AND(C277&gt;A329,C277&lt;=B329),C277,0)</f>
        <v>0</v>
      </c>
      <c r="D329" s="69">
        <v>8.4500000000000006E-2</v>
      </c>
      <c r="E329" s="76">
        <f t="shared" si="19"/>
        <v>0</v>
      </c>
      <c r="F329" s="63">
        <v>920.65</v>
      </c>
      <c r="G329" s="77">
        <f t="shared" si="17"/>
        <v>0</v>
      </c>
    </row>
    <row r="330" spans="1:7" hidden="1" x14ac:dyDescent="0.2">
      <c r="A330" s="68">
        <f t="shared" si="18"/>
        <v>18600</v>
      </c>
      <c r="B330" s="68">
        <v>186000</v>
      </c>
      <c r="C330" s="68">
        <f>IF(AND(C277&gt;A330,C277&lt;=B330),C277,0)</f>
        <v>0</v>
      </c>
      <c r="D330" s="69">
        <v>6.6600000000000006E-2</v>
      </c>
      <c r="E330" s="76">
        <f t="shared" si="19"/>
        <v>0</v>
      </c>
      <c r="F330" s="63">
        <v>4256.04</v>
      </c>
      <c r="G330" s="77">
        <f t="shared" si="17"/>
        <v>0</v>
      </c>
    </row>
    <row r="331" spans="1:7" hidden="1" x14ac:dyDescent="0.2">
      <c r="A331" s="68">
        <f t="shared" si="18"/>
        <v>186000</v>
      </c>
      <c r="B331" s="68">
        <v>999999999</v>
      </c>
      <c r="C331" s="68">
        <f>IF(AND(C277&gt;A331,C277&lt;=B331),C277,0)</f>
        <v>0</v>
      </c>
      <c r="D331" s="69">
        <v>5.1400000000000001E-2</v>
      </c>
      <c r="E331" s="76">
        <f t="shared" si="19"/>
        <v>0</v>
      </c>
      <c r="F331" s="63">
        <v>7078.29</v>
      </c>
      <c r="G331" s="77">
        <f t="shared" si="17"/>
        <v>0</v>
      </c>
    </row>
    <row r="332" spans="1:7" hidden="1" x14ac:dyDescent="0.2"/>
    <row r="333" spans="1:7" hidden="1" x14ac:dyDescent="0.2">
      <c r="G333" s="86">
        <f>SUM(G325:G332)</f>
        <v>0</v>
      </c>
    </row>
    <row r="334" spans="1:7" hidden="1" x14ac:dyDescent="0.2"/>
    <row r="335" spans="1:7" hidden="1" x14ac:dyDescent="0.2"/>
    <row r="336" spans="1:7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</sheetData>
  <sheetProtection algorithmName="SHA-512" hashValue="z6blIjPe7QQWFgANizrsD01yxEJy+z6CTeQyCA1s7r5cClcbuUwqoAEdO1/GduU7PBVhl5oHuaksJDmAmAudCA==" saltValue="MEyt/GcgllMSxH/TMzh2Fg==" spinCount="100000" sheet="1" objects="1" scenarios="1"/>
  <phoneticPr fontId="0" type="noConversion"/>
  <dataValidations count="6">
    <dataValidation type="list" allowBlank="1" showInputMessage="1" showErrorMessage="1" sqref="C8">
      <formula1>$I$65:$I$66</formula1>
    </dataValidation>
    <dataValidation type="list" allowBlank="1" showInputMessage="1" showErrorMessage="1" sqref="K16">
      <formula1>$E$60:$E$61</formula1>
    </dataValidation>
    <dataValidation type="list" allowBlank="1" showInputMessage="1" showErrorMessage="1" sqref="K15">
      <formula1>$D$60:$D$61</formula1>
    </dataValidation>
    <dataValidation type="list" allowBlank="1" showInputMessage="1" showErrorMessage="1" sqref="G10">
      <formula1>$C$50:$C$51</formula1>
    </dataValidation>
    <dataValidation type="list" allowBlank="1" showInputMessage="1" showErrorMessage="1" sqref="G11">
      <formula1>$B$50:$B$88</formula1>
    </dataValidation>
    <dataValidation type="list" allowBlank="1" showInputMessage="1" showErrorMessage="1" sqref="G12">
      <formula1>$D$50:$D$51</formula1>
    </dataValidation>
  </dataValidations>
  <hyperlinks>
    <hyperlink ref="E30" r:id="rId1"/>
    <hyperlink ref="E29" r:id="rId2"/>
  </hyperlinks>
  <pageMargins left="0.75" right="0.75" top="1" bottom="1" header="0.5" footer="0.5"/>
  <pageSetup paperSize="9" orientation="portrait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VPWAL</vt:lpstr>
      <vt:lpstr>VPWAL!Afdrukbereik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2012-08-13T15:51:33Z</dcterms:created>
  <dcterms:modified xsi:type="dcterms:W3CDTF">2014-12-07T15:13:10Z</dcterms:modified>
</cp:coreProperties>
</file>