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HMH" sheetId="1" r:id="rId1"/>
  </sheets>
  <definedNames>
    <definedName name="_1._Zegels_Minuut_Brevet" localSheetId="0">VBIFTHMH!$A$17:$J$17</definedName>
    <definedName name="_1._Zegels_Minuut_Brevet">#REF!</definedName>
    <definedName name="_10._Tweede_getuigschrift" localSheetId="0">VBIFTHMH!#REF!</definedName>
    <definedName name="_10._Tweede_getuigschrift">#REF!</definedName>
    <definedName name="_11._Kadaster_uittreksel" localSheetId="0">VBIFTHMH!#REF!</definedName>
    <definedName name="_11._Kadaster_uittreksel">#REF!</definedName>
    <definedName name="_12._Getuigen" localSheetId="0">VBIFTHMH!#REF!</definedName>
    <definedName name="_12._Getuigen">#REF!</definedName>
    <definedName name="_13._Allerlei_uitgaven" localSheetId="0">VBIFTHMH!#REF!</definedName>
    <definedName name="_13._Allerlei_uitgaven">#REF!</definedName>
    <definedName name="_14." localSheetId="0">VBIFTHMH!#REF!</definedName>
    <definedName name="_14.">#REF!</definedName>
    <definedName name="_15." localSheetId="0">VBIFTHMH!#REF!</definedName>
    <definedName name="_15.">#REF!</definedName>
    <definedName name="_2._Registratie_Minuut_Brevet" localSheetId="0">VBIFTHMH!$C$23:$K$23</definedName>
    <definedName name="_2._Registratie_Minuut_Brevet">#REF!</definedName>
    <definedName name="_3._Registratie_aanhangsel" localSheetId="0">VBIFTHMH!$G$24:$K$24</definedName>
    <definedName name="_3._Registratie_aanhangsel">#REF!</definedName>
    <definedName name="_4.Zegels_afschrift_grosse" localSheetId="0">VBIFTHMH!#REF!</definedName>
    <definedName name="_4.Zegels_afschrift_grosse">#REF!</definedName>
    <definedName name="_5._Hypotheek__inschr._overschr._doorh." localSheetId="0">VBIFTHMH!#REF!</definedName>
    <definedName name="_5._Hypotheek__inschr._overschr._doorh.">#REF!</definedName>
    <definedName name="_6._Loon_pandbewaarder" localSheetId="0">VBIFTHMH!#REF!</definedName>
    <definedName name="_6._Loon_pandbewaarder">#REF!</definedName>
    <definedName name="_7._Zegels__bord._aanh." localSheetId="0">VBIFTHMH!#REF!</definedName>
    <definedName name="_7._Zegels__bord._aanh.">#REF!</definedName>
    <definedName name="_8._Opzoekingen" localSheetId="0">VBIFTHMH!#REF!</definedName>
    <definedName name="_8._Opzoekingen">#REF!</definedName>
    <definedName name="_9._Hypothecair_getuigschrift" localSheetId="0">VBIFTHMH!#REF!</definedName>
    <definedName name="_9._Hypothecair_getuigschrift">#REF!</definedName>
    <definedName name="Aard" localSheetId="0">VBIFTHMH!$C$4:$J$4</definedName>
    <definedName name="Aard">#REF!</definedName>
    <definedName name="_xlnm.Print_Area" localSheetId="0">VBIFTHMH!$A$1:$I$41</definedName>
    <definedName name="Datum" localSheetId="0">VBIFTHMH!$C$4:$K$39</definedName>
    <definedName name="Datum">#REF!</definedName>
    <definedName name="gemeentelijke_info">#REF!</definedName>
    <definedName name="Kantoor_van_Notaris_J._SIMONART_te_Leuven" localSheetId="0">VBIFTHMH!#REF!</definedName>
    <definedName name="Kantoor_van_Notaris_J._SIMONART_te_Leuven">#REF!</definedName>
    <definedName name="KOSTENFICHE" localSheetId="0">VBIFTHMH!$A$1:$K$39</definedName>
    <definedName name="KOSTENFICHE">#REF!</definedName>
    <definedName name="Last_Row">IF(Values_Entered,Header_Row+Number_of_Payments,Header_Row)</definedName>
    <definedName name="Naam" localSheetId="0">VBIFTHMH!$C$9:$J$9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VBIFTHMH!$J$4:$J$41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VBIFTHMH!#REF!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VBIFTHMH!$A$3:$K$39</definedName>
  </definedNames>
  <calcPr calcId="152511"/>
</workbook>
</file>

<file path=xl/calcChain.xml><?xml version="1.0" encoding="utf-8"?>
<calcChain xmlns="http://schemas.openxmlformats.org/spreadsheetml/2006/main">
  <c r="F36" i="1" l="1"/>
  <c r="C7" i="1"/>
  <c r="J165" i="1"/>
  <c r="F18" i="1"/>
  <c r="F19" i="1"/>
  <c r="F20" i="1" s="1"/>
  <c r="F24" i="1"/>
  <c r="G38" i="1"/>
  <c r="G41" i="1" s="1"/>
  <c r="G39" i="1"/>
  <c r="G47" i="1"/>
  <c r="G51" i="1"/>
  <c r="F58" i="1" s="1"/>
  <c r="F56" i="1"/>
  <c r="H142" i="1" s="1"/>
  <c r="H143" i="1" s="1"/>
  <c r="H144" i="1" s="1"/>
  <c r="H145" i="1" s="1"/>
  <c r="G59" i="1" s="1"/>
  <c r="F57" i="1"/>
  <c r="G61" i="1"/>
  <c r="G63" i="1"/>
  <c r="G65" i="1"/>
  <c r="G67" i="1"/>
  <c r="J68" i="1"/>
  <c r="F78" i="1"/>
  <c r="G245" i="1" s="1"/>
  <c r="K126" i="1"/>
  <c r="K128" i="1"/>
  <c r="K130" i="1"/>
  <c r="G54" i="1" s="1"/>
  <c r="G130" i="1"/>
  <c r="H130" i="1"/>
  <c r="C146" i="1"/>
  <c r="G146" i="1"/>
  <c r="C147" i="1"/>
  <c r="G147" i="1"/>
  <c r="B150" i="1"/>
  <c r="C150" i="1"/>
  <c r="C152" i="1"/>
  <c r="C154" i="1"/>
  <c r="F150" i="1"/>
  <c r="B151" i="1"/>
  <c r="C151" i="1"/>
  <c r="F151" i="1"/>
  <c r="H151" i="1"/>
  <c r="F22" i="1" s="1"/>
  <c r="J163" i="1"/>
  <c r="J164" i="1"/>
  <c r="J166" i="1"/>
  <c r="J167" i="1"/>
  <c r="J168" i="1"/>
  <c r="J169" i="1"/>
  <c r="G187" i="1"/>
  <c r="G192" i="1"/>
  <c r="J195" i="1" s="1"/>
  <c r="G199" i="1"/>
  <c r="G212" i="1"/>
  <c r="G218" i="1"/>
  <c r="J225" i="1" s="1"/>
  <c r="J221" i="1"/>
  <c r="J222" i="1"/>
  <c r="G225" i="1"/>
  <c r="G231" i="1"/>
  <c r="H231" i="1"/>
  <c r="G233" i="1"/>
  <c r="F85" i="1"/>
  <c r="I231" i="1"/>
  <c r="G237" i="1"/>
  <c r="I242" i="1"/>
  <c r="J223" i="1"/>
  <c r="G169" i="1"/>
  <c r="J171" i="1"/>
  <c r="G17" i="1"/>
  <c r="G27" i="1"/>
  <c r="H88" i="1"/>
  <c r="F87" i="1"/>
  <c r="J219" i="1"/>
  <c r="G226" i="1"/>
  <c r="I243" i="1"/>
  <c r="I244" i="1"/>
  <c r="I241" i="1"/>
  <c r="G205" i="1"/>
  <c r="J209" i="1" s="1"/>
  <c r="G180" i="1"/>
  <c r="I213" i="1"/>
  <c r="G213" i="1"/>
  <c r="J206" i="1"/>
  <c r="J208" i="1"/>
  <c r="J211" i="1"/>
  <c r="J184" i="1"/>
  <c r="J187" i="1"/>
  <c r="J186" i="1"/>
  <c r="J185" i="1"/>
  <c r="J183" i="1"/>
  <c r="I188" i="1"/>
  <c r="J182" i="1"/>
  <c r="I190" i="1" s="1"/>
  <c r="J53" i="1" s="1"/>
  <c r="G188" i="1"/>
  <c r="J181" i="1"/>
  <c r="I239" i="1" l="1"/>
  <c r="I247" i="1" s="1"/>
  <c r="I248" i="1" s="1"/>
  <c r="H82" i="1" s="1"/>
  <c r="I245" i="1"/>
  <c r="I240" i="1"/>
  <c r="J67" i="1"/>
  <c r="J69" i="1" s="1"/>
  <c r="J54" i="1"/>
  <c r="J71" i="1" s="1"/>
  <c r="G200" i="1"/>
  <c r="J193" i="1"/>
  <c r="J198" i="1"/>
  <c r="J207" i="1"/>
  <c r="I215" i="1" s="1"/>
  <c r="J224" i="1"/>
  <c r="J220" i="1"/>
  <c r="I228" i="1" s="1"/>
  <c r="J199" i="1"/>
  <c r="I200" i="1"/>
  <c r="I226" i="1"/>
  <c r="J197" i="1"/>
  <c r="J212" i="1"/>
  <c r="J194" i="1"/>
  <c r="A134" i="1"/>
  <c r="J196" i="1"/>
  <c r="J210" i="1"/>
  <c r="D152" i="1"/>
  <c r="E152" i="1" s="1"/>
  <c r="F21" i="1" s="1"/>
  <c r="G151" i="1" s="1"/>
  <c r="H150" i="1" s="1"/>
  <c r="H87" i="1" l="1"/>
  <c r="H89" i="1" s="1"/>
  <c r="H93" i="1" s="1"/>
  <c r="H91" i="1"/>
  <c r="J73" i="1"/>
  <c r="I202" i="1"/>
  <c r="G26" i="1"/>
  <c r="G29" i="1" s="1"/>
</calcChain>
</file>

<file path=xl/comments1.xml><?xml version="1.0" encoding="utf-8"?>
<comments xmlns="http://schemas.openxmlformats.org/spreadsheetml/2006/main">
  <authors>
    <author>licentie</author>
  </authors>
  <commentList>
    <comment ref="G55" authorId="0" shapeId="0">
      <text>
        <r>
          <rPr>
            <b/>
            <sz val="10"/>
            <color indexed="81"/>
            <rFont val="Tahoma"/>
            <family val="2"/>
          </rPr>
          <t>Le 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<sst xmlns="http://schemas.openxmlformats.org/spreadsheetml/2006/main" count="135" uniqueCount="88">
  <si>
    <t>Dossier</t>
  </si>
  <si>
    <t>Prijs</t>
  </si>
  <si>
    <t>------------------------------------------------------------------------------------------------</t>
  </si>
  <si>
    <t>Ereloon</t>
  </si>
  <si>
    <t>Abattement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</si>
  <si>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</si>
  <si>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</si>
  <si>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</si>
  <si>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</si>
  <si>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</si>
  <si>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</si>
  <si>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</si>
  <si>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</si>
  <si>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</si>
  <si>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oui</t>
  </si>
  <si>
    <t>non</t>
  </si>
  <si>
    <t>Client</t>
  </si>
  <si>
    <t>Prix</t>
  </si>
  <si>
    <t>Charges:</t>
  </si>
  <si>
    <t>Base</t>
  </si>
  <si>
    <t>Acompte (garantie)</t>
  </si>
  <si>
    <t>Reportabilité? (montant)</t>
  </si>
  <si>
    <t>Réduction art.53?</t>
  </si>
  <si>
    <t>Abattement ordinaire?</t>
  </si>
  <si>
    <t>Abattement majoré?</t>
  </si>
  <si>
    <t>Crédit social pour au moins 50%?</t>
  </si>
  <si>
    <t>Frais à charge de l'acquéreur</t>
  </si>
  <si>
    <t>Honoraire</t>
  </si>
  <si>
    <t>Enregistrement</t>
  </si>
  <si>
    <t>Enregistrement annexe(s)</t>
  </si>
  <si>
    <t>Transcription (rôles)</t>
  </si>
  <si>
    <t>Frais divers</t>
  </si>
  <si>
    <t>Total frais acquéreur:</t>
  </si>
  <si>
    <t>Réduction art. 53</t>
  </si>
  <si>
    <t>Reportabilité</t>
  </si>
  <si>
    <t>Abattement majoré</t>
  </si>
  <si>
    <t>TVA</t>
  </si>
  <si>
    <t>Total général acquéreur:</t>
  </si>
  <si>
    <t>Frais à charge du vendeur</t>
  </si>
  <si>
    <t>Renseignements urbanistiques</t>
  </si>
  <si>
    <t>Commission agence immobilière</t>
  </si>
  <si>
    <t>Mesurage</t>
  </si>
  <si>
    <t>Attestation(s) du sol</t>
  </si>
  <si>
    <t>Autres</t>
  </si>
  <si>
    <t>Total frais vendeur:</t>
  </si>
  <si>
    <t>Total général vendeur:</t>
  </si>
  <si>
    <t>Livret</t>
  </si>
  <si>
    <t>Basis</t>
  </si>
  <si>
    <t>TRANSFERT D'HYPOTHÈQUE</t>
  </si>
  <si>
    <t>ancienne inscription</t>
  </si>
  <si>
    <t>Principal</t>
  </si>
  <si>
    <t>Accessoires</t>
  </si>
  <si>
    <t>Nouvelle inscription</t>
  </si>
  <si>
    <t>Honoraires</t>
  </si>
  <si>
    <t>droits d'enregistrement acte</t>
  </si>
  <si>
    <t>(TVA)</t>
  </si>
  <si>
    <t>droits d'enregistrement annexes</t>
  </si>
  <si>
    <t xml:space="preserve">           honor. hypoth. inscription</t>
  </si>
  <si>
    <t xml:space="preserve">           honor. hypoth. mainlevée</t>
  </si>
  <si>
    <t xml:space="preserve">           droits d'inscription</t>
  </si>
  <si>
    <t>provision frais hypothécaires</t>
  </si>
  <si>
    <t>droits d'écriture</t>
  </si>
  <si>
    <t>frais divers</t>
  </si>
  <si>
    <t>renseignements urbanistiques</t>
  </si>
  <si>
    <t>Total frais</t>
  </si>
  <si>
    <t>Total</t>
  </si>
  <si>
    <t>Ensemble</t>
  </si>
  <si>
    <t>plus TVA</t>
  </si>
  <si>
    <t>Total: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</si>
  <si>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</si>
  <si>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</si>
  <si>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</si>
  <si>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</si>
  <si>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</si>
  <si>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</si>
  <si>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</si>
  <si>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Loon hypotheekbewaarder doorhaling</t>
  </si>
  <si>
    <t>Tarief</t>
  </si>
  <si>
    <t>Ereloon G</t>
  </si>
  <si>
    <t>Lening</t>
  </si>
  <si>
    <t>Hypothecaire volmacht</t>
  </si>
  <si>
    <t>MANDAT HYPOTHECAIRE</t>
  </si>
  <si>
    <t>Combien de bureaux d'hypothèques?</t>
  </si>
  <si>
    <t>Droits d'écriture</t>
  </si>
  <si>
    <t>Droits d'enregistrement</t>
  </si>
  <si>
    <t>Droits d'enregistrement des annexes</t>
  </si>
  <si>
    <t>Frais</t>
  </si>
  <si>
    <t>VENTE BIEN IMMOBILIER EN FLANDRES AVEC TRANSFERT D'HYPOTHEQUE ET MANDAT HYPOTHECAIRE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</si>
</sst>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0\ &quot;€&quot;;\-#,##0.00\ &quot;€&quot;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&quot; Fr&quot;;\-#,##0&quot; Fr&quot;"/>
    <numFmt numFmtId="179" formatCode="0.0000%"/>
    <numFmt numFmtId="180" formatCode="#,##0.00\ &quot;BF&quot;;\-#,##0.00\ &quot;BF&quot;"/>
    <numFmt numFmtId="181" formatCode="#,##0.00\ &quot;€&quot;"/>
  </numFmts>
  <fonts count="15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u/>
      <sz val="10"/>
      <name val="Arial"/>
      <family val="2"/>
    </font>
    <font>
      <b/>
      <sz val="10"/>
      <color indexed="81"/>
      <name val="Tahoma"/>
      <family val="2"/>
    </font>
    <font>
      <sz val="9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1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1"/>
        <bgColor indexed="2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008080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0" fontId="7" fillId="0" borderId="0">
      <protection locked="0"/>
    </xf>
    <xf numFmtId="171" fontId="1" fillId="0" borderId="0" applyFont="0" applyFill="0" applyBorder="0" applyAlignment="0" applyProtection="0"/>
    <xf numFmtId="172" fontId="7" fillId="0" borderId="0">
      <protection locked="0"/>
    </xf>
    <xf numFmtId="173" fontId="1" fillId="0" borderId="0" applyFont="0" applyFill="0" applyBorder="0" applyAlignment="0" applyProtection="0"/>
    <xf numFmtId="174" fontId="7" fillId="0" borderId="0">
      <protection locked="0"/>
    </xf>
    <xf numFmtId="175" fontId="7" fillId="0" borderId="0">
      <protection locked="0"/>
    </xf>
    <xf numFmtId="176" fontId="8" fillId="0" borderId="0">
      <protection locked="0"/>
    </xf>
    <xf numFmtId="176" fontId="8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7" fillId="0" borderId="0">
      <protection locked="0"/>
    </xf>
    <xf numFmtId="0" fontId="9" fillId="0" borderId="0"/>
    <xf numFmtId="0" fontId="13" fillId="0" borderId="0"/>
    <xf numFmtId="0" fontId="1" fillId="0" borderId="0"/>
    <xf numFmtId="0" fontId="13" fillId="0" borderId="0"/>
    <xf numFmtId="176" fontId="7" fillId="0" borderId="1">
      <protection locked="0"/>
    </xf>
    <xf numFmtId="0" fontId="14" fillId="0" borderId="33" applyNumberFormat="0" applyFill="0" applyAlignment="0" applyProtection="0"/>
  </cellStyleXfs>
  <cellXfs count="197">
    <xf numFmtId="0" fontId="0" fillId="0" borderId="0" xfId="0"/>
    <xf numFmtId="165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165" fontId="1" fillId="2" borderId="3" xfId="13" applyNumberFormat="1" applyFon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0" fontId="1" fillId="2" borderId="4" xfId="13" applyFont="1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6" fontId="1" fillId="2" borderId="0" xfId="13" applyNumberFormat="1" applyFill="1" applyBorder="1" applyProtection="1">
      <protection hidden="1"/>
    </xf>
    <xf numFmtId="0" fontId="1" fillId="2" borderId="0" xfId="13" applyFont="1" applyFill="1" applyProtection="1">
      <protection hidden="1"/>
    </xf>
    <xf numFmtId="166" fontId="1" fillId="2" borderId="0" xfId="13" applyNumberFormat="1" applyFill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6" fontId="1" fillId="2" borderId="0" xfId="13" applyNumberFormat="1" applyFont="1" applyFill="1" applyProtection="1">
      <protection hidden="1"/>
    </xf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5" xfId="13" applyNumberFormat="1" applyFont="1" applyFill="1" applyBorder="1" applyProtection="1">
      <protection hidden="1"/>
    </xf>
    <xf numFmtId="168" fontId="4" fillId="2" borderId="6" xfId="13" applyNumberFormat="1" applyFont="1" applyFill="1" applyBorder="1" applyAlignment="1" applyProtection="1">
      <alignment horizontal="center"/>
      <protection hidden="1"/>
    </xf>
    <xf numFmtId="0" fontId="4" fillId="2" borderId="6" xfId="13" applyFont="1" applyFill="1" applyBorder="1" applyAlignment="1" applyProtection="1">
      <alignment horizontal="center"/>
      <protection hidden="1"/>
    </xf>
    <xf numFmtId="0" fontId="4" fillId="2" borderId="7" xfId="13" applyFont="1" applyFill="1" applyBorder="1" applyAlignment="1" applyProtection="1">
      <alignment horizontal="center"/>
      <protection hidden="1"/>
    </xf>
    <xf numFmtId="167" fontId="5" fillId="2" borderId="6" xfId="13" applyNumberFormat="1" applyFont="1" applyFill="1" applyBorder="1" applyProtection="1">
      <protection hidden="1"/>
    </xf>
    <xf numFmtId="168" fontId="5" fillId="2" borderId="6" xfId="13" applyNumberFormat="1" applyFont="1" applyFill="1" applyBorder="1" applyProtection="1">
      <protection hidden="1"/>
    </xf>
    <xf numFmtId="169" fontId="5" fillId="2" borderId="6" xfId="13" applyNumberFormat="1" applyFont="1" applyFill="1" applyBorder="1" applyProtection="1">
      <protection hidden="1"/>
    </xf>
    <xf numFmtId="169" fontId="5" fillId="2" borderId="7" xfId="13" applyNumberFormat="1" applyFont="1" applyFill="1" applyBorder="1" applyProtection="1">
      <protection hidden="1"/>
    </xf>
    <xf numFmtId="0" fontId="5" fillId="2" borderId="8" xfId="13" applyFont="1" applyFill="1" applyBorder="1" applyProtection="1">
      <protection hidden="1"/>
    </xf>
    <xf numFmtId="0" fontId="5" fillId="2" borderId="0" xfId="13" applyFont="1" applyFill="1" applyBorder="1" applyProtection="1">
      <protection hidden="1"/>
    </xf>
    <xf numFmtId="0" fontId="6" fillId="2" borderId="9" xfId="13" applyFont="1" applyFill="1" applyBorder="1" applyProtection="1">
      <protection hidden="1"/>
    </xf>
    <xf numFmtId="0" fontId="5" fillId="2" borderId="0" xfId="13" applyFont="1" applyFill="1" applyProtection="1">
      <protection hidden="1"/>
    </xf>
    <xf numFmtId="168" fontId="4" fillId="2" borderId="0" xfId="13" applyNumberFormat="1" applyFont="1" applyFill="1" applyBorder="1" applyAlignment="1" applyProtection="1">
      <alignment horizontal="center"/>
      <protection hidden="1"/>
    </xf>
    <xf numFmtId="0" fontId="5" fillId="2" borderId="9" xfId="13" applyFont="1" applyFill="1" applyBorder="1" applyProtection="1">
      <protection hidden="1"/>
    </xf>
    <xf numFmtId="167" fontId="4" fillId="2" borderId="6" xfId="13" applyNumberFormat="1" applyFont="1" applyFill="1" applyBorder="1" applyProtection="1">
      <protection hidden="1"/>
    </xf>
    <xf numFmtId="0" fontId="2" fillId="3" borderId="0" xfId="13" applyNumberFormat="1" applyFont="1" applyFill="1" applyBorder="1" applyAlignment="1" applyProtection="1">
      <alignment horizontal="left"/>
      <protection locked="0" hidden="1"/>
    </xf>
    <xf numFmtId="0" fontId="1" fillId="4" borderId="0" xfId="13" applyFont="1" applyFill="1" applyBorder="1" applyAlignment="1" applyProtection="1">
      <alignment horizontal="left"/>
      <protection locked="0" hidden="1"/>
    </xf>
    <xf numFmtId="0" fontId="1" fillId="3" borderId="0" xfId="13" applyFill="1" applyBorder="1" applyAlignment="1" applyProtection="1">
      <alignment horizontal="center"/>
      <protection locked="0" hidden="1"/>
    </xf>
    <xf numFmtId="0" fontId="1" fillId="5" borderId="10" xfId="13" applyFont="1" applyFill="1" applyBorder="1" applyAlignment="1" applyProtection="1">
      <alignment horizontal="left"/>
      <protection hidden="1"/>
    </xf>
    <xf numFmtId="0" fontId="1" fillId="2" borderId="11" xfId="13" applyFill="1" applyBorder="1" applyAlignment="1" applyProtection="1">
      <alignment horizontal="left"/>
      <protection hidden="1"/>
    </xf>
    <xf numFmtId="0" fontId="1" fillId="2" borderId="12" xfId="13" applyFont="1" applyFill="1" applyBorder="1" applyProtection="1">
      <protection hidden="1"/>
    </xf>
    <xf numFmtId="0" fontId="1" fillId="6" borderId="0" xfId="13" applyFont="1" applyFill="1" applyBorder="1" applyAlignment="1" applyProtection="1">
      <alignment horizontal="center"/>
      <protection locked="0" hidden="1"/>
    </xf>
    <xf numFmtId="0" fontId="2" fillId="7" borderId="14" xfId="13" applyFont="1" applyFill="1" applyBorder="1" applyAlignment="1" applyProtection="1">
      <alignment horizontal="left"/>
      <protection hidden="1"/>
    </xf>
    <xf numFmtId="165" fontId="1" fillId="8" borderId="4" xfId="13" applyNumberFormat="1" applyFont="1" applyFill="1" applyBorder="1" applyAlignment="1" applyProtection="1">
      <alignment horizontal="left"/>
      <protection hidden="1"/>
    </xf>
    <xf numFmtId="0" fontId="1" fillId="8" borderId="4" xfId="13" applyFont="1" applyFill="1" applyBorder="1" applyAlignment="1" applyProtection="1">
      <alignment horizontal="left"/>
      <protection hidden="1"/>
    </xf>
    <xf numFmtId="0" fontId="1" fillId="3" borderId="4" xfId="13" applyFont="1" applyFill="1" applyBorder="1" applyProtection="1">
      <protection hidden="1"/>
    </xf>
    <xf numFmtId="0" fontId="1" fillId="7" borderId="14" xfId="13" applyFont="1" applyFill="1" applyBorder="1" applyAlignment="1" applyProtection="1">
      <alignment horizontal="left"/>
      <protection hidden="1"/>
    </xf>
    <xf numFmtId="0" fontId="2" fillId="5" borderId="14" xfId="13" applyFont="1" applyFill="1" applyBorder="1" applyAlignment="1" applyProtection="1">
      <alignment horizontal="left"/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15" xfId="13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4" fillId="9" borderId="6" xfId="13" applyFont="1" applyFill="1" applyBorder="1" applyAlignment="1" applyProtection="1">
      <alignment horizontal="left"/>
      <protection hidden="1"/>
    </xf>
    <xf numFmtId="178" fontId="5" fillId="9" borderId="6" xfId="13" applyNumberFormat="1" applyFont="1" applyFill="1" applyBorder="1" applyProtection="1">
      <protection hidden="1"/>
    </xf>
    <xf numFmtId="168" fontId="5" fillId="9" borderId="0" xfId="13" applyNumberFormat="1" applyFont="1" applyFill="1" applyProtection="1">
      <protection hidden="1"/>
    </xf>
    <xf numFmtId="0" fontId="5" fillId="9" borderId="0" xfId="13" applyFont="1" applyFill="1" applyProtection="1">
      <protection hidden="1"/>
    </xf>
    <xf numFmtId="167" fontId="5" fillId="9" borderId="6" xfId="13" applyNumberFormat="1" applyFont="1" applyFill="1" applyBorder="1" applyProtection="1">
      <protection hidden="1"/>
    </xf>
    <xf numFmtId="168" fontId="5" fillId="9" borderId="6" xfId="13" applyNumberFormat="1" applyFont="1" applyFill="1" applyBorder="1" applyProtection="1">
      <protection hidden="1"/>
    </xf>
    <xf numFmtId="169" fontId="5" fillId="9" borderId="6" xfId="13" applyNumberFormat="1" applyFont="1" applyFill="1" applyBorder="1" applyProtection="1">
      <protection hidden="1"/>
    </xf>
    <xf numFmtId="169" fontId="5" fillId="9" borderId="7" xfId="13" applyNumberFormat="1" applyFont="1" applyFill="1" applyBorder="1" applyProtection="1">
      <protection hidden="1"/>
    </xf>
    <xf numFmtId="179" fontId="5" fillId="9" borderId="6" xfId="13" applyNumberFormat="1" applyFont="1" applyFill="1" applyBorder="1" applyProtection="1">
      <protection hidden="1"/>
    </xf>
    <xf numFmtId="168" fontId="4" fillId="9" borderId="6" xfId="13" applyNumberFormat="1" applyFont="1" applyFill="1" applyBorder="1" applyAlignment="1" applyProtection="1">
      <alignment horizontal="center"/>
      <protection hidden="1"/>
    </xf>
    <xf numFmtId="168" fontId="4" fillId="9" borderId="0" xfId="13" applyNumberFormat="1" applyFont="1" applyFill="1" applyBorder="1" applyAlignment="1" applyProtection="1">
      <alignment horizontal="center"/>
      <protection hidden="1"/>
    </xf>
    <xf numFmtId="167" fontId="4" fillId="9" borderId="6" xfId="13" applyNumberFormat="1" applyFont="1" applyFill="1" applyBorder="1" applyProtection="1">
      <protection hidden="1"/>
    </xf>
    <xf numFmtId="167" fontId="4" fillId="9" borderId="0" xfId="13" applyNumberFormat="1" applyFont="1" applyFill="1" applyBorder="1" applyProtection="1">
      <protection hidden="1"/>
    </xf>
    <xf numFmtId="0" fontId="2" fillId="10" borderId="0" xfId="13" applyFont="1" applyFill="1" applyBorder="1" applyAlignment="1" applyProtection="1">
      <alignment horizontal="left"/>
      <protection hidden="1"/>
    </xf>
    <xf numFmtId="0" fontId="10" fillId="11" borderId="16" xfId="13" applyFont="1" applyFill="1" applyBorder="1" applyAlignment="1" applyProtection="1">
      <alignment horizontal="left"/>
      <protection hidden="1"/>
    </xf>
    <xf numFmtId="165" fontId="1" fillId="2" borderId="17" xfId="13" applyNumberFormat="1" applyFill="1" applyBorder="1" applyAlignment="1" applyProtection="1">
      <protection hidden="1"/>
    </xf>
    <xf numFmtId="165" fontId="1" fillId="2" borderId="18" xfId="13" applyNumberFormat="1" applyFill="1" applyBorder="1" applyAlignment="1" applyProtection="1">
      <protection hidden="1"/>
    </xf>
    <xf numFmtId="0" fontId="1" fillId="2" borderId="19" xfId="13" applyFill="1" applyBorder="1" applyAlignment="1" applyProtection="1">
      <alignment horizontal="left"/>
      <protection hidden="1"/>
    </xf>
    <xf numFmtId="0" fontId="1" fillId="2" borderId="20" xfId="13" applyFill="1" applyBorder="1"/>
    <xf numFmtId="0" fontId="10" fillId="12" borderId="19" xfId="13" applyFont="1" applyFill="1" applyBorder="1" applyAlignment="1" applyProtection="1">
      <alignment horizontal="left"/>
      <protection hidden="1"/>
    </xf>
    <xf numFmtId="0" fontId="10" fillId="2" borderId="19" xfId="13" applyFont="1" applyFill="1" applyBorder="1" applyAlignment="1" applyProtection="1">
      <alignment horizontal="left"/>
      <protection hidden="1"/>
    </xf>
    <xf numFmtId="0" fontId="1" fillId="2" borderId="19" xfId="13" applyFont="1" applyFill="1" applyBorder="1" applyAlignment="1" applyProtection="1">
      <alignment horizontal="left"/>
      <protection hidden="1"/>
    </xf>
    <xf numFmtId="165" fontId="1" fillId="2" borderId="20" xfId="13" applyNumberFormat="1" applyFill="1" applyBorder="1" applyAlignment="1" applyProtection="1">
      <protection hidden="1"/>
    </xf>
    <xf numFmtId="0" fontId="2" fillId="2" borderId="19" xfId="13" quotePrefix="1" applyFont="1" applyFill="1" applyBorder="1" applyAlignment="1" applyProtection="1">
      <alignment horizontal="left"/>
      <protection hidden="1"/>
    </xf>
    <xf numFmtId="0" fontId="1" fillId="2" borderId="19" xfId="13" applyFill="1" applyBorder="1" applyProtection="1">
      <protection hidden="1"/>
    </xf>
    <xf numFmtId="0" fontId="1" fillId="2" borderId="21" xfId="13" applyFill="1" applyBorder="1" applyProtection="1">
      <protection hidden="1"/>
    </xf>
    <xf numFmtId="0" fontId="1" fillId="2" borderId="22" xfId="13" applyFill="1" applyBorder="1" applyProtection="1">
      <protection hidden="1"/>
    </xf>
    <xf numFmtId="165" fontId="2" fillId="2" borderId="22" xfId="13" applyNumberFormat="1" applyFont="1" applyFill="1" applyBorder="1" applyAlignment="1" applyProtection="1">
      <protection hidden="1"/>
    </xf>
    <xf numFmtId="0" fontId="12" fillId="13" borderId="23" xfId="13" applyFont="1" applyFill="1" applyBorder="1" applyAlignment="1" applyProtection="1">
      <alignment horizontal="left"/>
      <protection hidden="1"/>
    </xf>
    <xf numFmtId="0" fontId="12" fillId="13" borderId="24" xfId="13" applyFont="1" applyFill="1" applyBorder="1" applyAlignment="1" applyProtection="1">
      <alignment horizontal="right"/>
      <protection hidden="1"/>
    </xf>
    <xf numFmtId="0" fontId="12" fillId="13" borderId="25" xfId="13" applyFont="1" applyFill="1" applyBorder="1" applyAlignment="1" applyProtection="1">
      <alignment horizontal="right"/>
      <protection hidden="1"/>
    </xf>
    <xf numFmtId="0" fontId="1" fillId="2" borderId="26" xfId="13" applyFill="1" applyBorder="1" applyAlignment="1" applyProtection="1">
      <protection hidden="1"/>
    </xf>
    <xf numFmtId="0" fontId="1" fillId="2" borderId="0" xfId="13" applyFill="1" applyBorder="1" applyAlignment="1" applyProtection="1">
      <protection hidden="1"/>
    </xf>
    <xf numFmtId="0" fontId="1" fillId="2" borderId="27" xfId="13" applyFill="1" applyBorder="1" applyAlignment="1" applyProtection="1">
      <protection hidden="1"/>
    </xf>
    <xf numFmtId="0" fontId="1" fillId="2" borderId="28" xfId="13" applyFill="1" applyBorder="1" applyAlignment="1" applyProtection="1">
      <protection hidden="1"/>
    </xf>
    <xf numFmtId="0" fontId="1" fillId="2" borderId="29" xfId="13" applyFill="1" applyBorder="1" applyAlignment="1" applyProtection="1">
      <protection hidden="1"/>
    </xf>
    <xf numFmtId="0" fontId="1" fillId="2" borderId="30" xfId="13" applyFill="1" applyBorder="1" applyAlignment="1" applyProtection="1">
      <protection hidden="1"/>
    </xf>
    <xf numFmtId="165" fontId="1" fillId="2" borderId="0" xfId="13" applyNumberFormat="1" applyFill="1" applyProtection="1">
      <protection hidden="1"/>
    </xf>
    <xf numFmtId="0" fontId="2" fillId="14" borderId="2" xfId="13" applyFont="1" applyFill="1" applyBorder="1" applyAlignment="1" applyProtection="1">
      <alignment horizontal="left"/>
      <protection hidden="1"/>
    </xf>
    <xf numFmtId="3" fontId="1" fillId="12" borderId="0" xfId="13" applyNumberFormat="1" applyFont="1" applyFill="1" applyProtection="1">
      <protection hidden="1"/>
    </xf>
    <xf numFmtId="0" fontId="4" fillId="2" borderId="6" xfId="13" applyFont="1" applyFill="1" applyBorder="1" applyAlignment="1" applyProtection="1">
      <alignment horizontal="left"/>
      <protection hidden="1"/>
    </xf>
    <xf numFmtId="178" fontId="5" fillId="2" borderId="6" xfId="13" applyNumberFormat="1" applyFont="1" applyFill="1" applyBorder="1" applyProtection="1">
      <protection hidden="1"/>
    </xf>
    <xf numFmtId="168" fontId="5" fillId="2" borderId="0" xfId="13" applyNumberFormat="1" applyFont="1" applyFill="1" applyProtection="1">
      <protection hidden="1"/>
    </xf>
    <xf numFmtId="179" fontId="5" fillId="2" borderId="6" xfId="13" applyNumberFormat="1" applyFont="1" applyFill="1" applyBorder="1" applyProtection="1">
      <protection hidden="1"/>
    </xf>
    <xf numFmtId="178" fontId="4" fillId="2" borderId="6" xfId="13" applyNumberFormat="1" applyFont="1" applyFill="1" applyBorder="1" applyProtection="1">
      <protection hidden="1"/>
    </xf>
    <xf numFmtId="180" fontId="1" fillId="2" borderId="0" xfId="13" applyNumberFormat="1" applyFill="1" applyProtection="1">
      <protection hidden="1"/>
    </xf>
    <xf numFmtId="0" fontId="2" fillId="10" borderId="10" xfId="13" applyFont="1" applyFill="1" applyBorder="1" applyAlignment="1" applyProtection="1">
      <alignment horizontal="left"/>
      <protection hidden="1"/>
    </xf>
    <xf numFmtId="165" fontId="1" fillId="2" borderId="17" xfId="13" applyNumberFormat="1" applyFill="1" applyBorder="1" applyAlignment="1"/>
    <xf numFmtId="0" fontId="1" fillId="2" borderId="17" xfId="13" applyFill="1" applyBorder="1" applyAlignment="1" applyProtection="1">
      <alignment horizontal="left"/>
      <protection hidden="1"/>
    </xf>
    <xf numFmtId="0" fontId="0" fillId="2" borderId="18" xfId="0" applyFill="1" applyBorder="1" applyProtection="1">
      <protection hidden="1"/>
    </xf>
    <xf numFmtId="165" fontId="1" fillId="2" borderId="0" xfId="13" applyNumberFormat="1" applyFill="1" applyBorder="1" applyAlignment="1"/>
    <xf numFmtId="0" fontId="0" fillId="2" borderId="20" xfId="0" applyFill="1" applyBorder="1" applyProtection="1">
      <protection hidden="1"/>
    </xf>
    <xf numFmtId="0" fontId="2" fillId="2" borderId="19" xfId="13" applyFont="1" applyFill="1" applyBorder="1" applyAlignment="1" applyProtection="1">
      <alignment horizontal="left"/>
      <protection hidden="1"/>
    </xf>
    <xf numFmtId="0" fontId="1" fillId="2" borderId="0" xfId="13" applyFill="1" applyBorder="1" applyAlignment="1">
      <alignment horizontal="left"/>
    </xf>
    <xf numFmtId="164" fontId="1" fillId="3" borderId="20" xfId="13" applyNumberFormat="1" applyFill="1" applyBorder="1" applyAlignment="1" applyProtection="1">
      <protection hidden="1"/>
    </xf>
    <xf numFmtId="164" fontId="1" fillId="2" borderId="20" xfId="13" applyNumberFormat="1" applyFill="1" applyBorder="1" applyAlignment="1" applyProtection="1">
      <protection hidden="1"/>
    </xf>
    <xf numFmtId="0" fontId="1" fillId="2" borderId="0" xfId="13" applyFont="1" applyFill="1" applyBorder="1" applyAlignment="1">
      <alignment horizontal="left"/>
    </xf>
    <xf numFmtId="164" fontId="1" fillId="14" borderId="20" xfId="13" applyNumberFormat="1" applyFill="1" applyBorder="1" applyAlignment="1" applyProtection="1">
      <protection hidden="1"/>
    </xf>
    <xf numFmtId="164" fontId="1" fillId="8" borderId="20" xfId="13" applyNumberFormat="1" applyFill="1" applyBorder="1" applyAlignment="1" applyProtection="1">
      <protection hidden="1"/>
    </xf>
    <xf numFmtId="164" fontId="1" fillId="2" borderId="20" xfId="13" applyNumberFormat="1" applyFill="1" applyBorder="1" applyProtection="1">
      <protection hidden="1"/>
    </xf>
    <xf numFmtId="164" fontId="1" fillId="15" borderId="20" xfId="13" applyNumberFormat="1" applyFont="1" applyFill="1" applyBorder="1" applyProtection="1">
      <protection hidden="1"/>
    </xf>
    <xf numFmtId="0" fontId="2" fillId="2" borderId="22" xfId="13" applyFont="1" applyFill="1" applyBorder="1" applyProtection="1">
      <protection hidden="1"/>
    </xf>
    <xf numFmtId="164" fontId="1" fillId="7" borderId="31" xfId="13" applyNumberFormat="1" applyFill="1" applyBorder="1" applyProtection="1">
      <protection hidden="1"/>
    </xf>
    <xf numFmtId="0" fontId="3" fillId="12" borderId="0" xfId="9" applyFill="1" applyAlignment="1" applyProtection="1">
      <protection hidden="1"/>
    </xf>
    <xf numFmtId="0" fontId="1" fillId="12" borderId="0" xfId="13" applyFill="1" applyProtection="1">
      <protection hidden="1"/>
    </xf>
    <xf numFmtId="3" fontId="3" fillId="12" borderId="0" xfId="9" applyNumberFormat="1" applyFill="1" applyAlignment="1" applyProtection="1">
      <protection hidden="1"/>
    </xf>
    <xf numFmtId="0" fontId="2" fillId="2" borderId="13" xfId="13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alignment horizontal="left"/>
      <protection hidden="1"/>
    </xf>
    <xf numFmtId="0" fontId="1" fillId="2" borderId="13" xfId="13" applyFont="1" applyFill="1" applyBorder="1" applyAlignment="1" applyProtection="1">
      <alignment horizontal="left"/>
      <protection hidden="1"/>
    </xf>
    <xf numFmtId="0" fontId="10" fillId="2" borderId="17" xfId="13" applyFont="1" applyFill="1" applyBorder="1" applyAlignment="1" applyProtection="1">
      <alignment horizontal="left"/>
      <protection hidden="1"/>
    </xf>
    <xf numFmtId="0" fontId="10" fillId="2" borderId="0" xfId="13" applyFont="1" applyFill="1" applyBorder="1" applyAlignment="1" applyProtection="1">
      <alignment horizontal="left"/>
      <protection hidden="1"/>
    </xf>
    <xf numFmtId="0" fontId="1" fillId="2" borderId="0" xfId="13" applyFill="1" applyBorder="1" applyProtection="1">
      <protection hidden="1"/>
    </xf>
    <xf numFmtId="0" fontId="12" fillId="13" borderId="24" xfId="13" applyFont="1" applyFill="1" applyBorder="1" applyAlignment="1" applyProtection="1">
      <alignment horizontal="left"/>
      <protection hidden="1"/>
    </xf>
    <xf numFmtId="168" fontId="4" fillId="2" borderId="7" xfId="13" applyNumberFormat="1" applyFont="1" applyFill="1" applyBorder="1" applyAlignment="1" applyProtection="1">
      <alignment horizontal="center"/>
      <protection hidden="1"/>
    </xf>
    <xf numFmtId="168" fontId="5" fillId="2" borderId="7" xfId="13" applyNumberFormat="1" applyFont="1" applyFill="1" applyBorder="1" applyProtection="1">
      <protection hidden="1"/>
    </xf>
    <xf numFmtId="0" fontId="4" fillId="9" borderId="7" xfId="13" applyFont="1" applyFill="1" applyBorder="1" applyAlignment="1" applyProtection="1">
      <alignment horizontal="left"/>
      <protection hidden="1"/>
    </xf>
    <xf numFmtId="168" fontId="5" fillId="9" borderId="7" xfId="13" applyNumberFormat="1" applyFont="1" applyFill="1" applyBorder="1" applyProtection="1">
      <protection hidden="1"/>
    </xf>
    <xf numFmtId="178" fontId="5" fillId="9" borderId="7" xfId="13" applyNumberFormat="1" applyFont="1" applyFill="1" applyBorder="1" applyProtection="1">
      <protection hidden="1"/>
    </xf>
    <xf numFmtId="0" fontId="4" fillId="2" borderId="7" xfId="13" applyFont="1" applyFill="1" applyBorder="1" applyAlignment="1" applyProtection="1">
      <alignment horizontal="left"/>
      <protection hidden="1"/>
    </xf>
    <xf numFmtId="178" fontId="5" fillId="2" borderId="7" xfId="13" applyNumberFormat="1" applyFont="1" applyFill="1" applyBorder="1" applyProtection="1">
      <protection hidden="1"/>
    </xf>
    <xf numFmtId="165" fontId="1" fillId="2" borderId="0" xfId="13" applyNumberFormat="1" applyFill="1" applyBorder="1" applyProtection="1">
      <protection hidden="1"/>
    </xf>
    <xf numFmtId="0" fontId="1" fillId="2" borderId="0" xfId="13" applyFill="1" applyBorder="1" applyProtection="1"/>
    <xf numFmtId="168" fontId="4" fillId="2" borderId="32" xfId="13" applyNumberFormat="1" applyFont="1" applyFill="1" applyBorder="1" applyAlignment="1" applyProtection="1">
      <alignment horizontal="center"/>
      <protection hidden="1"/>
    </xf>
    <xf numFmtId="167" fontId="5" fillId="2" borderId="32" xfId="13" applyNumberFormat="1" applyFont="1" applyFill="1" applyBorder="1" applyProtection="1">
      <protection hidden="1"/>
    </xf>
    <xf numFmtId="0" fontId="4" fillId="9" borderId="32" xfId="13" applyFont="1" applyFill="1" applyBorder="1" applyAlignment="1" applyProtection="1">
      <alignment horizontal="left"/>
      <protection hidden="1"/>
    </xf>
    <xf numFmtId="167" fontId="5" fillId="9" borderId="32" xfId="13" applyNumberFormat="1" applyFont="1" applyFill="1" applyBorder="1" applyProtection="1">
      <protection hidden="1"/>
    </xf>
    <xf numFmtId="178" fontId="5" fillId="9" borderId="32" xfId="13" applyNumberFormat="1" applyFont="1" applyFill="1" applyBorder="1" applyProtection="1">
      <protection hidden="1"/>
    </xf>
    <xf numFmtId="0" fontId="5" fillId="9" borderId="0" xfId="13" applyFont="1" applyFill="1" applyBorder="1" applyProtection="1">
      <protection hidden="1"/>
    </xf>
    <xf numFmtId="0" fontId="4" fillId="2" borderId="32" xfId="13" applyFont="1" applyFill="1" applyBorder="1" applyAlignment="1" applyProtection="1">
      <alignment horizontal="left"/>
      <protection hidden="1"/>
    </xf>
    <xf numFmtId="178" fontId="5" fillId="2" borderId="32" xfId="13" applyNumberFormat="1" applyFont="1" applyFill="1" applyBorder="1" applyProtection="1">
      <protection hidden="1"/>
    </xf>
    <xf numFmtId="1" fontId="1" fillId="2" borderId="0" xfId="13" applyNumberFormat="1" applyFill="1" applyBorder="1" applyAlignment="1" applyProtection="1">
      <alignment horizontal="right"/>
      <protection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0" fontId="1" fillId="2" borderId="2" xfId="13" applyNumberFormat="1" applyFill="1" applyBorder="1" applyAlignment="1" applyProtection="1">
      <protection hidden="1"/>
    </xf>
    <xf numFmtId="0" fontId="2" fillId="2" borderId="0" xfId="13" applyNumberFormat="1" applyFont="1" applyFill="1" applyBorder="1" applyAlignment="1" applyProtection="1">
      <alignment horizontal="left"/>
      <protection hidden="1"/>
    </xf>
    <xf numFmtId="0" fontId="1" fillId="2" borderId="0" xfId="13" applyFont="1" applyFill="1" applyBorder="1" applyAlignment="1" applyProtection="1">
      <alignment horizontal="center"/>
      <protection hidden="1"/>
    </xf>
    <xf numFmtId="166" fontId="1" fillId="2" borderId="0" xfId="13" applyNumberFormat="1" applyFont="1" applyFill="1" applyBorder="1" applyAlignment="1" applyProtection="1">
      <alignment horizontal="left"/>
      <protection hidden="1"/>
    </xf>
    <xf numFmtId="0" fontId="1" fillId="2" borderId="0" xfId="13" applyFill="1" applyBorder="1" applyAlignment="1" applyProtection="1">
      <alignment horizontal="center"/>
      <protection hidden="1"/>
    </xf>
    <xf numFmtId="0" fontId="1" fillId="2" borderId="0" xfId="13" applyFill="1" applyBorder="1" applyAlignment="1" applyProtection="1">
      <alignment horizontal="left"/>
    </xf>
    <xf numFmtId="1" fontId="1" fillId="3" borderId="0" xfId="13" applyNumberFormat="1" applyFill="1" applyBorder="1" applyAlignment="1" applyProtection="1">
      <alignment horizontal="center"/>
      <protection locked="0" hidden="1"/>
    </xf>
    <xf numFmtId="164" fontId="1" fillId="12" borderId="17" xfId="13" applyNumberFormat="1" applyFill="1" applyBorder="1" applyAlignment="1" applyProtection="1">
      <protection locked="0" hidden="1"/>
    </xf>
    <xf numFmtId="164" fontId="1" fillId="12" borderId="0" xfId="13" applyNumberFormat="1" applyFill="1" applyBorder="1" applyAlignment="1" applyProtection="1">
      <protection locked="0" hidden="1"/>
    </xf>
    <xf numFmtId="164" fontId="1" fillId="16" borderId="0" xfId="13" applyNumberFormat="1" applyFill="1" applyBorder="1" applyAlignment="1" applyProtection="1">
      <protection hidden="1"/>
    </xf>
    <xf numFmtId="164" fontId="1" fillId="3" borderId="0" xfId="13" applyNumberFormat="1" applyFill="1" applyBorder="1" applyAlignment="1" applyProtection="1">
      <alignment horizontal="right"/>
      <protection hidden="1"/>
    </xf>
    <xf numFmtId="164" fontId="1" fillId="3" borderId="0" xfId="13" applyNumberFormat="1" applyFill="1" applyBorder="1" applyAlignment="1" applyProtection="1">
      <alignment horizontal="right"/>
      <protection locked="0" hidden="1"/>
    </xf>
    <xf numFmtId="164" fontId="1" fillId="14" borderId="0" xfId="13" applyNumberFormat="1" applyFill="1" applyBorder="1" applyAlignment="1" applyProtection="1">
      <alignment horizontal="right"/>
      <protection hidden="1"/>
    </xf>
    <xf numFmtId="0" fontId="1" fillId="12" borderId="0" xfId="13" applyFill="1"/>
    <xf numFmtId="166" fontId="1" fillId="17" borderId="0" xfId="13" applyNumberFormat="1" applyFill="1" applyBorder="1" applyAlignment="1" applyProtection="1">
      <alignment horizontal="left"/>
      <protection hidden="1"/>
    </xf>
    <xf numFmtId="3" fontId="1" fillId="17" borderId="0" xfId="13" applyNumberFormat="1" applyFont="1" applyFill="1" applyProtection="1"/>
    <xf numFmtId="3" fontId="1" fillId="17" borderId="0" xfId="13" applyNumberFormat="1" applyFont="1" applyFill="1" applyProtection="1">
      <protection hidden="1"/>
    </xf>
    <xf numFmtId="0" fontId="1" fillId="12" borderId="0" xfId="13" applyFill="1" applyProtection="1"/>
    <xf numFmtId="181" fontId="1" fillId="3" borderId="0" xfId="13" applyNumberFormat="1" applyFill="1" applyBorder="1" applyAlignment="1" applyProtection="1">
      <alignment horizontal="right"/>
      <protection locked="0" hidden="1"/>
    </xf>
    <xf numFmtId="181" fontId="1" fillId="8" borderId="3" xfId="13" applyNumberFormat="1" applyFill="1" applyBorder="1" applyAlignment="1" applyProtection="1">
      <alignment horizontal="right"/>
      <protection hidden="1"/>
    </xf>
    <xf numFmtId="181" fontId="1" fillId="12" borderId="0" xfId="13" applyNumberFormat="1" applyFill="1" applyBorder="1" applyAlignment="1" applyProtection="1">
      <alignment horizontal="right"/>
      <protection locked="0" hidden="1"/>
    </xf>
    <xf numFmtId="181" fontId="1" fillId="6" borderId="0" xfId="13" applyNumberFormat="1" applyFont="1" applyFill="1" applyBorder="1" applyAlignment="1" applyProtection="1">
      <alignment horizontal="right"/>
      <protection locked="0" hidden="1"/>
    </xf>
    <xf numFmtId="181" fontId="1" fillId="3" borderId="0" xfId="13" applyNumberFormat="1" applyFill="1" applyBorder="1" applyAlignment="1" applyProtection="1">
      <alignment horizontal="right"/>
      <protection hidden="1"/>
    </xf>
    <xf numFmtId="181" fontId="1" fillId="3" borderId="0" xfId="13" applyNumberFormat="1" applyFill="1" applyAlignment="1">
      <alignment horizontal="right"/>
    </xf>
    <xf numFmtId="181" fontId="1" fillId="8" borderId="4" xfId="13" applyNumberFormat="1" applyFill="1" applyBorder="1" applyAlignment="1" applyProtection="1">
      <alignment horizontal="right"/>
      <protection hidden="1"/>
    </xf>
    <xf numFmtId="181" fontId="1" fillId="2" borderId="0" xfId="13" applyNumberFormat="1" applyFill="1" applyBorder="1" applyAlignment="1" applyProtection="1">
      <alignment horizontal="right"/>
      <protection hidden="1"/>
    </xf>
    <xf numFmtId="181" fontId="1" fillId="4" borderId="4" xfId="13" applyNumberFormat="1" applyFill="1" applyBorder="1" applyAlignment="1" applyProtection="1">
      <alignment horizontal="right"/>
      <protection hidden="1"/>
    </xf>
    <xf numFmtId="181" fontId="1" fillId="7" borderId="10" xfId="13" applyNumberFormat="1" applyFill="1" applyBorder="1" applyAlignment="1" applyProtection="1">
      <alignment horizontal="right"/>
      <protection hidden="1"/>
    </xf>
    <xf numFmtId="181" fontId="1" fillId="2" borderId="0" xfId="13" applyNumberFormat="1" applyFill="1" applyAlignment="1" applyProtection="1">
      <alignment horizontal="right"/>
      <protection hidden="1"/>
    </xf>
    <xf numFmtId="181" fontId="1" fillId="5" borderId="10" xfId="13" applyNumberFormat="1" applyFill="1" applyBorder="1" applyAlignment="1" applyProtection="1">
      <alignment horizontal="right"/>
      <protection hidden="1"/>
    </xf>
    <xf numFmtId="181" fontId="1" fillId="11" borderId="17" xfId="13" applyNumberFormat="1" applyFill="1" applyBorder="1" applyAlignment="1" applyProtection="1">
      <alignment horizontal="right"/>
      <protection locked="0" hidden="1"/>
    </xf>
    <xf numFmtId="181" fontId="1" fillId="11" borderId="0" xfId="13" applyNumberFormat="1" applyFill="1" applyBorder="1" applyAlignment="1" applyProtection="1">
      <alignment horizontal="right"/>
      <protection locked="0" hidden="1"/>
    </xf>
    <xf numFmtId="181" fontId="1" fillId="18" borderId="0" xfId="13" applyNumberFormat="1" applyFill="1" applyBorder="1" applyAlignment="1" applyProtection="1">
      <alignment horizontal="right"/>
      <protection hidden="1"/>
    </xf>
    <xf numFmtId="181" fontId="1" fillId="16" borderId="0" xfId="13" applyNumberFormat="1" applyFill="1" applyBorder="1" applyAlignment="1" applyProtection="1">
      <alignment horizontal="right"/>
      <protection hidden="1"/>
    </xf>
    <xf numFmtId="181" fontId="2" fillId="2" borderId="0" xfId="13" applyNumberFormat="1" applyFont="1" applyFill="1" applyBorder="1" applyAlignment="1" applyProtection="1">
      <alignment horizontal="right"/>
      <protection hidden="1"/>
    </xf>
    <xf numFmtId="181" fontId="1" fillId="4" borderId="0" xfId="13" applyNumberFormat="1" applyFill="1" applyBorder="1" applyAlignment="1" applyProtection="1">
      <alignment horizontal="right"/>
      <protection hidden="1"/>
    </xf>
    <xf numFmtId="181" fontId="1" fillId="3" borderId="0" xfId="13" applyNumberFormat="1" applyFont="1" applyFill="1" applyBorder="1" applyAlignment="1" applyProtection="1">
      <alignment horizontal="right"/>
      <protection locked="0" hidden="1"/>
    </xf>
    <xf numFmtId="181" fontId="1" fillId="14" borderId="0" xfId="13" applyNumberFormat="1" applyFont="1" applyFill="1" applyBorder="1" applyAlignment="1" applyProtection="1">
      <alignment horizontal="right"/>
      <protection hidden="1"/>
    </xf>
    <xf numFmtId="181" fontId="1" fillId="12" borderId="0" xfId="13" applyNumberFormat="1" applyFill="1" applyBorder="1" applyAlignment="1" applyProtection="1">
      <alignment horizontal="right"/>
      <protection hidden="1"/>
    </xf>
    <xf numFmtId="181" fontId="1" fillId="3" borderId="20" xfId="13" applyNumberFormat="1" applyFill="1" applyBorder="1" applyAlignment="1" applyProtection="1">
      <alignment horizontal="right"/>
      <protection hidden="1"/>
    </xf>
    <xf numFmtId="181" fontId="1" fillId="4" borderId="20" xfId="13" applyNumberFormat="1" applyFill="1" applyBorder="1" applyAlignment="1" applyProtection="1">
      <alignment horizontal="right"/>
      <protection hidden="1"/>
    </xf>
    <xf numFmtId="181" fontId="1" fillId="2" borderId="20" xfId="13" applyNumberFormat="1" applyFill="1" applyBorder="1" applyAlignment="1" applyProtection="1">
      <alignment horizontal="right"/>
      <protection hidden="1"/>
    </xf>
    <xf numFmtId="181" fontId="1" fillId="14" borderId="20" xfId="13" applyNumberFormat="1" applyFill="1" applyBorder="1" applyAlignment="1" applyProtection="1">
      <alignment horizontal="right"/>
      <protection hidden="1"/>
    </xf>
    <xf numFmtId="181" fontId="1" fillId="8" borderId="20" xfId="13" applyNumberFormat="1" applyFill="1" applyBorder="1" applyAlignment="1" applyProtection="1">
      <alignment horizontal="right"/>
      <protection hidden="1"/>
    </xf>
    <xf numFmtId="181" fontId="1" fillId="6" borderId="20" xfId="13" applyNumberFormat="1" applyFill="1" applyBorder="1" applyAlignment="1" applyProtection="1">
      <alignment horizontal="right"/>
      <protection hidden="1"/>
    </xf>
    <xf numFmtId="181" fontId="2" fillId="7" borderId="31" xfId="13" applyNumberFormat="1" applyFont="1" applyFill="1" applyBorder="1" applyAlignment="1" applyProtection="1">
      <alignment horizontal="right"/>
      <protection hidden="1"/>
    </xf>
    <xf numFmtId="181" fontId="1" fillId="12" borderId="4" xfId="13" applyNumberFormat="1" applyFill="1" applyBorder="1" applyAlignment="1" applyProtection="1">
      <alignment horizontal="right"/>
      <protection hidden="1"/>
    </xf>
    <xf numFmtId="49" fontId="1" fillId="19" borderId="0" xfId="13" applyNumberFormat="1" applyFont="1" applyFill="1" applyBorder="1" applyAlignment="1" applyProtection="1">
      <alignment horizontal="left"/>
      <protection hidden="1"/>
    </xf>
    <xf numFmtId="0" fontId="1" fillId="19" borderId="0" xfId="13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VBIFTHMHDAC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VBIFTHMHAV.xlsx" TargetMode="External"/><Relationship Id="rId1" Type="http://schemas.openxmlformats.org/officeDocument/2006/relationships/hyperlink" Target="VBIFTHMHAK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HM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267"/>
  <sheetViews>
    <sheetView tabSelected="1" zoomScaleNormal="100" workbookViewId="0">
      <selection activeCell="C3" sqref="C3"/>
    </sheetView>
  </sheetViews>
  <sheetFormatPr defaultRowHeight="12.75" x14ac:dyDescent="0.2"/>
  <cols>
    <col min="1" max="1" width="31.7109375" style="2" customWidth="1"/>
    <col min="2" max="2" width="5.5703125" style="15" customWidth="1"/>
    <col min="3" max="3" width="16.85546875" style="2" customWidth="1"/>
    <col min="4" max="4" width="2.140625" style="24" customWidth="1"/>
    <col min="5" max="5" width="6.42578125" style="24" customWidth="1"/>
    <col min="6" max="6" width="16.85546875" style="24" customWidth="1"/>
    <col min="7" max="8" width="17.140625" style="2" customWidth="1"/>
    <col min="9" max="9" width="16.7109375" style="2" customWidth="1"/>
    <col min="10" max="10" width="12.28515625" style="2" customWidth="1"/>
    <col min="11" max="11" width="15.85546875" style="2" bestFit="1" customWidth="1"/>
    <col min="12" max="20" width="9.140625" style="2"/>
    <col min="21" max="21" width="12.140625" style="2" bestFit="1" customWidth="1"/>
    <col min="22" max="16384" width="9.140625" style="2"/>
  </cols>
  <sheetData>
    <row r="1" spans="1:11" ht="13.5" thickTop="1" x14ac:dyDescent="0.2">
      <c r="A1" s="94" t="s">
        <v>87</v>
      </c>
      <c r="B1" s="94"/>
      <c r="C1" s="94"/>
      <c r="D1" s="94"/>
      <c r="E1" s="94"/>
      <c r="F1" s="94"/>
      <c r="G1" s="94"/>
      <c r="H1" s="94"/>
      <c r="I1" s="148"/>
      <c r="J1" s="1"/>
      <c r="K1" s="1"/>
    </row>
    <row r="2" spans="1:11" x14ac:dyDescent="0.2">
      <c r="A2" s="3"/>
      <c r="B2" s="3"/>
      <c r="C2" s="3"/>
      <c r="D2" s="3"/>
      <c r="E2" s="3"/>
      <c r="F2" s="3"/>
      <c r="G2" s="3"/>
      <c r="H2" s="3"/>
      <c r="I2" s="4"/>
      <c r="J2" s="4"/>
      <c r="K2" s="4"/>
    </row>
    <row r="3" spans="1:11" x14ac:dyDescent="0.2">
      <c r="A3" s="3" t="s">
        <v>0</v>
      </c>
      <c r="B3" s="3"/>
      <c r="C3" s="40"/>
      <c r="D3" s="149"/>
      <c r="E3" s="149"/>
      <c r="F3" s="149"/>
      <c r="G3" s="3"/>
      <c r="H3" s="3"/>
      <c r="I3" s="4"/>
      <c r="J3" s="4"/>
      <c r="K3" s="5"/>
    </row>
    <row r="4" spans="1:11" x14ac:dyDescent="0.2">
      <c r="A4" s="3" t="s">
        <v>16</v>
      </c>
      <c r="B4" s="3"/>
      <c r="C4" s="41"/>
      <c r="D4" s="10"/>
      <c r="E4" s="10"/>
      <c r="F4" s="10"/>
      <c r="G4" s="6"/>
      <c r="I4" s="7"/>
      <c r="J4" s="4"/>
    </row>
    <row r="5" spans="1:11" x14ac:dyDescent="0.2">
      <c r="A5" s="11" t="s">
        <v>17</v>
      </c>
      <c r="B5" s="11"/>
      <c r="C5" s="166">
        <v>0</v>
      </c>
      <c r="D5" s="8"/>
      <c r="E5" s="8"/>
      <c r="F5" s="8"/>
      <c r="G5" s="6"/>
      <c r="H5" s="4"/>
      <c r="I5" s="8"/>
      <c r="J5" s="4"/>
    </row>
    <row r="6" spans="1:11" x14ac:dyDescent="0.2">
      <c r="A6" s="11" t="s">
        <v>18</v>
      </c>
      <c r="B6" s="11"/>
      <c r="C6" s="166">
        <v>0</v>
      </c>
      <c r="D6" s="8"/>
      <c r="E6" s="8"/>
      <c r="F6" s="8"/>
      <c r="G6" s="6"/>
      <c r="H6" s="4"/>
      <c r="I6" s="8"/>
      <c r="J6" s="4"/>
    </row>
    <row r="7" spans="1:11" x14ac:dyDescent="0.2">
      <c r="A7" s="9" t="s">
        <v>19</v>
      </c>
      <c r="B7" s="9"/>
      <c r="C7" s="167">
        <f>C5+C6</f>
        <v>0</v>
      </c>
      <c r="D7" s="8"/>
      <c r="E7" s="8"/>
      <c r="F7" s="8"/>
      <c r="G7" s="6"/>
      <c r="H7" s="4"/>
      <c r="I7" s="8"/>
      <c r="J7" s="4"/>
    </row>
    <row r="8" spans="1:11" ht="15" x14ac:dyDescent="0.25">
      <c r="A8" s="55" t="s">
        <v>20</v>
      </c>
      <c r="B8" s="55"/>
      <c r="C8" s="168">
        <v>0</v>
      </c>
      <c r="D8" s="8"/>
      <c r="E8" s="8"/>
      <c r="F8" s="8"/>
      <c r="G8" s="6"/>
      <c r="H8" s="4"/>
      <c r="I8" s="8"/>
      <c r="J8" s="4"/>
    </row>
    <row r="9" spans="1:11" x14ac:dyDescent="0.2">
      <c r="A9" s="10" t="s">
        <v>22</v>
      </c>
      <c r="B9" s="10"/>
      <c r="C9" s="46" t="s">
        <v>15</v>
      </c>
      <c r="D9" s="150"/>
      <c r="E9" s="150"/>
      <c r="F9" s="150"/>
      <c r="G9" s="6"/>
      <c r="I9" s="7"/>
      <c r="J9" s="4"/>
    </row>
    <row r="10" spans="1:11" x14ac:dyDescent="0.2">
      <c r="A10" s="10" t="s">
        <v>21</v>
      </c>
      <c r="B10" s="10"/>
      <c r="C10" s="169">
        <v>0</v>
      </c>
      <c r="D10" s="151"/>
      <c r="E10" s="151"/>
      <c r="F10" s="151"/>
      <c r="G10" s="6"/>
      <c r="I10" s="7"/>
      <c r="J10" s="4"/>
    </row>
    <row r="11" spans="1:11" x14ac:dyDescent="0.2">
      <c r="A11" s="10" t="s">
        <v>23</v>
      </c>
      <c r="B11" s="10"/>
      <c r="C11" s="46" t="s">
        <v>15</v>
      </c>
      <c r="D11" s="150"/>
      <c r="E11" s="150"/>
      <c r="F11" s="150"/>
      <c r="G11" s="6"/>
      <c r="H11" s="6"/>
      <c r="I11" s="11"/>
      <c r="J11" s="4"/>
      <c r="K11" s="8"/>
    </row>
    <row r="12" spans="1:11" x14ac:dyDescent="0.2">
      <c r="A12" s="10" t="s">
        <v>24</v>
      </c>
      <c r="B12" s="10"/>
      <c r="C12" s="46" t="s">
        <v>15</v>
      </c>
      <c r="D12" s="150"/>
      <c r="E12" s="150"/>
      <c r="F12" s="150"/>
      <c r="G12" s="10"/>
      <c r="I12" s="7"/>
      <c r="J12" s="4"/>
      <c r="K12" s="4"/>
    </row>
    <row r="13" spans="1:11" x14ac:dyDescent="0.2">
      <c r="A13" s="10" t="s">
        <v>25</v>
      </c>
      <c r="B13" s="10"/>
      <c r="C13" s="46" t="s">
        <v>15</v>
      </c>
      <c r="D13" s="150"/>
      <c r="E13" s="150"/>
      <c r="F13" s="150"/>
      <c r="G13" s="10"/>
      <c r="H13" s="3"/>
      <c r="I13" s="4"/>
      <c r="J13" s="4"/>
      <c r="K13" s="4"/>
    </row>
    <row r="14" spans="1:11" ht="13.5" thickBot="1" x14ac:dyDescent="0.25">
      <c r="A14" s="12" t="s">
        <v>2</v>
      </c>
      <c r="B14" s="12"/>
      <c r="C14" s="3"/>
      <c r="D14" s="3"/>
      <c r="E14" s="3"/>
      <c r="F14" s="3"/>
      <c r="G14" s="3"/>
      <c r="H14" s="3"/>
      <c r="I14" s="4"/>
      <c r="J14" s="4"/>
      <c r="K14" s="4"/>
    </row>
    <row r="15" spans="1:11" ht="14.25" thickTop="1" thickBot="1" x14ac:dyDescent="0.25">
      <c r="A15" s="47" t="s">
        <v>26</v>
      </c>
      <c r="B15" s="122"/>
      <c r="C15" s="3"/>
      <c r="D15" s="3"/>
      <c r="E15" s="3"/>
      <c r="F15" s="3"/>
      <c r="G15" s="3"/>
      <c r="H15" s="3"/>
      <c r="I15" s="4"/>
      <c r="J15" s="4"/>
      <c r="K15" s="4"/>
    </row>
    <row r="16" spans="1:11" ht="14.25" thickTop="1" thickBot="1" x14ac:dyDescent="0.25">
      <c r="A16" s="3"/>
      <c r="B16" s="3"/>
      <c r="C16" s="3"/>
      <c r="D16" s="3"/>
      <c r="E16" s="3"/>
      <c r="F16" s="3"/>
      <c r="G16" s="3"/>
      <c r="H16" s="3"/>
      <c r="I16" s="4"/>
      <c r="J16" s="4"/>
      <c r="K16" s="4"/>
    </row>
    <row r="17" spans="1:11" ht="14.25" thickTop="1" thickBot="1" x14ac:dyDescent="0.25">
      <c r="A17" s="48" t="s">
        <v>27</v>
      </c>
      <c r="B17" s="123"/>
      <c r="C17" s="3"/>
      <c r="D17" s="3"/>
      <c r="E17" s="3"/>
      <c r="F17" s="2"/>
      <c r="G17" s="172">
        <f>IF(AND(C9="oui",C13="oui"),J171-250,J171)</f>
        <v>0</v>
      </c>
      <c r="J17" s="7"/>
    </row>
    <row r="18" spans="1:11" ht="13.5" thickTop="1" x14ac:dyDescent="0.2">
      <c r="A18" s="10" t="s">
        <v>28</v>
      </c>
      <c r="B18" s="10"/>
      <c r="C18" s="6"/>
      <c r="D18" s="6"/>
      <c r="E18" s="6"/>
      <c r="F18" s="170">
        <f>C7*10/100</f>
        <v>0</v>
      </c>
      <c r="G18" s="173"/>
      <c r="J18" s="11"/>
      <c r="K18" s="8"/>
    </row>
    <row r="19" spans="1:11" x14ac:dyDescent="0.2">
      <c r="A19" s="10"/>
      <c r="B19" s="10"/>
      <c r="C19" s="10" t="s">
        <v>33</v>
      </c>
      <c r="D19" s="10"/>
      <c r="E19" s="10"/>
      <c r="F19" s="170">
        <f>IF(C9="oui",-F18/2,0)</f>
        <v>0</v>
      </c>
      <c r="G19" s="173"/>
      <c r="J19" s="11"/>
      <c r="K19" s="8"/>
    </row>
    <row r="20" spans="1:11" x14ac:dyDescent="0.2">
      <c r="A20" s="10"/>
      <c r="B20" s="10"/>
      <c r="C20" s="10" t="s">
        <v>34</v>
      </c>
      <c r="D20" s="10"/>
      <c r="E20" s="10"/>
      <c r="F20" s="170">
        <f>IF(C10&gt;(F18+F19),-(F18+F19),-C10)</f>
        <v>0</v>
      </c>
      <c r="G20" s="173"/>
      <c r="J20" s="11"/>
      <c r="K20" s="8"/>
    </row>
    <row r="21" spans="1:11" x14ac:dyDescent="0.2">
      <c r="A21" s="10"/>
      <c r="B21" s="10"/>
      <c r="C21" s="10" t="s">
        <v>4</v>
      </c>
      <c r="D21" s="10"/>
      <c r="E21" s="10"/>
      <c r="F21" s="171">
        <f>E152</f>
        <v>0</v>
      </c>
      <c r="G21" s="173"/>
      <c r="J21" s="11"/>
      <c r="K21" s="8"/>
    </row>
    <row r="22" spans="1:11" x14ac:dyDescent="0.2">
      <c r="A22" s="10"/>
      <c r="B22" s="10"/>
      <c r="C22" s="10" t="s">
        <v>35</v>
      </c>
      <c r="D22" s="10"/>
      <c r="E22" s="10"/>
      <c r="F22" s="170">
        <f>H151</f>
        <v>0</v>
      </c>
      <c r="G22" s="173"/>
      <c r="J22" s="11"/>
      <c r="K22" s="8"/>
    </row>
    <row r="23" spans="1:11" x14ac:dyDescent="0.2">
      <c r="A23" s="10" t="s">
        <v>29</v>
      </c>
      <c r="B23" s="10"/>
      <c r="C23" s="6"/>
      <c r="D23" s="6"/>
      <c r="E23" s="6"/>
      <c r="F23" s="166">
        <v>0</v>
      </c>
      <c r="G23" s="173"/>
      <c r="J23" s="4"/>
      <c r="K23" s="4"/>
    </row>
    <row r="24" spans="1:11" x14ac:dyDescent="0.2">
      <c r="A24" s="10" t="s">
        <v>30</v>
      </c>
      <c r="B24" s="10"/>
      <c r="C24" s="42">
        <v>0</v>
      </c>
      <c r="D24" s="152"/>
      <c r="E24" s="152"/>
      <c r="F24" s="170">
        <f>C24*30</f>
        <v>0</v>
      </c>
      <c r="G24" s="173"/>
      <c r="J24" s="4"/>
      <c r="K24" s="4"/>
    </row>
    <row r="25" spans="1:11" ht="13.5" thickBot="1" x14ac:dyDescent="0.25">
      <c r="A25" s="10" t="s">
        <v>31</v>
      </c>
      <c r="B25" s="10"/>
      <c r="C25" s="6"/>
      <c r="D25" s="6"/>
      <c r="E25" s="6"/>
      <c r="F25" s="166">
        <v>770</v>
      </c>
      <c r="G25" s="173"/>
      <c r="J25" s="4"/>
      <c r="K25" s="4"/>
    </row>
    <row r="26" spans="1:11" ht="14.25" thickTop="1" thickBot="1" x14ac:dyDescent="0.25">
      <c r="A26" s="49" t="s">
        <v>32</v>
      </c>
      <c r="B26" s="10"/>
      <c r="C26" s="6"/>
      <c r="D26" s="6"/>
      <c r="E26" s="6"/>
      <c r="F26" s="2"/>
      <c r="G26" s="172">
        <f>SUM(F18:F25)</f>
        <v>770</v>
      </c>
      <c r="J26" s="4"/>
      <c r="K26" s="4"/>
    </row>
    <row r="27" spans="1:11" ht="14.25" thickTop="1" thickBot="1" x14ac:dyDescent="0.25">
      <c r="C27" s="6"/>
      <c r="D27" s="6"/>
      <c r="E27" s="6"/>
      <c r="F27" s="50" t="s">
        <v>36</v>
      </c>
      <c r="G27" s="174">
        <f>(G17+F25)*21%</f>
        <v>161.69999999999999</v>
      </c>
      <c r="J27" s="4"/>
      <c r="K27" s="4"/>
    </row>
    <row r="28" spans="1:11" ht="14.25" thickTop="1" thickBot="1" x14ac:dyDescent="0.25">
      <c r="A28" s="15"/>
      <c r="C28" s="6"/>
      <c r="D28" s="6"/>
      <c r="E28" s="6"/>
      <c r="F28" s="16"/>
      <c r="G28" s="173"/>
      <c r="J28" s="4"/>
      <c r="K28" s="4"/>
    </row>
    <row r="29" spans="1:11" ht="14.25" thickTop="1" thickBot="1" x14ac:dyDescent="0.25">
      <c r="A29" s="51" t="s">
        <v>37</v>
      </c>
      <c r="B29" s="124"/>
      <c r="C29" s="6"/>
      <c r="D29" s="6"/>
      <c r="E29" s="6"/>
      <c r="F29" s="18"/>
      <c r="G29" s="175">
        <f>SUM(G17:G27)</f>
        <v>931.7</v>
      </c>
      <c r="J29" s="4"/>
      <c r="K29" s="4"/>
    </row>
    <row r="30" spans="1:11" ht="14.25" thickTop="1" thickBot="1" x14ac:dyDescent="0.25">
      <c r="A30" s="10"/>
      <c r="B30" s="10"/>
      <c r="C30" s="6"/>
      <c r="D30" s="6"/>
      <c r="E30" s="6"/>
      <c r="F30" s="18"/>
      <c r="G30" s="176"/>
      <c r="J30" s="4"/>
      <c r="K30" s="4"/>
    </row>
    <row r="31" spans="1:11" ht="14.25" thickTop="1" thickBot="1" x14ac:dyDescent="0.25">
      <c r="A31" s="52" t="s">
        <v>38</v>
      </c>
      <c r="B31" s="122"/>
      <c r="C31" s="6"/>
      <c r="D31" s="6"/>
      <c r="E31" s="6"/>
      <c r="F31" s="13"/>
      <c r="G31" s="173"/>
      <c r="J31" s="4"/>
      <c r="K31" s="4"/>
    </row>
    <row r="32" spans="1:11" ht="13.5" thickTop="1" x14ac:dyDescent="0.2">
      <c r="A32" s="10"/>
      <c r="B32" s="10"/>
      <c r="C32" s="6"/>
      <c r="D32" s="6"/>
      <c r="E32" s="6"/>
      <c r="F32" s="13"/>
      <c r="G32" s="173"/>
      <c r="J32" s="4"/>
      <c r="K32" s="4"/>
    </row>
    <row r="33" spans="1:11" x14ac:dyDescent="0.2">
      <c r="A33" s="10" t="s">
        <v>39</v>
      </c>
      <c r="B33" s="10"/>
      <c r="C33" s="6"/>
      <c r="D33" s="6"/>
      <c r="E33" s="6"/>
      <c r="F33" s="166">
        <v>0</v>
      </c>
      <c r="G33" s="173"/>
      <c r="J33" s="4"/>
      <c r="K33" s="4"/>
    </row>
    <row r="34" spans="1:11" x14ac:dyDescent="0.2">
      <c r="A34" s="10" t="s">
        <v>40</v>
      </c>
      <c r="B34" s="10"/>
      <c r="C34" s="6"/>
      <c r="D34" s="6"/>
      <c r="E34" s="6"/>
      <c r="F34" s="166">
        <v>0</v>
      </c>
      <c r="G34" s="173"/>
      <c r="J34" s="4"/>
      <c r="K34" s="4"/>
    </row>
    <row r="35" spans="1:11" x14ac:dyDescent="0.2">
      <c r="A35" s="10" t="s">
        <v>41</v>
      </c>
      <c r="B35" s="10"/>
      <c r="C35" s="6"/>
      <c r="D35" s="6"/>
      <c r="E35" s="6"/>
      <c r="F35" s="166">
        <v>0</v>
      </c>
      <c r="G35" s="173"/>
      <c r="J35" s="4"/>
      <c r="K35" s="4"/>
    </row>
    <row r="36" spans="1:11" x14ac:dyDescent="0.2">
      <c r="A36" s="10" t="s">
        <v>42</v>
      </c>
      <c r="B36" s="195"/>
      <c r="C36" s="42">
        <v>0</v>
      </c>
      <c r="D36" s="196"/>
      <c r="E36" s="195"/>
      <c r="F36" s="170">
        <f>C36*50</f>
        <v>0</v>
      </c>
      <c r="G36" s="173"/>
      <c r="J36" s="4"/>
      <c r="K36" s="4"/>
    </row>
    <row r="37" spans="1:11" ht="13.5" thickBot="1" x14ac:dyDescent="0.25">
      <c r="A37" s="10" t="s">
        <v>43</v>
      </c>
      <c r="B37" s="10"/>
      <c r="C37" s="6"/>
      <c r="D37" s="6"/>
      <c r="E37" s="6"/>
      <c r="F37" s="166">
        <v>0</v>
      </c>
      <c r="G37" s="173"/>
      <c r="J37" s="4"/>
      <c r="K37" s="4"/>
    </row>
    <row r="38" spans="1:11" ht="14.25" thickTop="1" thickBot="1" x14ac:dyDescent="0.25">
      <c r="A38" s="14" t="s">
        <v>44</v>
      </c>
      <c r="B38" s="10"/>
      <c r="C38" s="6"/>
      <c r="D38" s="6"/>
      <c r="E38" s="6"/>
      <c r="F38" s="2"/>
      <c r="G38" s="194">
        <f>SUM(F33:F37)</f>
        <v>0</v>
      </c>
      <c r="J38" s="4"/>
      <c r="K38" s="8"/>
    </row>
    <row r="39" spans="1:11" ht="14.25" thickTop="1" thickBot="1" x14ac:dyDescent="0.25">
      <c r="A39" s="53"/>
      <c r="B39" s="6"/>
      <c r="C39" s="6"/>
      <c r="D39" s="6"/>
      <c r="E39" s="6"/>
      <c r="F39" s="50" t="s">
        <v>36</v>
      </c>
      <c r="G39" s="174">
        <f>(F33+F36+F37)*21%</f>
        <v>0</v>
      </c>
      <c r="J39" s="4"/>
      <c r="K39" s="8"/>
    </row>
    <row r="40" spans="1:11" ht="14.25" thickTop="1" thickBot="1" x14ac:dyDescent="0.25">
      <c r="A40" s="54"/>
      <c r="B40" s="6"/>
      <c r="C40" s="6"/>
      <c r="D40" s="6"/>
      <c r="E40" s="6"/>
      <c r="F40" s="45"/>
      <c r="G40" s="173"/>
      <c r="J40" s="4"/>
      <c r="K40" s="8"/>
    </row>
    <row r="41" spans="1:11" ht="14.25" thickTop="1" thickBot="1" x14ac:dyDescent="0.25">
      <c r="A41" s="43" t="s">
        <v>45</v>
      </c>
      <c r="B41" s="124"/>
      <c r="C41" s="6"/>
      <c r="D41" s="6"/>
      <c r="E41" s="6"/>
      <c r="F41" s="44"/>
      <c r="G41" s="177">
        <f>SUM(G38:G39)</f>
        <v>0</v>
      </c>
      <c r="I41" s="15"/>
      <c r="J41" s="4"/>
      <c r="K41" s="8"/>
    </row>
    <row r="42" spans="1:11" ht="13.5" thickTop="1" x14ac:dyDescent="0.2">
      <c r="A42" s="7"/>
      <c r="B42" s="127"/>
      <c r="C42" s="7"/>
      <c r="D42" s="7"/>
      <c r="E42" s="7"/>
      <c r="F42" s="7"/>
      <c r="G42" s="7"/>
      <c r="H42" s="7"/>
      <c r="I42" s="7"/>
      <c r="J42" s="7"/>
      <c r="K42" s="7"/>
    </row>
    <row r="43" spans="1:11" x14ac:dyDescent="0.2">
      <c r="A43" s="69" t="s">
        <v>48</v>
      </c>
      <c r="B43" s="3"/>
      <c r="C43" s="3"/>
      <c r="D43" s="3"/>
      <c r="E43" s="3"/>
      <c r="F43" s="3"/>
      <c r="G43" s="3"/>
      <c r="H43" s="3"/>
      <c r="I43" s="5"/>
      <c r="J43" s="4"/>
      <c r="K43" s="4"/>
    </row>
    <row r="44" spans="1:11" ht="13.5" thickBot="1" x14ac:dyDescent="0.25">
      <c r="A44" s="3"/>
      <c r="B44" s="3"/>
      <c r="C44" s="3"/>
      <c r="D44" s="3"/>
      <c r="E44" s="3"/>
      <c r="F44" s="3"/>
      <c r="G44" s="3"/>
      <c r="H44" s="3"/>
      <c r="I44" s="5"/>
      <c r="J44" s="4"/>
      <c r="K44" s="4"/>
    </row>
    <row r="45" spans="1:11" ht="13.5" thickTop="1" x14ac:dyDescent="0.2">
      <c r="A45" s="70" t="s">
        <v>49</v>
      </c>
      <c r="B45" s="125"/>
      <c r="C45" s="71" t="s">
        <v>50</v>
      </c>
      <c r="D45" s="71"/>
      <c r="E45" s="71"/>
      <c r="F45" s="71"/>
      <c r="G45" s="178">
        <v>0</v>
      </c>
      <c r="H45" s="71"/>
      <c r="I45" s="71"/>
      <c r="J45" s="72"/>
    </row>
    <row r="46" spans="1:11" x14ac:dyDescent="0.2">
      <c r="A46" s="73"/>
      <c r="B46" s="6"/>
      <c r="C46" s="4" t="s">
        <v>51</v>
      </c>
      <c r="D46" s="4"/>
      <c r="E46" s="4"/>
      <c r="F46" s="4"/>
      <c r="G46" s="179">
        <v>0</v>
      </c>
      <c r="H46" s="15"/>
      <c r="I46" s="15"/>
      <c r="J46" s="74"/>
    </row>
    <row r="47" spans="1:11" x14ac:dyDescent="0.2">
      <c r="A47" s="73"/>
      <c r="B47" s="6"/>
      <c r="C47" s="4" t="s">
        <v>19</v>
      </c>
      <c r="D47" s="4"/>
      <c r="E47" s="4"/>
      <c r="F47" s="4"/>
      <c r="G47" s="180">
        <f>SUM(G45:G46)</f>
        <v>0</v>
      </c>
      <c r="H47" s="15"/>
      <c r="I47" s="15"/>
      <c r="J47" s="74"/>
    </row>
    <row r="48" spans="1:11" x14ac:dyDescent="0.2">
      <c r="A48" s="73"/>
      <c r="B48" s="6"/>
      <c r="C48" s="4"/>
      <c r="D48" s="4"/>
      <c r="E48" s="4"/>
      <c r="F48" s="4"/>
      <c r="G48" s="173"/>
      <c r="H48" s="15"/>
      <c r="I48" s="15"/>
      <c r="J48" s="74"/>
    </row>
    <row r="49" spans="1:10" x14ac:dyDescent="0.2">
      <c r="A49" s="75" t="s">
        <v>52</v>
      </c>
      <c r="B49" s="126"/>
      <c r="C49" s="4" t="s">
        <v>50</v>
      </c>
      <c r="D49" s="4"/>
      <c r="E49" s="4"/>
      <c r="F49" s="4"/>
      <c r="G49" s="168">
        <v>0</v>
      </c>
      <c r="H49" s="15"/>
      <c r="I49" s="15"/>
      <c r="J49" s="74"/>
    </row>
    <row r="50" spans="1:10" x14ac:dyDescent="0.2">
      <c r="A50" s="76"/>
      <c r="B50" s="126"/>
      <c r="C50" s="4" t="s">
        <v>51</v>
      </c>
      <c r="D50" s="4"/>
      <c r="E50" s="4"/>
      <c r="F50" s="4"/>
      <c r="G50" s="168">
        <v>0</v>
      </c>
      <c r="H50" s="15"/>
      <c r="I50" s="15"/>
      <c r="J50" s="74"/>
    </row>
    <row r="51" spans="1:10" x14ac:dyDescent="0.2">
      <c r="A51" s="76"/>
      <c r="B51" s="126"/>
      <c r="C51" s="4" t="s">
        <v>19</v>
      </c>
      <c r="D51" s="4"/>
      <c r="E51" s="4"/>
      <c r="F51" s="4"/>
      <c r="G51" s="181">
        <f>SUM(G49:G50)</f>
        <v>0</v>
      </c>
      <c r="H51" s="15"/>
      <c r="I51" s="15"/>
      <c r="J51" s="74"/>
    </row>
    <row r="52" spans="1:10" x14ac:dyDescent="0.2">
      <c r="A52" s="79" t="s">
        <v>2</v>
      </c>
      <c r="B52" s="12"/>
      <c r="C52" s="3"/>
      <c r="D52" s="3"/>
      <c r="E52" s="3"/>
      <c r="F52" s="3"/>
      <c r="G52" s="182"/>
      <c r="H52" s="4"/>
      <c r="I52" s="4"/>
      <c r="J52" s="78"/>
    </row>
    <row r="53" spans="1:10" x14ac:dyDescent="0.2">
      <c r="A53" s="73"/>
      <c r="B53" s="6"/>
      <c r="C53" s="6"/>
      <c r="D53" s="6"/>
      <c r="E53" s="6"/>
      <c r="F53" s="6"/>
      <c r="G53" s="173"/>
      <c r="H53" s="4"/>
      <c r="I53" s="4" t="s">
        <v>53</v>
      </c>
      <c r="J53" s="187">
        <f>IF(G51&gt;G47,I202+(I215-I228),I190)</f>
        <v>0</v>
      </c>
    </row>
    <row r="54" spans="1:10" x14ac:dyDescent="0.2">
      <c r="A54" s="77" t="s">
        <v>54</v>
      </c>
      <c r="B54" s="10"/>
      <c r="C54" s="6"/>
      <c r="D54" s="6"/>
      <c r="E54" s="6"/>
      <c r="F54" s="6"/>
      <c r="G54" s="170">
        <f>K130</f>
        <v>75</v>
      </c>
      <c r="H54" s="4"/>
      <c r="I54" s="11" t="s">
        <v>55</v>
      </c>
      <c r="J54" s="188">
        <f>J53*21/100</f>
        <v>0</v>
      </c>
    </row>
    <row r="55" spans="1:10" x14ac:dyDescent="0.2">
      <c r="A55" s="77" t="s">
        <v>56</v>
      </c>
      <c r="B55" s="10"/>
      <c r="C55" s="6"/>
      <c r="D55" s="6"/>
      <c r="E55" s="6"/>
      <c r="F55" s="6"/>
      <c r="G55" s="166">
        <v>0</v>
      </c>
      <c r="H55" s="4"/>
      <c r="I55" s="4"/>
      <c r="J55" s="189"/>
    </row>
    <row r="56" spans="1:10" x14ac:dyDescent="0.2">
      <c r="A56" s="77" t="s">
        <v>57</v>
      </c>
      <c r="B56" s="10"/>
      <c r="C56" s="6"/>
      <c r="D56" s="6"/>
      <c r="E56" s="6"/>
      <c r="F56" s="186">
        <f>(A137+ROUNDDOWN((G45+G46-1)/G138,0)*A138)</f>
        <v>117.11</v>
      </c>
      <c r="G56" s="173"/>
      <c r="H56" s="4"/>
      <c r="I56" s="4"/>
      <c r="J56" s="189"/>
    </row>
    <row r="57" spans="1:10" x14ac:dyDescent="0.2">
      <c r="A57" s="77" t="s">
        <v>58</v>
      </c>
      <c r="B57" s="10"/>
      <c r="C57" s="6"/>
      <c r="D57" s="6"/>
      <c r="E57" s="6"/>
      <c r="F57" s="186">
        <f>(A137+ROUNDDOWN((G49+G50-1)/G138,0)*A138)</f>
        <v>117.11</v>
      </c>
      <c r="G57" s="173"/>
      <c r="H57" s="4"/>
      <c r="I57" s="4"/>
      <c r="J57" s="189"/>
    </row>
    <row r="58" spans="1:10" x14ac:dyDescent="0.2">
      <c r="A58" s="77" t="s">
        <v>59</v>
      </c>
      <c r="B58" s="10"/>
      <c r="C58" s="6"/>
      <c r="D58" s="6"/>
      <c r="E58" s="6"/>
      <c r="F58" s="186">
        <f>IF(G51&gt;G47,(G51-G47)*0.3%,0)</f>
        <v>0</v>
      </c>
      <c r="G58" s="173"/>
      <c r="H58" s="4"/>
      <c r="I58" s="4"/>
      <c r="J58" s="189"/>
    </row>
    <row r="59" spans="1:10" x14ac:dyDescent="0.2">
      <c r="A59" s="77" t="s">
        <v>60</v>
      </c>
      <c r="B59" s="10"/>
      <c r="C59" s="6"/>
      <c r="D59" s="6"/>
      <c r="E59" s="6"/>
      <c r="F59" s="173"/>
      <c r="G59" s="170">
        <f>H145+F58</f>
        <v>300</v>
      </c>
      <c r="H59" s="4"/>
      <c r="I59" s="4"/>
      <c r="J59" s="189"/>
    </row>
    <row r="60" spans="1:10" x14ac:dyDescent="0.2">
      <c r="A60" s="77" t="s">
        <v>61</v>
      </c>
      <c r="B60" s="10"/>
      <c r="C60" s="6"/>
      <c r="D60" s="6"/>
      <c r="E60" s="6"/>
      <c r="F60" s="6"/>
      <c r="G60" s="170">
        <v>0</v>
      </c>
      <c r="H60" s="4"/>
      <c r="I60" s="4"/>
      <c r="J60" s="189"/>
    </row>
    <row r="61" spans="1:10" x14ac:dyDescent="0.2">
      <c r="A61" s="73"/>
      <c r="B61" s="6"/>
      <c r="C61" s="6"/>
      <c r="D61" s="6"/>
      <c r="E61" s="6"/>
      <c r="F61" s="11" t="s">
        <v>55</v>
      </c>
      <c r="G61" s="183">
        <f>G60*21/100</f>
        <v>0</v>
      </c>
      <c r="H61" s="4"/>
      <c r="I61" s="4"/>
      <c r="J61" s="189"/>
    </row>
    <row r="62" spans="1:10" x14ac:dyDescent="0.2">
      <c r="A62" s="77" t="s">
        <v>62</v>
      </c>
      <c r="B62" s="10"/>
      <c r="C62" s="6"/>
      <c r="D62" s="6"/>
      <c r="E62" s="6"/>
      <c r="F62" s="6"/>
      <c r="G62" s="184">
        <v>770</v>
      </c>
      <c r="H62" s="4"/>
      <c r="I62" s="4"/>
      <c r="J62" s="189"/>
    </row>
    <row r="63" spans="1:10" x14ac:dyDescent="0.2">
      <c r="A63" s="73"/>
      <c r="B63" s="6"/>
      <c r="C63" s="6"/>
      <c r="D63" s="6"/>
      <c r="E63" s="6"/>
      <c r="F63" s="11" t="s">
        <v>55</v>
      </c>
      <c r="G63" s="183">
        <f>G62*21/100</f>
        <v>161.69999999999999</v>
      </c>
      <c r="H63" s="4"/>
      <c r="I63" s="4"/>
      <c r="J63" s="189"/>
    </row>
    <row r="64" spans="1:10" x14ac:dyDescent="0.2">
      <c r="A64" s="77" t="s">
        <v>63</v>
      </c>
      <c r="B64" s="10"/>
      <c r="C64" s="6"/>
      <c r="D64" s="6"/>
      <c r="E64" s="6"/>
      <c r="F64" s="10"/>
      <c r="G64" s="166">
        <v>0</v>
      </c>
      <c r="H64" s="4"/>
      <c r="I64" s="4"/>
      <c r="J64" s="189"/>
    </row>
    <row r="65" spans="1:11" x14ac:dyDescent="0.2">
      <c r="A65" s="73"/>
      <c r="B65" s="6"/>
      <c r="C65" s="6"/>
      <c r="D65" s="6"/>
      <c r="E65" s="6"/>
      <c r="F65" s="11" t="s">
        <v>55</v>
      </c>
      <c r="G65" s="183">
        <f>G64*21/100</f>
        <v>0</v>
      </c>
      <c r="H65" s="4"/>
      <c r="I65" s="4"/>
      <c r="J65" s="189"/>
    </row>
    <row r="66" spans="1:11" x14ac:dyDescent="0.2">
      <c r="A66" s="73"/>
      <c r="B66" s="6"/>
      <c r="C66" s="6"/>
      <c r="D66" s="6"/>
      <c r="E66" s="6"/>
      <c r="F66" s="6"/>
      <c r="G66" s="173"/>
      <c r="H66" s="4"/>
      <c r="I66" s="4"/>
      <c r="J66" s="189"/>
    </row>
    <row r="67" spans="1:11" x14ac:dyDescent="0.2">
      <c r="A67" s="73"/>
      <c r="B67" s="6"/>
      <c r="C67" s="6"/>
      <c r="D67" s="6"/>
      <c r="E67" s="6"/>
      <c r="F67" s="6" t="s">
        <v>64</v>
      </c>
      <c r="G67" s="185">
        <f>A305</f>
        <v>0</v>
      </c>
      <c r="H67" s="4"/>
      <c r="I67" s="4" t="s">
        <v>65</v>
      </c>
      <c r="J67" s="190">
        <f>J53</f>
        <v>0</v>
      </c>
    </row>
    <row r="68" spans="1:11" x14ac:dyDescent="0.2">
      <c r="A68" s="73"/>
      <c r="B68" s="6"/>
      <c r="C68" s="6"/>
      <c r="D68" s="6"/>
      <c r="E68" s="6"/>
      <c r="F68" s="6"/>
      <c r="G68" s="6"/>
      <c r="H68" s="4"/>
      <c r="I68" s="4" t="s">
        <v>64</v>
      </c>
      <c r="J68" s="190">
        <f>G67</f>
        <v>0</v>
      </c>
    </row>
    <row r="69" spans="1:11" x14ac:dyDescent="0.2">
      <c r="A69" s="73"/>
      <c r="B69" s="6"/>
      <c r="C69" s="6"/>
      <c r="D69" s="6"/>
      <c r="E69" s="6"/>
      <c r="F69" s="6"/>
      <c r="G69" s="6"/>
      <c r="H69" s="4"/>
      <c r="I69" s="4" t="s">
        <v>66</v>
      </c>
      <c r="J69" s="191">
        <f>SUM(J67+G67)</f>
        <v>0</v>
      </c>
    </row>
    <row r="70" spans="1:11" x14ac:dyDescent="0.2">
      <c r="A70" s="80"/>
      <c r="B70" s="127"/>
      <c r="C70" s="7"/>
      <c r="D70" s="7"/>
      <c r="E70" s="7"/>
      <c r="F70" s="7"/>
      <c r="G70" s="7"/>
      <c r="H70" s="7"/>
      <c r="I70" s="7"/>
      <c r="J70" s="189"/>
    </row>
    <row r="71" spans="1:11" x14ac:dyDescent="0.2">
      <c r="A71" s="80"/>
      <c r="B71" s="127"/>
      <c r="C71" s="7"/>
      <c r="D71" s="7"/>
      <c r="E71" s="7"/>
      <c r="F71" s="7"/>
      <c r="G71" s="7"/>
      <c r="H71" s="7"/>
      <c r="I71" s="11" t="s">
        <v>67</v>
      </c>
      <c r="J71" s="192">
        <f>G61+G63+G65+J54</f>
        <v>161.69999999999999</v>
      </c>
    </row>
    <row r="72" spans="1:11" ht="13.5" thickBot="1" x14ac:dyDescent="0.25">
      <c r="A72" s="80"/>
      <c r="B72" s="127"/>
      <c r="C72" s="7"/>
      <c r="D72" s="7"/>
      <c r="E72" s="7"/>
      <c r="F72" s="7"/>
      <c r="G72" s="7"/>
      <c r="H72" s="7"/>
      <c r="I72" s="7"/>
      <c r="J72" s="189"/>
    </row>
    <row r="73" spans="1:11" ht="14.25" thickTop="1" thickBot="1" x14ac:dyDescent="0.25">
      <c r="A73" s="81"/>
      <c r="B73" s="82"/>
      <c r="C73" s="82"/>
      <c r="D73" s="82"/>
      <c r="E73" s="82"/>
      <c r="F73" s="82"/>
      <c r="G73" s="82"/>
      <c r="H73" s="82"/>
      <c r="I73" s="83" t="s">
        <v>68</v>
      </c>
      <c r="J73" s="193">
        <f>SUM(J69:J71)</f>
        <v>161.69999999999999</v>
      </c>
    </row>
    <row r="74" spans="1:11" ht="14.25" thickTop="1" thickBot="1" x14ac:dyDescent="0.25">
      <c r="A74" s="7"/>
      <c r="B74" s="127"/>
      <c r="C74" s="7"/>
      <c r="D74" s="7"/>
      <c r="E74" s="7"/>
      <c r="F74" s="7"/>
      <c r="G74" s="7"/>
      <c r="H74" s="7"/>
      <c r="I74" s="7"/>
      <c r="J74" s="7"/>
      <c r="K74" s="7"/>
    </row>
    <row r="75" spans="1:11" ht="14.25" thickTop="1" thickBot="1" x14ac:dyDescent="0.25">
      <c r="A75" s="102" t="s">
        <v>81</v>
      </c>
      <c r="B75" s="3"/>
      <c r="C75" s="7"/>
      <c r="D75" s="7"/>
      <c r="E75" s="7"/>
      <c r="F75" s="7"/>
      <c r="G75" s="7"/>
      <c r="H75" s="7"/>
      <c r="I75" s="7"/>
      <c r="J75" s="7"/>
      <c r="K75" s="7"/>
    </row>
    <row r="76" spans="1:11" ht="15.75" thickTop="1" x14ac:dyDescent="0.25">
      <c r="A76" s="103" t="s">
        <v>50</v>
      </c>
      <c r="B76" s="103"/>
      <c r="C76" s="71"/>
      <c r="D76" s="71"/>
      <c r="E76" s="71"/>
      <c r="F76" s="155">
        <v>0</v>
      </c>
      <c r="G76" s="104"/>
      <c r="H76" s="105"/>
      <c r="J76" s="7"/>
      <c r="K76" s="7"/>
    </row>
    <row r="77" spans="1:11" ht="15" x14ac:dyDescent="0.25">
      <c r="A77" s="106" t="s">
        <v>51</v>
      </c>
      <c r="B77" s="106"/>
      <c r="C77" s="4"/>
      <c r="D77" s="4"/>
      <c r="E77" s="4"/>
      <c r="F77" s="156">
        <v>0</v>
      </c>
      <c r="G77" s="6"/>
      <c r="H77" s="107"/>
      <c r="J77" s="7"/>
      <c r="K77" s="7"/>
    </row>
    <row r="78" spans="1:11" ht="15" x14ac:dyDescent="0.25">
      <c r="A78" s="106" t="s">
        <v>19</v>
      </c>
      <c r="B78" s="106"/>
      <c r="C78" s="4"/>
      <c r="D78" s="4"/>
      <c r="E78" s="4"/>
      <c r="F78" s="157">
        <f>SUM(F76:F77)</f>
        <v>0</v>
      </c>
      <c r="G78" s="6"/>
      <c r="H78" s="107"/>
      <c r="J78" s="7"/>
      <c r="K78" s="7"/>
    </row>
    <row r="79" spans="1:11" x14ac:dyDescent="0.2">
      <c r="A79" s="108"/>
      <c r="B79" s="3"/>
      <c r="C79" s="3"/>
      <c r="D79" s="3"/>
      <c r="E79" s="3"/>
      <c r="F79" s="146"/>
      <c r="G79" s="3"/>
      <c r="H79" s="78"/>
      <c r="J79" s="7"/>
      <c r="K79" s="7"/>
    </row>
    <row r="80" spans="1:11" x14ac:dyDescent="0.2">
      <c r="A80" s="77" t="s">
        <v>82</v>
      </c>
      <c r="B80" s="10"/>
      <c r="C80" s="154">
        <v>1</v>
      </c>
      <c r="D80" s="146"/>
      <c r="E80" s="146"/>
      <c r="F80" s="127"/>
      <c r="G80" s="3"/>
      <c r="H80" s="78"/>
      <c r="J80" s="7"/>
      <c r="K80" s="7"/>
    </row>
    <row r="81" spans="1:11" x14ac:dyDescent="0.2">
      <c r="A81" s="79" t="s">
        <v>2</v>
      </c>
      <c r="B81" s="12"/>
      <c r="C81" s="3"/>
      <c r="D81" s="3"/>
      <c r="E81" s="3"/>
      <c r="F81" s="3"/>
      <c r="G81" s="3"/>
      <c r="H81" s="78"/>
      <c r="J81" s="7"/>
      <c r="K81" s="7"/>
    </row>
    <row r="82" spans="1:11" x14ac:dyDescent="0.2">
      <c r="A82" s="109" t="s">
        <v>83</v>
      </c>
      <c r="B82" s="109"/>
      <c r="C82" s="6"/>
      <c r="D82" s="6"/>
      <c r="E82" s="6"/>
      <c r="F82" s="158">
        <v>50</v>
      </c>
      <c r="G82" s="106" t="s">
        <v>53</v>
      </c>
      <c r="H82" s="110">
        <f>I248</f>
        <v>0</v>
      </c>
      <c r="J82" s="7"/>
      <c r="K82" s="7"/>
    </row>
    <row r="83" spans="1:11" x14ac:dyDescent="0.2">
      <c r="A83" s="109" t="s">
        <v>84</v>
      </c>
      <c r="B83" s="109"/>
      <c r="C83" s="6"/>
      <c r="D83" s="6"/>
      <c r="E83" s="6"/>
      <c r="F83" s="158">
        <v>50</v>
      </c>
      <c r="G83" s="4"/>
      <c r="H83" s="111"/>
      <c r="J83" s="7"/>
      <c r="K83" s="7"/>
    </row>
    <row r="84" spans="1:11" x14ac:dyDescent="0.2">
      <c r="A84" s="109" t="s">
        <v>85</v>
      </c>
      <c r="B84" s="109"/>
      <c r="C84" s="6"/>
      <c r="D84" s="6"/>
      <c r="E84" s="6"/>
      <c r="F84" s="159">
        <v>0</v>
      </c>
      <c r="G84" s="4"/>
      <c r="H84" s="111"/>
      <c r="J84" s="7"/>
      <c r="K84" s="7"/>
    </row>
    <row r="85" spans="1:11" x14ac:dyDescent="0.2">
      <c r="A85" s="112" t="s">
        <v>31</v>
      </c>
      <c r="B85" s="112"/>
      <c r="C85" s="6"/>
      <c r="D85" s="6"/>
      <c r="E85" s="6"/>
      <c r="F85" s="159">
        <f>G233</f>
        <v>185</v>
      </c>
      <c r="G85" s="4"/>
      <c r="H85" s="111"/>
      <c r="J85" s="7"/>
      <c r="K85" s="7"/>
    </row>
    <row r="86" spans="1:11" x14ac:dyDescent="0.2">
      <c r="A86" s="73"/>
      <c r="B86" s="6"/>
      <c r="C86" s="6"/>
      <c r="D86" s="6"/>
      <c r="E86" s="6"/>
      <c r="F86" s="147"/>
      <c r="G86" s="4"/>
      <c r="H86" s="111"/>
      <c r="J86" s="7"/>
      <c r="K86" s="7"/>
    </row>
    <row r="87" spans="1:11" x14ac:dyDescent="0.2">
      <c r="A87" s="73"/>
      <c r="B87" s="6"/>
      <c r="C87" s="109" t="s">
        <v>64</v>
      </c>
      <c r="D87" s="153"/>
      <c r="E87" s="153"/>
      <c r="F87" s="160">
        <f>SUM(F82:F86)</f>
        <v>285</v>
      </c>
      <c r="G87" s="106" t="s">
        <v>65</v>
      </c>
      <c r="H87" s="113">
        <f>H82</f>
        <v>0</v>
      </c>
      <c r="J87" s="7"/>
      <c r="K87" s="7"/>
    </row>
    <row r="88" spans="1:11" x14ac:dyDescent="0.2">
      <c r="A88" s="73"/>
      <c r="B88" s="6"/>
      <c r="C88" s="6"/>
      <c r="D88" s="6"/>
      <c r="E88" s="6"/>
      <c r="F88" s="6"/>
      <c r="G88" s="106" t="s">
        <v>86</v>
      </c>
      <c r="H88" s="113">
        <f>SUM(F82:F86)</f>
        <v>285</v>
      </c>
      <c r="J88" s="7"/>
      <c r="K88" s="7"/>
    </row>
    <row r="89" spans="1:11" x14ac:dyDescent="0.2">
      <c r="A89" s="73"/>
      <c r="B89" s="6"/>
      <c r="C89" s="6"/>
      <c r="D89" s="6"/>
      <c r="E89" s="6"/>
      <c r="F89" s="6"/>
      <c r="G89" s="106" t="s">
        <v>66</v>
      </c>
      <c r="H89" s="114">
        <f>SUM(H87:H88)</f>
        <v>285</v>
      </c>
      <c r="J89" s="7"/>
      <c r="K89" s="7"/>
    </row>
    <row r="90" spans="1:11" x14ac:dyDescent="0.2">
      <c r="A90" s="80"/>
      <c r="B90" s="127"/>
      <c r="C90" s="7"/>
      <c r="D90" s="7"/>
      <c r="E90" s="7"/>
      <c r="F90" s="7"/>
      <c r="G90" s="7"/>
      <c r="H90" s="115"/>
      <c r="J90" s="7"/>
      <c r="K90" s="7"/>
    </row>
    <row r="91" spans="1:11" x14ac:dyDescent="0.2">
      <c r="A91" s="80"/>
      <c r="B91" s="127"/>
      <c r="C91" s="7"/>
      <c r="D91" s="7"/>
      <c r="E91" s="7"/>
      <c r="F91" s="7"/>
      <c r="G91" s="18" t="s">
        <v>36</v>
      </c>
      <c r="H91" s="116">
        <f>(F82+F85+H82)*21%</f>
        <v>49.35</v>
      </c>
      <c r="J91" s="7"/>
      <c r="K91" s="7"/>
    </row>
    <row r="92" spans="1:11" ht="13.5" thickBot="1" x14ac:dyDescent="0.25">
      <c r="A92" s="80"/>
      <c r="B92" s="127"/>
      <c r="C92" s="7"/>
      <c r="D92" s="7"/>
      <c r="E92" s="7"/>
      <c r="F92" s="7"/>
      <c r="G92" s="7"/>
      <c r="H92" s="115"/>
      <c r="J92" s="7"/>
      <c r="K92" s="7"/>
    </row>
    <row r="93" spans="1:11" ht="14.25" thickTop="1" thickBot="1" x14ac:dyDescent="0.25">
      <c r="A93" s="81"/>
      <c r="B93" s="82"/>
      <c r="C93" s="82"/>
      <c r="D93" s="82"/>
      <c r="E93" s="82"/>
      <c r="F93" s="82"/>
      <c r="G93" s="117" t="s">
        <v>65</v>
      </c>
      <c r="H93" s="118">
        <f>SUM(H89:H91)</f>
        <v>334.35</v>
      </c>
      <c r="J93" s="7"/>
      <c r="K93" s="7"/>
    </row>
    <row r="94" spans="1:11" ht="13.5" thickTop="1" x14ac:dyDescent="0.2">
      <c r="A94" s="7"/>
      <c r="B94" s="127"/>
      <c r="C94" s="7"/>
      <c r="D94" s="7"/>
      <c r="E94" s="7"/>
      <c r="F94" s="7"/>
      <c r="G94" s="7"/>
      <c r="H94" s="7"/>
      <c r="I94" s="7"/>
      <c r="J94" s="7"/>
      <c r="K94" s="7"/>
    </row>
    <row r="95" spans="1:11" x14ac:dyDescent="0.2">
      <c r="A95" s="7"/>
      <c r="B95" s="127"/>
      <c r="C95" s="7"/>
      <c r="D95" s="7"/>
      <c r="E95" s="7"/>
      <c r="F95" s="7"/>
      <c r="G95" s="7"/>
      <c r="H95" s="7"/>
      <c r="I95" s="7"/>
      <c r="J95" s="7"/>
      <c r="K95" s="7"/>
    </row>
    <row r="96" spans="1:11" x14ac:dyDescent="0.2">
      <c r="A96" s="7"/>
      <c r="B96" s="127"/>
      <c r="C96" s="119" t="s">
        <v>7</v>
      </c>
      <c r="D96" s="161"/>
      <c r="E96" s="119" t="s">
        <v>8</v>
      </c>
      <c r="F96" s="165"/>
      <c r="I96" s="7"/>
    </row>
    <row r="97" spans="1:27" x14ac:dyDescent="0.2">
      <c r="A97" s="7"/>
      <c r="B97" s="127"/>
      <c r="C97" s="120"/>
      <c r="D97" s="161"/>
      <c r="E97" s="120"/>
      <c r="F97" s="165"/>
      <c r="I97" s="7"/>
      <c r="J97" s="19"/>
      <c r="K97" s="7"/>
    </row>
    <row r="98" spans="1:27" x14ac:dyDescent="0.2">
      <c r="A98" s="7"/>
      <c r="B98" s="127"/>
      <c r="C98" s="121" t="s">
        <v>5</v>
      </c>
      <c r="D98" s="161"/>
      <c r="E98" s="121" t="s">
        <v>6</v>
      </c>
      <c r="F98" s="165"/>
      <c r="I98" s="7"/>
      <c r="J98" s="18"/>
      <c r="K98" s="17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</row>
    <row r="99" spans="1:27" x14ac:dyDescent="0.2">
      <c r="A99" s="7"/>
      <c r="B99" s="127"/>
      <c r="C99" s="95"/>
      <c r="D99" s="161"/>
      <c r="E99" s="95"/>
      <c r="F99" s="165"/>
      <c r="I99" s="7"/>
      <c r="J99" s="22"/>
      <c r="K99" s="21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</row>
    <row r="100" spans="1:27" x14ac:dyDescent="0.2">
      <c r="C100" s="121" t="s">
        <v>46</v>
      </c>
      <c r="D100" s="161"/>
      <c r="E100" s="95"/>
      <c r="F100" s="165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</row>
    <row r="101" spans="1:27" x14ac:dyDescent="0.2">
      <c r="C101" s="20"/>
      <c r="D101" s="23"/>
      <c r="E101" s="23"/>
      <c r="F101" s="23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</row>
    <row r="102" spans="1:27" x14ac:dyDescent="0.2">
      <c r="C102" s="20"/>
      <c r="D102" s="23"/>
      <c r="E102" s="23"/>
      <c r="F102" s="23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</row>
    <row r="103" spans="1:27" x14ac:dyDescent="0.2">
      <c r="C103" s="20"/>
      <c r="D103" s="23"/>
      <c r="E103" s="23"/>
      <c r="F103" s="23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</row>
    <row r="104" spans="1:27" x14ac:dyDescent="0.2">
      <c r="C104" s="20"/>
      <c r="D104" s="23"/>
      <c r="E104" s="23"/>
      <c r="F104" s="23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</row>
    <row r="105" spans="1:27" x14ac:dyDescent="0.2">
      <c r="C105" s="20"/>
      <c r="D105" s="23"/>
      <c r="E105" s="23"/>
      <c r="F105" s="23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</row>
    <row r="106" spans="1:27" x14ac:dyDescent="0.2">
      <c r="C106" s="20"/>
      <c r="D106" s="23"/>
      <c r="E106" s="23"/>
      <c r="F106" s="23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</row>
    <row r="107" spans="1:27" x14ac:dyDescent="0.2">
      <c r="C107" s="20"/>
      <c r="D107" s="23"/>
      <c r="E107" s="23"/>
      <c r="F107" s="23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</row>
    <row r="108" spans="1:27" x14ac:dyDescent="0.2">
      <c r="C108" s="20"/>
      <c r="D108" s="23"/>
      <c r="E108" s="23"/>
      <c r="F108" s="23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</row>
    <row r="109" spans="1:27" x14ac:dyDescent="0.2">
      <c r="C109" s="20"/>
      <c r="D109" s="23"/>
      <c r="E109" s="23"/>
      <c r="F109" s="23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</row>
    <row r="110" spans="1:27" x14ac:dyDescent="0.2">
      <c r="C110" s="20"/>
      <c r="D110" s="23"/>
      <c r="E110" s="23"/>
      <c r="F110" s="23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</row>
    <row r="111" spans="1:27" x14ac:dyDescent="0.2">
      <c r="C111" s="20"/>
      <c r="D111" s="23"/>
      <c r="E111" s="23"/>
      <c r="F111" s="23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</row>
    <row r="112" spans="1:27" x14ac:dyDescent="0.2">
      <c r="C112" s="20"/>
      <c r="D112" s="23"/>
      <c r="E112" s="23"/>
      <c r="F112" s="23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</row>
    <row r="113" spans="1:27" x14ac:dyDescent="0.2">
      <c r="C113" s="20"/>
      <c r="D113" s="23"/>
      <c r="E113" s="23"/>
      <c r="F113" s="23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</row>
    <row r="114" spans="1:27" x14ac:dyDescent="0.2">
      <c r="C114" s="20"/>
      <c r="D114" s="23"/>
      <c r="E114" s="23"/>
      <c r="F114" s="23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</row>
    <row r="115" spans="1:27" x14ac:dyDescent="0.2">
      <c r="C115" s="20"/>
      <c r="D115" s="23"/>
      <c r="E115" s="23"/>
      <c r="F115" s="23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</row>
    <row r="116" spans="1:27" x14ac:dyDescent="0.2">
      <c r="C116" s="20"/>
      <c r="D116" s="23"/>
      <c r="E116" s="23"/>
      <c r="F116" s="23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</row>
    <row r="117" spans="1:27" x14ac:dyDescent="0.2">
      <c r="C117" s="20"/>
      <c r="D117" s="23"/>
      <c r="E117" s="23"/>
      <c r="F117" s="23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</row>
    <row r="118" spans="1:27" x14ac:dyDescent="0.2">
      <c r="C118" s="20"/>
      <c r="D118" s="23"/>
      <c r="E118" s="23"/>
      <c r="F118" s="23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</row>
    <row r="119" spans="1:27" x14ac:dyDescent="0.2">
      <c r="C119" s="20"/>
      <c r="D119" s="23"/>
      <c r="E119" s="23"/>
      <c r="F119" s="23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</row>
    <row r="120" spans="1:27" x14ac:dyDescent="0.2">
      <c r="C120" s="20"/>
      <c r="D120" s="23"/>
      <c r="E120" s="23"/>
      <c r="F120" s="23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</row>
    <row r="121" spans="1:27" hidden="1" x14ac:dyDescent="0.2">
      <c r="C121" s="20"/>
      <c r="D121" s="23"/>
      <c r="E121" s="23"/>
      <c r="F121" s="23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</row>
    <row r="122" spans="1:27" ht="13.5" hidden="1" thickBot="1" x14ac:dyDescent="0.25">
      <c r="C122" s="20"/>
      <c r="D122" s="23"/>
      <c r="E122" s="23"/>
      <c r="F122" s="23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</row>
    <row r="123" spans="1:27" hidden="1" x14ac:dyDescent="0.2">
      <c r="A123" s="84" t="s">
        <v>69</v>
      </c>
      <c r="B123" s="128"/>
      <c r="C123" s="85"/>
      <c r="D123" s="85"/>
      <c r="E123" s="85"/>
      <c r="F123" s="85"/>
      <c r="G123" s="85"/>
      <c r="H123" s="86"/>
      <c r="I123" s="7"/>
      <c r="J123" s="7" t="s">
        <v>70</v>
      </c>
      <c r="K123" s="7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</row>
    <row r="124" spans="1:27" hidden="1" x14ac:dyDescent="0.2">
      <c r="A124" s="87">
        <v>67.31</v>
      </c>
      <c r="B124" s="88"/>
      <c r="C124" s="88" t="s">
        <v>71</v>
      </c>
      <c r="D124" s="88"/>
      <c r="E124" s="88"/>
      <c r="F124" s="88"/>
      <c r="G124" s="88">
        <v>25000</v>
      </c>
      <c r="H124" s="89"/>
      <c r="I124" s="7"/>
      <c r="J124" s="7"/>
      <c r="K124" s="7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</row>
    <row r="125" spans="1:27" ht="13.5" hidden="1" thickBot="1" x14ac:dyDescent="0.25">
      <c r="A125" s="90">
        <v>23.56</v>
      </c>
      <c r="B125" s="91"/>
      <c r="C125" s="91" t="s">
        <v>72</v>
      </c>
      <c r="D125" s="91"/>
      <c r="E125" s="91"/>
      <c r="F125" s="91"/>
      <c r="G125" s="91">
        <v>25000</v>
      </c>
      <c r="H125" s="92" t="s">
        <v>73</v>
      </c>
      <c r="I125" s="7"/>
      <c r="J125" s="7"/>
      <c r="K125" s="7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</row>
    <row r="126" spans="1:27" hidden="1" x14ac:dyDescent="0.2">
      <c r="A126" s="7"/>
      <c r="B126" s="127"/>
      <c r="C126" s="7"/>
      <c r="D126" s="7"/>
      <c r="E126" s="7"/>
      <c r="F126" s="7"/>
      <c r="G126" s="7"/>
      <c r="H126" s="7"/>
      <c r="I126" s="7"/>
      <c r="J126" s="7"/>
      <c r="K126" s="19">
        <f>G51-G47</f>
        <v>0</v>
      </c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</row>
    <row r="127" spans="1:27" hidden="1" x14ac:dyDescent="0.2">
      <c r="A127" s="7"/>
      <c r="B127" s="127"/>
      <c r="C127" s="7"/>
      <c r="D127" s="7"/>
      <c r="E127" s="7"/>
      <c r="F127" s="7"/>
      <c r="G127" s="7"/>
      <c r="H127" s="7"/>
      <c r="I127" s="7"/>
      <c r="J127" s="7"/>
      <c r="K127" s="7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</row>
    <row r="128" spans="1:27" hidden="1" x14ac:dyDescent="0.2">
      <c r="A128" s="7"/>
      <c r="B128" s="127"/>
      <c r="C128" s="7"/>
      <c r="D128" s="7"/>
      <c r="E128" s="7"/>
      <c r="F128" s="7"/>
      <c r="G128" s="7"/>
      <c r="H128" s="7"/>
      <c r="I128" s="7"/>
      <c r="J128" s="7"/>
      <c r="K128" s="7">
        <f>IF(K126&gt;0,K126*0.01,75)</f>
        <v>75</v>
      </c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</row>
    <row r="129" spans="1:27" hidden="1" x14ac:dyDescent="0.2">
      <c r="A129" s="7" t="s">
        <v>74</v>
      </c>
      <c r="B129" s="127"/>
      <c r="C129" s="7"/>
      <c r="D129" s="7"/>
      <c r="E129" s="7"/>
      <c r="F129" s="7"/>
      <c r="G129" s="7" t="s">
        <v>11</v>
      </c>
      <c r="H129" s="7" t="s">
        <v>75</v>
      </c>
      <c r="I129" s="7"/>
      <c r="J129" s="7"/>
      <c r="K129" s="7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</row>
    <row r="130" spans="1:27" hidden="1" x14ac:dyDescent="0.2">
      <c r="A130" s="7"/>
      <c r="B130" s="127"/>
      <c r="C130" s="7"/>
      <c r="D130" s="7"/>
      <c r="E130" s="7"/>
      <c r="F130" s="7"/>
      <c r="G130" s="19">
        <f>G55</f>
        <v>0</v>
      </c>
      <c r="H130" s="7">
        <f>IF(G55=0,575,550)</f>
        <v>575</v>
      </c>
      <c r="I130" s="7"/>
      <c r="J130" s="7"/>
      <c r="K130" s="7">
        <f>IF(K128&lt;75,75,K128)</f>
        <v>75</v>
      </c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</row>
    <row r="131" spans="1:27" hidden="1" x14ac:dyDescent="0.2">
      <c r="A131" s="7"/>
      <c r="B131" s="127"/>
      <c r="C131" s="7"/>
      <c r="D131" s="7"/>
      <c r="E131" s="7"/>
      <c r="F131" s="7"/>
      <c r="G131" s="7"/>
      <c r="H131" s="7"/>
      <c r="I131" s="7"/>
      <c r="J131" s="7"/>
      <c r="K131" s="7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</row>
    <row r="132" spans="1:27" hidden="1" x14ac:dyDescent="0.2">
      <c r="A132" s="7"/>
      <c r="B132" s="127"/>
      <c r="C132" s="7"/>
      <c r="D132" s="7"/>
      <c r="E132" s="7"/>
      <c r="F132" s="7"/>
      <c r="G132" s="7"/>
      <c r="H132" s="7"/>
      <c r="I132" s="7"/>
      <c r="J132" s="7"/>
      <c r="K132" s="7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</row>
    <row r="133" spans="1:27" hidden="1" x14ac:dyDescent="0.2">
      <c r="A133" s="7"/>
      <c r="B133" s="127"/>
      <c r="C133" s="7"/>
      <c r="D133" s="7"/>
      <c r="E133" s="7"/>
      <c r="F133" s="7"/>
      <c r="G133" s="7"/>
      <c r="H133" s="7"/>
      <c r="I133" s="7"/>
      <c r="J133" s="7"/>
      <c r="K133" s="7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</row>
    <row r="134" spans="1:27" hidden="1" x14ac:dyDescent="0.2">
      <c r="A134" s="93">
        <f>SUM(G53:G65)-G61-G63-G65</f>
        <v>1145</v>
      </c>
      <c r="B134" s="136"/>
      <c r="C134" s="7"/>
      <c r="D134" s="7"/>
      <c r="E134" s="7"/>
      <c r="F134" s="7"/>
      <c r="G134" s="7"/>
      <c r="H134" s="7"/>
      <c r="I134" s="7"/>
      <c r="J134" s="7"/>
      <c r="K134" s="7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</row>
    <row r="135" spans="1:27" ht="13.5" hidden="1" thickBot="1" x14ac:dyDescent="0.25">
      <c r="A135" s="7"/>
      <c r="B135" s="127"/>
      <c r="C135" s="7"/>
      <c r="D135" s="7"/>
      <c r="E135" s="7"/>
      <c r="F135" s="7"/>
      <c r="G135" s="7"/>
      <c r="H135" s="7"/>
      <c r="I135" s="7"/>
      <c r="J135" s="7"/>
      <c r="K135" s="7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</row>
    <row r="136" spans="1:27" hidden="1" x14ac:dyDescent="0.2">
      <c r="A136" s="84" t="s">
        <v>76</v>
      </c>
      <c r="B136" s="128"/>
      <c r="C136" s="85"/>
      <c r="D136" s="85"/>
      <c r="E136" s="85"/>
      <c r="F136" s="85"/>
      <c r="G136" s="85"/>
      <c r="H136" s="86"/>
      <c r="I136" s="7"/>
      <c r="J136" s="7"/>
      <c r="K136" s="7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</row>
    <row r="137" spans="1:27" hidden="1" x14ac:dyDescent="0.2">
      <c r="A137" s="87">
        <v>117.11</v>
      </c>
      <c r="B137" s="88"/>
      <c r="C137" s="88" t="s">
        <v>71</v>
      </c>
      <c r="D137" s="88"/>
      <c r="E137" s="88"/>
      <c r="F137" s="88"/>
      <c r="G137" s="88">
        <v>25000</v>
      </c>
      <c r="H137" s="89"/>
      <c r="I137" s="7"/>
      <c r="J137" s="7"/>
      <c r="K137" s="7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</row>
    <row r="138" spans="1:27" ht="13.5" hidden="1" thickBot="1" x14ac:dyDescent="0.25">
      <c r="A138" s="90">
        <v>23.56</v>
      </c>
      <c r="B138" s="91"/>
      <c r="C138" s="91" t="s">
        <v>72</v>
      </c>
      <c r="D138" s="91"/>
      <c r="E138" s="91"/>
      <c r="F138" s="91"/>
      <c r="G138" s="91">
        <v>25000</v>
      </c>
      <c r="H138" s="92" t="s">
        <v>73</v>
      </c>
      <c r="I138" s="7"/>
      <c r="J138" s="7"/>
      <c r="K138" s="7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</row>
    <row r="139" spans="1:27" hidden="1" x14ac:dyDescent="0.2">
      <c r="A139" s="7"/>
      <c r="B139" s="127"/>
      <c r="C139" s="7"/>
      <c r="D139" s="7"/>
      <c r="E139" s="7"/>
      <c r="F139" s="7"/>
      <c r="G139" s="7"/>
      <c r="H139" s="7"/>
      <c r="I139" s="7"/>
      <c r="J139" s="7"/>
      <c r="K139" s="7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</row>
    <row r="140" spans="1:27" hidden="1" x14ac:dyDescent="0.2">
      <c r="A140" s="7"/>
      <c r="B140" s="127"/>
      <c r="C140" s="7"/>
      <c r="D140" s="7"/>
      <c r="E140" s="7"/>
      <c r="F140" s="7"/>
      <c r="G140" s="7"/>
      <c r="H140" s="7"/>
      <c r="I140" s="7"/>
      <c r="J140" s="7"/>
      <c r="K140" s="7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</row>
    <row r="141" spans="1:27" hidden="1" x14ac:dyDescent="0.2">
      <c r="A141" s="7"/>
      <c r="B141" s="127"/>
      <c r="C141" s="7"/>
      <c r="D141" s="7"/>
      <c r="E141" s="7"/>
      <c r="F141" s="7"/>
      <c r="G141" s="7"/>
      <c r="H141" s="7"/>
      <c r="I141" s="7"/>
      <c r="J141" s="7"/>
      <c r="K141" s="7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</row>
    <row r="142" spans="1:27" hidden="1" x14ac:dyDescent="0.2">
      <c r="A142" s="7"/>
      <c r="B142" s="127"/>
      <c r="C142" s="7"/>
      <c r="D142" s="7"/>
      <c r="E142" s="7"/>
      <c r="F142" s="7"/>
      <c r="G142" s="7"/>
      <c r="H142" s="19">
        <f>ROUNDUP(F56+F57,-2)</f>
        <v>300</v>
      </c>
      <c r="I142" s="7"/>
      <c r="J142" s="7"/>
      <c r="K142" s="7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</row>
    <row r="143" spans="1:27" hidden="1" x14ac:dyDescent="0.2">
      <c r="A143" s="7"/>
      <c r="B143" s="127"/>
      <c r="C143" s="7"/>
      <c r="D143" s="7"/>
      <c r="E143" s="7"/>
      <c r="F143" s="7"/>
      <c r="G143" s="7"/>
      <c r="H143" s="7">
        <f>IF((H142-F56-F57)&gt;90,H142-50,H142)</f>
        <v>300</v>
      </c>
      <c r="I143" s="7"/>
      <c r="J143" s="7"/>
      <c r="K143" s="7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</row>
    <row r="144" spans="1:27" hidden="1" x14ac:dyDescent="0.2">
      <c r="A144" s="7"/>
      <c r="B144" s="127"/>
      <c r="C144" s="7"/>
      <c r="D144" s="7"/>
      <c r="E144" s="7"/>
      <c r="F144" s="7"/>
      <c r="G144" s="7"/>
      <c r="H144" s="7">
        <f>IF((H143-F56-F57)&lt;30,(F56+F57+30),H143)</f>
        <v>300</v>
      </c>
      <c r="I144" s="7"/>
      <c r="J144" s="7"/>
      <c r="K144" s="7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0"/>
      <c r="Z144" s="20"/>
      <c r="AA144" s="20"/>
    </row>
    <row r="145" spans="1:27" hidden="1" x14ac:dyDescent="0.2">
      <c r="A145" s="7"/>
      <c r="B145" s="127"/>
      <c r="C145" s="7"/>
      <c r="D145" s="7"/>
      <c r="E145" s="7"/>
      <c r="F145" s="7"/>
      <c r="G145" s="7"/>
      <c r="H145" s="7">
        <f>ROUNDUP(H144,-1)</f>
        <v>300</v>
      </c>
      <c r="I145" s="7"/>
      <c r="J145" s="7"/>
      <c r="K145" s="7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0"/>
      <c r="Z145" s="20"/>
      <c r="AA145" s="20"/>
    </row>
    <row r="146" spans="1:27" hidden="1" x14ac:dyDescent="0.2">
      <c r="A146" s="24"/>
      <c r="B146" s="137"/>
      <c r="C146" s="13">
        <f>IF(C11="oui",-1500,0)</f>
        <v>0</v>
      </c>
      <c r="D146" s="13"/>
      <c r="E146" s="13"/>
      <c r="F146" s="13"/>
      <c r="G146" s="23">
        <f>IF(AND(C9="oui",C11="oui"),-750,0)</f>
        <v>0</v>
      </c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0"/>
      <c r="Z146" s="20"/>
      <c r="AA146" s="20"/>
    </row>
    <row r="147" spans="1:27" hidden="1" x14ac:dyDescent="0.2">
      <c r="A147" s="24"/>
      <c r="B147" s="137"/>
      <c r="C147" s="13">
        <f>IF(C11="oui",-750,0)</f>
        <v>0</v>
      </c>
      <c r="D147" s="13"/>
      <c r="E147" s="13"/>
      <c r="F147" s="13"/>
      <c r="G147" s="23">
        <f>IF(AND(C9="non",C11="oui"),-1500,0)</f>
        <v>0</v>
      </c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0"/>
      <c r="Z147" s="20"/>
      <c r="AA147" s="20"/>
    </row>
    <row r="148" spans="1:27" hidden="1" x14ac:dyDescent="0.2">
      <c r="A148" s="24"/>
      <c r="B148" s="137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0"/>
      <c r="Z148" s="20"/>
      <c r="AA148" s="20"/>
    </row>
    <row r="149" spans="1:27" hidden="1" x14ac:dyDescent="0.2">
      <c r="A149" s="24"/>
      <c r="B149" s="137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0"/>
      <c r="Z149" s="20"/>
      <c r="AA149" s="20"/>
    </row>
    <row r="150" spans="1:27" ht="13.5" hidden="1" thickBot="1" x14ac:dyDescent="0.25">
      <c r="A150" s="24"/>
      <c r="B150" s="162">
        <f>IF(C11="oui",-1500,0)</f>
        <v>0</v>
      </c>
      <c r="C150" s="163">
        <f>IF(AND(C9="oui",C11="oui"),-750,0)</f>
        <v>0</v>
      </c>
      <c r="D150" s="163"/>
      <c r="E150" s="163"/>
      <c r="F150" s="163">
        <f>IF(AND(C11="oui",C12="oui"),-1000,0)</f>
        <v>0</v>
      </c>
      <c r="G150" s="163"/>
      <c r="H150" s="163">
        <f>IF(G151=50,0,G151)</f>
        <v>0</v>
      </c>
      <c r="I150" s="23"/>
      <c r="J150" s="23"/>
      <c r="K150" s="23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</row>
    <row r="151" spans="1:27" ht="13.5" hidden="1" thickBot="1" x14ac:dyDescent="0.25">
      <c r="A151" s="7"/>
      <c r="B151" s="162">
        <f>IF(C11="oui",-750,0)</f>
        <v>0</v>
      </c>
      <c r="C151" s="163">
        <f>IF(AND(C9="non",C11="oui"),-1500,0)</f>
        <v>0</v>
      </c>
      <c r="D151" s="163"/>
      <c r="E151" s="163"/>
      <c r="F151" s="163">
        <f>-F150</f>
        <v>0</v>
      </c>
      <c r="G151" s="163">
        <f>IF(F151&gt;(F18+F19+F21-50),-(F18+F19+F21-50),F150)</f>
        <v>50</v>
      </c>
      <c r="H151" s="163">
        <f>IF(C12="non",0,H150)</f>
        <v>0</v>
      </c>
      <c r="I151" s="21"/>
      <c r="J151" s="21"/>
      <c r="K151" s="21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</row>
    <row r="152" spans="1:27" ht="13.5" hidden="1" thickBot="1" x14ac:dyDescent="0.25">
      <c r="A152" s="7"/>
      <c r="B152" s="163"/>
      <c r="C152" s="163">
        <f>SUM(C150:C151)</f>
        <v>0</v>
      </c>
      <c r="D152" s="163">
        <f>IF(C154&gt;(F18+F19-50),-(F18+F19-50),C152)</f>
        <v>50</v>
      </c>
      <c r="E152" s="163">
        <f>IF(D152=50,0,D152)</f>
        <v>0</v>
      </c>
      <c r="F152" s="163"/>
      <c r="G152" s="163"/>
      <c r="H152" s="163"/>
      <c r="I152" s="25"/>
      <c r="J152" s="25"/>
      <c r="K152" s="25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</row>
    <row r="153" spans="1:27" hidden="1" x14ac:dyDescent="0.2">
      <c r="A153" s="7"/>
      <c r="B153" s="163"/>
      <c r="C153" s="163"/>
      <c r="D153" s="163"/>
      <c r="E153" s="163"/>
      <c r="F153" s="163"/>
      <c r="G153" s="163"/>
      <c r="H153" s="163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</row>
    <row r="154" spans="1:27" hidden="1" x14ac:dyDescent="0.2">
      <c r="A154" s="7"/>
      <c r="B154" s="163"/>
      <c r="C154" s="163">
        <f>-C152</f>
        <v>0</v>
      </c>
      <c r="D154" s="163"/>
      <c r="E154" s="163"/>
      <c r="F154" s="163"/>
      <c r="G154" s="163"/>
      <c r="H154" s="164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</row>
    <row r="155" spans="1:27" hidden="1" x14ac:dyDescent="0.2">
      <c r="A155" s="7" t="s">
        <v>1</v>
      </c>
      <c r="B155" s="127"/>
      <c r="C155" s="7"/>
      <c r="D155" s="7"/>
      <c r="E155" s="7"/>
      <c r="F155" s="7"/>
      <c r="G155" s="7" t="s">
        <v>9</v>
      </c>
      <c r="H155" s="7" t="s">
        <v>10</v>
      </c>
      <c r="I155" s="7"/>
      <c r="J155" s="18" t="s">
        <v>14</v>
      </c>
      <c r="K155" s="18" t="s">
        <v>14</v>
      </c>
      <c r="L155" s="18" t="s">
        <v>14</v>
      </c>
      <c r="M155" s="18" t="s">
        <v>14</v>
      </c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</row>
    <row r="156" spans="1:27" hidden="1" x14ac:dyDescent="0.2">
      <c r="A156" s="7"/>
      <c r="B156" s="127"/>
      <c r="C156" s="7"/>
      <c r="D156" s="7"/>
      <c r="E156" s="7"/>
      <c r="F156" s="7"/>
      <c r="G156" s="7"/>
      <c r="H156" s="7">
        <v>525</v>
      </c>
      <c r="I156" s="7"/>
      <c r="J156" s="18" t="s">
        <v>15</v>
      </c>
      <c r="K156" s="18" t="s">
        <v>15</v>
      </c>
      <c r="L156" s="18" t="s">
        <v>15</v>
      </c>
      <c r="M156" s="18" t="s">
        <v>15</v>
      </c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</row>
    <row r="157" spans="1:27" hidden="1" x14ac:dyDescent="0.2">
      <c r="A157" s="7"/>
      <c r="B157" s="127"/>
      <c r="C157" s="7"/>
      <c r="D157" s="7"/>
      <c r="E157" s="7"/>
      <c r="F157" s="7"/>
      <c r="G157" s="7"/>
      <c r="H157" s="7">
        <v>100</v>
      </c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</row>
    <row r="158" spans="1:27" hidden="1" x14ac:dyDescent="0.2">
      <c r="A158" s="7"/>
      <c r="B158" s="127"/>
      <c r="C158" s="7"/>
      <c r="D158" s="7"/>
      <c r="E158" s="7"/>
      <c r="F158" s="7"/>
      <c r="G158" s="7"/>
      <c r="H158" s="7">
        <v>675</v>
      </c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</row>
    <row r="159" spans="1:27" hidden="1" x14ac:dyDescent="0.2">
      <c r="A159" s="7"/>
      <c r="B159" s="12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</row>
    <row r="160" spans="1:27" hidden="1" x14ac:dyDescent="0.2">
      <c r="A160" s="7"/>
      <c r="B160" s="12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</row>
    <row r="161" spans="1:27" hidden="1" x14ac:dyDescent="0.2">
      <c r="A161" s="7"/>
      <c r="B161" s="12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</row>
    <row r="162" spans="1:27" ht="14.25" hidden="1" x14ac:dyDescent="0.2">
      <c r="A162" s="26" t="s">
        <v>11</v>
      </c>
      <c r="B162" s="138"/>
      <c r="C162" s="129"/>
      <c r="D162" s="129"/>
      <c r="E162" s="129"/>
      <c r="F162" s="129"/>
      <c r="G162" s="26" t="s">
        <v>11</v>
      </c>
      <c r="H162" s="27" t="s">
        <v>12</v>
      </c>
      <c r="I162" s="28"/>
      <c r="J162" s="26" t="s">
        <v>3</v>
      </c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</row>
    <row r="163" spans="1:27" ht="15" hidden="1" x14ac:dyDescent="0.25">
      <c r="A163" s="29">
        <v>0</v>
      </c>
      <c r="B163" s="139"/>
      <c r="C163" s="130"/>
      <c r="D163" s="130"/>
      <c r="E163" s="130"/>
      <c r="F163" s="130"/>
      <c r="G163" s="29">
        <v>7500</v>
      </c>
      <c r="H163" s="31">
        <v>4.5600000000000002E-2</v>
      </c>
      <c r="I163" s="32"/>
      <c r="J163" s="29">
        <f>IF($C$7&lt;G163,$C$7*H163,G163*H163)</f>
        <v>0</v>
      </c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</row>
    <row r="164" spans="1:27" ht="15" hidden="1" x14ac:dyDescent="0.25">
      <c r="A164" s="29">
        <v>7500</v>
      </c>
      <c r="B164" s="139"/>
      <c r="C164" s="130"/>
      <c r="D164" s="130"/>
      <c r="E164" s="130"/>
      <c r="F164" s="130"/>
      <c r="G164" s="29">
        <v>17500</v>
      </c>
      <c r="H164" s="31">
        <v>2.8500000000000001E-2</v>
      </c>
      <c r="I164" s="32"/>
      <c r="J164" s="30" t="str">
        <f t="shared" ref="J164:J169" si="0">IF($C$7&lt;=A164," ",IF($C$7&lt;G164,($C$7-G163)*H164,(G164-A164)*H164))</f>
        <v xml:space="preserve"> </v>
      </c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</row>
    <row r="165" spans="1:27" ht="15" hidden="1" x14ac:dyDescent="0.25">
      <c r="A165" s="29">
        <v>17500</v>
      </c>
      <c r="B165" s="139"/>
      <c r="C165" s="130"/>
      <c r="D165" s="130"/>
      <c r="E165" s="130"/>
      <c r="F165" s="130"/>
      <c r="G165" s="29">
        <v>30000</v>
      </c>
      <c r="H165" s="31">
        <v>2.2800000000000001E-2</v>
      </c>
      <c r="I165" s="32"/>
      <c r="J165" s="30" t="str">
        <f t="shared" si="0"/>
        <v xml:space="preserve"> </v>
      </c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</row>
    <row r="166" spans="1:27" ht="15" hidden="1" x14ac:dyDescent="0.25">
      <c r="A166" s="29">
        <v>30000</v>
      </c>
      <c r="B166" s="139"/>
      <c r="C166" s="130"/>
      <c r="D166" s="130"/>
      <c r="E166" s="130"/>
      <c r="F166" s="130"/>
      <c r="G166" s="29">
        <v>45495</v>
      </c>
      <c r="H166" s="31">
        <v>1.7100000000000001E-2</v>
      </c>
      <c r="I166" s="32"/>
      <c r="J166" s="30" t="str">
        <f t="shared" si="0"/>
        <v xml:space="preserve"> </v>
      </c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</row>
    <row r="167" spans="1:27" ht="15" hidden="1" x14ac:dyDescent="0.25">
      <c r="A167" s="29">
        <v>45495</v>
      </c>
      <c r="B167" s="139"/>
      <c r="C167" s="130"/>
      <c r="D167" s="130"/>
      <c r="E167" s="130"/>
      <c r="F167" s="130"/>
      <c r="G167" s="29">
        <v>64095</v>
      </c>
      <c r="H167" s="31">
        <v>1.14E-2</v>
      </c>
      <c r="I167" s="32"/>
      <c r="J167" s="30" t="str">
        <f t="shared" si="0"/>
        <v xml:space="preserve"> </v>
      </c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</row>
    <row r="168" spans="1:27" ht="15" hidden="1" x14ac:dyDescent="0.25">
      <c r="A168" s="29">
        <v>64095</v>
      </c>
      <c r="B168" s="139"/>
      <c r="C168" s="130"/>
      <c r="D168" s="130"/>
      <c r="E168" s="130"/>
      <c r="F168" s="130"/>
      <c r="G168" s="29">
        <v>250095</v>
      </c>
      <c r="H168" s="31">
        <v>5.7000000000000002E-3</v>
      </c>
      <c r="I168" s="32"/>
      <c r="J168" s="30" t="str">
        <f t="shared" si="0"/>
        <v xml:space="preserve"> </v>
      </c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</row>
    <row r="169" spans="1:27" ht="15" hidden="1" x14ac:dyDescent="0.25">
      <c r="A169" s="29">
        <v>250095</v>
      </c>
      <c r="B169" s="139"/>
      <c r="C169" s="130"/>
      <c r="D169" s="130"/>
      <c r="E169" s="130"/>
      <c r="F169" s="130"/>
      <c r="G169" s="29">
        <f>$C$7</f>
        <v>0</v>
      </c>
      <c r="H169" s="31">
        <v>5.6999999999999998E-4</v>
      </c>
      <c r="I169" s="32"/>
      <c r="J169" s="30" t="str">
        <f t="shared" si="0"/>
        <v xml:space="preserve"> </v>
      </c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</row>
    <row r="170" spans="1:27" ht="15" hidden="1" x14ac:dyDescent="0.25">
      <c r="A170" s="33"/>
      <c r="B170" s="34"/>
      <c r="C170" s="34"/>
      <c r="D170" s="34"/>
      <c r="E170" s="34"/>
      <c r="F170" s="34"/>
      <c r="G170" s="34"/>
      <c r="H170" s="35"/>
      <c r="I170" s="36"/>
      <c r="J170" s="36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</row>
    <row r="171" spans="1:27" ht="15" hidden="1" x14ac:dyDescent="0.25">
      <c r="A171" s="26" t="s">
        <v>13</v>
      </c>
      <c r="B171" s="37"/>
      <c r="C171" s="37"/>
      <c r="D171" s="37"/>
      <c r="E171" s="37"/>
      <c r="F171" s="37"/>
      <c r="G171" s="34"/>
      <c r="H171" s="38"/>
      <c r="I171" s="36"/>
      <c r="J171" s="39">
        <f>SUM(J163:J170)</f>
        <v>0</v>
      </c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</row>
    <row r="172" spans="1:27" hidden="1" x14ac:dyDescent="0.2">
      <c r="A172" s="7"/>
      <c r="B172" s="12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</row>
    <row r="173" spans="1:27" hidden="1" x14ac:dyDescent="0.2">
      <c r="A173" s="7"/>
      <c r="B173" s="12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</row>
    <row r="174" spans="1:27" hidden="1" x14ac:dyDescent="0.2">
      <c r="A174" s="7"/>
      <c r="B174" s="12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</row>
    <row r="175" spans="1:27" hidden="1" x14ac:dyDescent="0.2">
      <c r="A175" s="7"/>
      <c r="B175" s="12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</row>
    <row r="176" spans="1:27" hidden="1" x14ac:dyDescent="0.2">
      <c r="A176" s="7"/>
      <c r="B176" s="12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</row>
    <row r="177" spans="1:27" hidden="1" x14ac:dyDescent="0.2">
      <c r="A177" s="7"/>
      <c r="B177" s="12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</row>
    <row r="178" spans="1:27" hidden="1" x14ac:dyDescent="0.2">
      <c r="A178" s="7"/>
      <c r="B178" s="12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</row>
    <row r="179" spans="1:27" hidden="1" x14ac:dyDescent="0.2">
      <c r="A179" s="7"/>
      <c r="B179" s="12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</row>
    <row r="180" spans="1:27" ht="15" hidden="1" x14ac:dyDescent="0.25">
      <c r="A180" s="56" t="s">
        <v>47</v>
      </c>
      <c r="B180" s="140"/>
      <c r="C180" s="131"/>
      <c r="D180" s="131"/>
      <c r="E180" s="131"/>
      <c r="F180" s="131"/>
      <c r="G180" s="57">
        <f>G51</f>
        <v>0</v>
      </c>
      <c r="H180" s="58"/>
      <c r="I180" s="59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</row>
    <row r="181" spans="1:27" ht="15" hidden="1" x14ac:dyDescent="0.25">
      <c r="A181" s="60">
        <v>0</v>
      </c>
      <c r="B181" s="141"/>
      <c r="C181" s="132"/>
      <c r="D181" s="132"/>
      <c r="E181" s="132"/>
      <c r="F181" s="132"/>
      <c r="G181" s="60">
        <v>7500</v>
      </c>
      <c r="H181" s="62">
        <v>8.5500000000000003E-3</v>
      </c>
      <c r="I181" s="63"/>
      <c r="J181" s="60">
        <f>IF(G180&lt;G181,G180*H181,G181*H181)</f>
        <v>0</v>
      </c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</row>
    <row r="182" spans="1:27" ht="15" hidden="1" x14ac:dyDescent="0.25">
      <c r="A182" s="60">
        <v>7500</v>
      </c>
      <c r="B182" s="141"/>
      <c r="C182" s="132"/>
      <c r="D182" s="132"/>
      <c r="E182" s="132"/>
      <c r="F182" s="132"/>
      <c r="G182" s="60">
        <v>17500</v>
      </c>
      <c r="H182" s="62">
        <v>6.8399999999999997E-3</v>
      </c>
      <c r="I182" s="63"/>
      <c r="J182" s="61" t="str">
        <f>IF(G180&lt;=A182," ",IF(G180&lt;G182,(G180-G181)*H182,(G182-A182)*H182))</f>
        <v xml:space="preserve"> </v>
      </c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</row>
    <row r="183" spans="1:27" ht="15" hidden="1" x14ac:dyDescent="0.25">
      <c r="A183" s="60">
        <v>17500</v>
      </c>
      <c r="B183" s="141"/>
      <c r="C183" s="132"/>
      <c r="D183" s="132"/>
      <c r="E183" s="132"/>
      <c r="F183" s="132"/>
      <c r="G183" s="60">
        <v>30000</v>
      </c>
      <c r="H183" s="62">
        <v>4.5599999999999998E-3</v>
      </c>
      <c r="I183" s="63"/>
      <c r="J183" s="61" t="str">
        <f>IF(G180&lt;=A183," ",IF(G180&lt;G183,(G180-G182)*H183,(G183-A183)*H183))</f>
        <v xml:space="preserve"> </v>
      </c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</row>
    <row r="184" spans="1:27" ht="15" hidden="1" x14ac:dyDescent="0.25">
      <c r="A184" s="60">
        <v>30000</v>
      </c>
      <c r="B184" s="141"/>
      <c r="C184" s="132"/>
      <c r="D184" s="132"/>
      <c r="E184" s="132"/>
      <c r="F184" s="132"/>
      <c r="G184" s="60">
        <v>45495</v>
      </c>
      <c r="H184" s="62">
        <v>3.4199999999999999E-3</v>
      </c>
      <c r="I184" s="63"/>
      <c r="J184" s="61" t="str">
        <f>IF(G180&lt;=A184," ",IF(G180&lt;G184,(G180-G183)*H184,(G184-A184)*H184))</f>
        <v xml:space="preserve"> </v>
      </c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</row>
    <row r="185" spans="1:27" ht="15" hidden="1" x14ac:dyDescent="0.25">
      <c r="A185" s="60">
        <v>45495</v>
      </c>
      <c r="B185" s="141"/>
      <c r="C185" s="132"/>
      <c r="D185" s="132"/>
      <c r="E185" s="132"/>
      <c r="F185" s="132"/>
      <c r="G185" s="60">
        <v>64095</v>
      </c>
      <c r="H185" s="62">
        <v>2.2799999999999999E-3</v>
      </c>
      <c r="I185" s="63"/>
      <c r="J185" s="61" t="str">
        <f>IF(G180&lt;=A185," ",IF(G180&lt;G185,(G180-G184)*H185,(G185-A185)*H185))</f>
        <v xml:space="preserve"> </v>
      </c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</row>
    <row r="186" spans="1:27" ht="15" hidden="1" x14ac:dyDescent="0.25">
      <c r="A186" s="60">
        <v>64095</v>
      </c>
      <c r="B186" s="141"/>
      <c r="C186" s="132"/>
      <c r="D186" s="132"/>
      <c r="E186" s="132"/>
      <c r="F186" s="132"/>
      <c r="G186" s="60">
        <v>250095</v>
      </c>
      <c r="H186" s="62">
        <v>1.14E-3</v>
      </c>
      <c r="I186" s="63"/>
      <c r="J186" s="61" t="str">
        <f>IF(G180&lt;=A186," ",IF(G180&lt;G186,(G180-G185)*H186,(G186-A186)*H186))</f>
        <v xml:space="preserve"> </v>
      </c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</row>
    <row r="187" spans="1:27" ht="15" hidden="1" x14ac:dyDescent="0.25">
      <c r="A187" s="60">
        <v>250095</v>
      </c>
      <c r="B187" s="141"/>
      <c r="C187" s="132"/>
      <c r="D187" s="132"/>
      <c r="E187" s="132"/>
      <c r="F187" s="132"/>
      <c r="G187" s="60">
        <f>$H$8</f>
        <v>0</v>
      </c>
      <c r="H187" s="64">
        <v>3.4200000000000002E-4</v>
      </c>
      <c r="I187" s="63"/>
      <c r="J187" s="61" t="str">
        <f>IF(G180&lt;=A187," ",IF(G180&lt;G187,(G180-G186)*H187,(G187-A187)*H187))</f>
        <v xml:space="preserve"> </v>
      </c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</row>
    <row r="188" spans="1:27" ht="15" hidden="1" x14ac:dyDescent="0.25">
      <c r="A188" s="57">
        <v>10075000</v>
      </c>
      <c r="B188" s="142"/>
      <c r="C188" s="133"/>
      <c r="D188" s="133"/>
      <c r="E188" s="133"/>
      <c r="F188" s="133"/>
      <c r="G188" s="57">
        <f>G180</f>
        <v>0</v>
      </c>
      <c r="H188" s="64">
        <v>4.5600000000000003E-4</v>
      </c>
      <c r="I188" s="57" t="str">
        <f>IF(G180&lt;=A188," E90",IF(G180&lt;G188,(G180-G187)*H188,(G188-A188)*H188))</f>
        <v xml:space="preserve"> E90</v>
      </c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</row>
    <row r="189" spans="1:27" ht="15" hidden="1" x14ac:dyDescent="0.25">
      <c r="A189" s="59"/>
      <c r="B189" s="143"/>
      <c r="C189" s="59"/>
      <c r="D189" s="59"/>
      <c r="E189" s="59"/>
      <c r="F189" s="59"/>
      <c r="G189" s="59"/>
      <c r="H189" s="59"/>
      <c r="I189" s="59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</row>
    <row r="190" spans="1:27" ht="15" hidden="1" x14ac:dyDescent="0.25">
      <c r="A190" s="65" t="s">
        <v>13</v>
      </c>
      <c r="B190" s="66"/>
      <c r="C190" s="66"/>
      <c r="D190" s="66"/>
      <c r="E190" s="66"/>
      <c r="F190" s="66"/>
      <c r="G190" s="59"/>
      <c r="H190" s="59"/>
      <c r="I190" s="67">
        <f>SUM(J181:J188)</f>
        <v>0</v>
      </c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</row>
    <row r="191" spans="1:27" ht="15" hidden="1" x14ac:dyDescent="0.25">
      <c r="A191" s="66"/>
      <c r="B191" s="66"/>
      <c r="C191" s="66"/>
      <c r="D191" s="66"/>
      <c r="E191" s="66"/>
      <c r="F191" s="66"/>
      <c r="G191" s="59"/>
      <c r="H191" s="59"/>
      <c r="I191" s="68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</row>
    <row r="192" spans="1:27" ht="15" hidden="1" x14ac:dyDescent="0.25">
      <c r="A192" s="56" t="s">
        <v>47</v>
      </c>
      <c r="B192" s="140"/>
      <c r="C192" s="131"/>
      <c r="D192" s="131"/>
      <c r="E192" s="131"/>
      <c r="F192" s="131"/>
      <c r="G192" s="57">
        <f>G47</f>
        <v>0</v>
      </c>
      <c r="H192" s="58"/>
      <c r="I192" s="59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</row>
    <row r="193" spans="1:27" ht="15" hidden="1" x14ac:dyDescent="0.25">
      <c r="A193" s="60">
        <v>0</v>
      </c>
      <c r="B193" s="141"/>
      <c r="C193" s="132"/>
      <c r="D193" s="132"/>
      <c r="E193" s="132"/>
      <c r="F193" s="132"/>
      <c r="G193" s="60">
        <v>7500</v>
      </c>
      <c r="H193" s="62">
        <v>8.5500000000000003E-3</v>
      </c>
      <c r="I193" s="63"/>
      <c r="J193" s="60">
        <f>IF(G192&lt;G193,G192*H193,G193*H193)</f>
        <v>0</v>
      </c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</row>
    <row r="194" spans="1:27" ht="15" hidden="1" x14ac:dyDescent="0.25">
      <c r="A194" s="60">
        <v>7500</v>
      </c>
      <c r="B194" s="141"/>
      <c r="C194" s="132"/>
      <c r="D194" s="132"/>
      <c r="E194" s="132"/>
      <c r="F194" s="132"/>
      <c r="G194" s="60">
        <v>17500</v>
      </c>
      <c r="H194" s="62">
        <v>6.8399999999999997E-3</v>
      </c>
      <c r="I194" s="63"/>
      <c r="J194" s="61" t="str">
        <f>IF(G192&lt;=A194," ",IF(G192&lt;G194,(G192-G193)*H194,(G194-A194)*H194))</f>
        <v xml:space="preserve"> </v>
      </c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</row>
    <row r="195" spans="1:27" ht="15" hidden="1" x14ac:dyDescent="0.25">
      <c r="A195" s="60">
        <v>17500</v>
      </c>
      <c r="B195" s="141"/>
      <c r="C195" s="132"/>
      <c r="D195" s="132"/>
      <c r="E195" s="132"/>
      <c r="F195" s="132"/>
      <c r="G195" s="60">
        <v>30000</v>
      </c>
      <c r="H195" s="62">
        <v>4.5599999999999998E-3</v>
      </c>
      <c r="I195" s="63"/>
      <c r="J195" s="61" t="str">
        <f>IF(G192&lt;=A195," ",IF(G192&lt;G195,(G192-G194)*H195,(G195-A195)*H195))</f>
        <v xml:space="preserve"> </v>
      </c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</row>
    <row r="196" spans="1:27" ht="15" hidden="1" x14ac:dyDescent="0.25">
      <c r="A196" s="60">
        <v>30000</v>
      </c>
      <c r="B196" s="141"/>
      <c r="C196" s="132"/>
      <c r="D196" s="132"/>
      <c r="E196" s="132"/>
      <c r="F196" s="132"/>
      <c r="G196" s="60">
        <v>45495</v>
      </c>
      <c r="H196" s="62">
        <v>3.4199999999999999E-3</v>
      </c>
      <c r="I196" s="63"/>
      <c r="J196" s="61" t="str">
        <f>IF(G192&lt;=A196," ",IF(G192&lt;G196,(G192-G195)*H196,(G196-A196)*H196))</f>
        <v xml:space="preserve"> </v>
      </c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</row>
    <row r="197" spans="1:27" ht="15" hidden="1" x14ac:dyDescent="0.25">
      <c r="A197" s="60">
        <v>45495</v>
      </c>
      <c r="B197" s="141"/>
      <c r="C197" s="132"/>
      <c r="D197" s="132"/>
      <c r="E197" s="132"/>
      <c r="F197" s="132"/>
      <c r="G197" s="60">
        <v>64095</v>
      </c>
      <c r="H197" s="62">
        <v>2.2799999999999999E-3</v>
      </c>
      <c r="I197" s="63"/>
      <c r="J197" s="61" t="str">
        <f>IF(G192&lt;=A197," ",IF(G192&lt;G197,(G192-G196)*H197,(G197-A197)*H197))</f>
        <v xml:space="preserve"> </v>
      </c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</row>
    <row r="198" spans="1:27" ht="15" hidden="1" x14ac:dyDescent="0.25">
      <c r="A198" s="60">
        <v>64095</v>
      </c>
      <c r="B198" s="141"/>
      <c r="C198" s="132"/>
      <c r="D198" s="132"/>
      <c r="E198" s="132"/>
      <c r="F198" s="132"/>
      <c r="G198" s="60">
        <v>250095</v>
      </c>
      <c r="H198" s="62">
        <v>1.14E-3</v>
      </c>
      <c r="I198" s="63"/>
      <c r="J198" s="61" t="str">
        <f>IF(G192&lt;=A198," ",IF(G192&lt;G198,(G192-G197)*H198,(G198-A198)*H198))</f>
        <v xml:space="preserve"> </v>
      </c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</row>
    <row r="199" spans="1:27" ht="15" hidden="1" x14ac:dyDescent="0.25">
      <c r="A199" s="60">
        <v>250095</v>
      </c>
      <c r="B199" s="141"/>
      <c r="C199" s="132"/>
      <c r="D199" s="132"/>
      <c r="E199" s="132"/>
      <c r="F199" s="132"/>
      <c r="G199" s="60">
        <f>$H$8</f>
        <v>0</v>
      </c>
      <c r="H199" s="64">
        <v>3.4200000000000002E-4</v>
      </c>
      <c r="I199" s="63"/>
      <c r="J199" s="61" t="str">
        <f>IF(G192&lt;=A199," ",IF(G192&lt;G199,(G192-G198)*H199,(G199-A199)*H199))</f>
        <v xml:space="preserve"> </v>
      </c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</row>
    <row r="200" spans="1:27" ht="15" hidden="1" x14ac:dyDescent="0.25">
      <c r="A200" s="57">
        <v>10075000</v>
      </c>
      <c r="B200" s="142"/>
      <c r="C200" s="133"/>
      <c r="D200" s="133"/>
      <c r="E200" s="133"/>
      <c r="F200" s="133"/>
      <c r="G200" s="57">
        <f>G192</f>
        <v>0</v>
      </c>
      <c r="H200" s="64">
        <v>4.5600000000000003E-4</v>
      </c>
      <c r="I200" s="57" t="str">
        <f>IF(G192&lt;=A200," E90",IF(G192&lt;G200,(G192-G199)*H200,(G200-A200)*H200))</f>
        <v xml:space="preserve"> E90</v>
      </c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</row>
    <row r="201" spans="1:27" ht="15" hidden="1" x14ac:dyDescent="0.25">
      <c r="A201" s="59"/>
      <c r="B201" s="143"/>
      <c r="C201" s="59"/>
      <c r="D201" s="59"/>
      <c r="E201" s="59"/>
      <c r="F201" s="59"/>
      <c r="G201" s="59"/>
      <c r="H201" s="59"/>
      <c r="I201" s="59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</row>
    <row r="202" spans="1:27" ht="15" hidden="1" x14ac:dyDescent="0.25">
      <c r="A202" s="65" t="s">
        <v>13</v>
      </c>
      <c r="B202" s="66"/>
      <c r="C202" s="66"/>
      <c r="D202" s="66"/>
      <c r="E202" s="66"/>
      <c r="F202" s="66"/>
      <c r="G202" s="59"/>
      <c r="H202" s="59"/>
      <c r="I202" s="67">
        <f>SUM(J193:J200)</f>
        <v>0</v>
      </c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</row>
    <row r="203" spans="1:27" hidden="1" x14ac:dyDescent="0.2">
      <c r="A203" s="7"/>
      <c r="B203" s="12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</row>
    <row r="204" spans="1:27" hidden="1" x14ac:dyDescent="0.2">
      <c r="A204" s="7"/>
      <c r="B204" s="12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</row>
    <row r="205" spans="1:27" ht="15" hidden="1" x14ac:dyDescent="0.25">
      <c r="A205" s="56" t="s">
        <v>47</v>
      </c>
      <c r="B205" s="140"/>
      <c r="C205" s="131"/>
      <c r="D205" s="131"/>
      <c r="E205" s="131"/>
      <c r="F205" s="131"/>
      <c r="G205" s="57">
        <f>G51</f>
        <v>0</v>
      </c>
      <c r="H205" s="58"/>
      <c r="I205" s="59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</row>
    <row r="206" spans="1:27" ht="15" hidden="1" x14ac:dyDescent="0.25">
      <c r="A206" s="60">
        <v>0</v>
      </c>
      <c r="B206" s="141"/>
      <c r="C206" s="132"/>
      <c r="D206" s="132"/>
      <c r="E206" s="132"/>
      <c r="F206" s="132"/>
      <c r="G206" s="60">
        <v>7500</v>
      </c>
      <c r="H206" s="62">
        <v>1.7100000000000001E-2</v>
      </c>
      <c r="I206" s="63"/>
      <c r="J206" s="60">
        <f>IF(G205&lt;G206,G205*H206,G206*H206)</f>
        <v>0</v>
      </c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</row>
    <row r="207" spans="1:27" ht="15" hidden="1" x14ac:dyDescent="0.25">
      <c r="A207" s="60">
        <v>7500</v>
      </c>
      <c r="B207" s="141"/>
      <c r="C207" s="132"/>
      <c r="D207" s="132"/>
      <c r="E207" s="132"/>
      <c r="F207" s="132"/>
      <c r="G207" s="60">
        <v>17500</v>
      </c>
      <c r="H207" s="62">
        <v>1.3679999999999999E-2</v>
      </c>
      <c r="I207" s="63"/>
      <c r="J207" s="61" t="str">
        <f>IF(G205&lt;=A207," ",IF(G205&lt;G207,(G205-G206)*H207,(G207-A207)*H207))</f>
        <v xml:space="preserve"> </v>
      </c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</row>
    <row r="208" spans="1:27" ht="15" hidden="1" x14ac:dyDescent="0.25">
      <c r="A208" s="60">
        <v>17500</v>
      </c>
      <c r="B208" s="141"/>
      <c r="C208" s="132"/>
      <c r="D208" s="132"/>
      <c r="E208" s="132"/>
      <c r="F208" s="132"/>
      <c r="G208" s="60">
        <v>30000</v>
      </c>
      <c r="H208" s="62">
        <v>9.1199999999999996E-3</v>
      </c>
      <c r="I208" s="63"/>
      <c r="J208" s="61" t="str">
        <f>IF(G205&lt;=A208," ",IF(G205&lt;G208,(G205-G207)*H208,(G208-A208)*H208))</f>
        <v xml:space="preserve"> </v>
      </c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</row>
    <row r="209" spans="1:27" ht="15" hidden="1" x14ac:dyDescent="0.25">
      <c r="A209" s="60">
        <v>30000</v>
      </c>
      <c r="B209" s="141"/>
      <c r="C209" s="132"/>
      <c r="D209" s="132"/>
      <c r="E209" s="132"/>
      <c r="F209" s="132"/>
      <c r="G209" s="60">
        <v>45495</v>
      </c>
      <c r="H209" s="62">
        <v>6.8399999999999997E-3</v>
      </c>
      <c r="I209" s="63"/>
      <c r="J209" s="61" t="str">
        <f>IF(G205&lt;=A209," ",IF(G205&lt;G209,(G205-G208)*H209,(G209-A209)*H209))</f>
        <v xml:space="preserve"> </v>
      </c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</row>
    <row r="210" spans="1:27" ht="15" hidden="1" x14ac:dyDescent="0.25">
      <c r="A210" s="60">
        <v>45495</v>
      </c>
      <c r="B210" s="141"/>
      <c r="C210" s="132"/>
      <c r="D210" s="132"/>
      <c r="E210" s="132"/>
      <c r="F210" s="132"/>
      <c r="G210" s="60">
        <v>64095</v>
      </c>
      <c r="H210" s="62">
        <v>4.5599999999999998E-3</v>
      </c>
      <c r="I210" s="63"/>
      <c r="J210" s="61" t="str">
        <f>IF(G205&lt;=A210," ",IF(G205&lt;G210,(G205-G209)*H210,(G210-A210)*H210))</f>
        <v xml:space="preserve"> </v>
      </c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</row>
    <row r="211" spans="1:27" ht="15" hidden="1" x14ac:dyDescent="0.25">
      <c r="A211" s="60">
        <v>64095</v>
      </c>
      <c r="B211" s="141"/>
      <c r="C211" s="132"/>
      <c r="D211" s="132"/>
      <c r="E211" s="132"/>
      <c r="F211" s="132"/>
      <c r="G211" s="60">
        <v>250095</v>
      </c>
      <c r="H211" s="62">
        <v>2.2799999999999999E-3</v>
      </c>
      <c r="I211" s="63"/>
      <c r="J211" s="61" t="str">
        <f>IF(G205&lt;=A211," ",IF(G205&lt;G211,(G205-G210)*H211,(G211-A211)*H211))</f>
        <v xml:space="preserve"> </v>
      </c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</row>
    <row r="212" spans="1:27" ht="15" hidden="1" x14ac:dyDescent="0.25">
      <c r="A212" s="60">
        <v>250095</v>
      </c>
      <c r="B212" s="141"/>
      <c r="C212" s="132"/>
      <c r="D212" s="132"/>
      <c r="E212" s="132"/>
      <c r="F212" s="132"/>
      <c r="G212" s="60">
        <f>$H$8</f>
        <v>0</v>
      </c>
      <c r="H212" s="64">
        <v>4.5600000000000003E-4</v>
      </c>
      <c r="I212" s="63"/>
      <c r="J212" s="61" t="str">
        <f>IF(G205&lt;=A212," ",IF(G205&lt;G212,(G205-G211)*H212,(G212-A212)*H212))</f>
        <v xml:space="preserve"> </v>
      </c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</row>
    <row r="213" spans="1:27" ht="15" hidden="1" x14ac:dyDescent="0.25">
      <c r="A213" s="57">
        <v>10075000</v>
      </c>
      <c r="B213" s="142"/>
      <c r="C213" s="133"/>
      <c r="D213" s="133"/>
      <c r="E213" s="133"/>
      <c r="F213" s="133"/>
      <c r="G213" s="57">
        <f>G205</f>
        <v>0</v>
      </c>
      <c r="H213" s="64">
        <v>4.5600000000000003E-4</v>
      </c>
      <c r="I213" s="57" t="str">
        <f>IF(G205&lt;=A213," E90",IF(G205&lt;G213,(G205-G212)*H213,(G213-A213)*H213))</f>
        <v xml:space="preserve"> E90</v>
      </c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</row>
    <row r="214" spans="1:27" ht="15" hidden="1" x14ac:dyDescent="0.25">
      <c r="A214" s="59"/>
      <c r="B214" s="143"/>
      <c r="C214" s="59"/>
      <c r="D214" s="59"/>
      <c r="E214" s="59"/>
      <c r="F214" s="59"/>
      <c r="G214" s="59"/>
      <c r="H214" s="59"/>
      <c r="I214" s="59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</row>
    <row r="215" spans="1:27" ht="15" hidden="1" x14ac:dyDescent="0.25">
      <c r="A215" s="65" t="s">
        <v>13</v>
      </c>
      <c r="B215" s="66"/>
      <c r="C215" s="66"/>
      <c r="D215" s="66"/>
      <c r="E215" s="66"/>
      <c r="F215" s="66"/>
      <c r="G215" s="59"/>
      <c r="H215" s="59"/>
      <c r="I215" s="67">
        <f>SUM(J206:J213)</f>
        <v>0</v>
      </c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</row>
    <row r="216" spans="1:27" hidden="1" x14ac:dyDescent="0.2">
      <c r="A216" s="7"/>
      <c r="B216" s="12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</row>
    <row r="217" spans="1:27" hidden="1" x14ac:dyDescent="0.2">
      <c r="A217" s="7"/>
      <c r="B217" s="12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</row>
    <row r="218" spans="1:27" ht="15" hidden="1" x14ac:dyDescent="0.25">
      <c r="A218" s="56" t="s">
        <v>47</v>
      </c>
      <c r="B218" s="140"/>
      <c r="C218" s="131"/>
      <c r="D218" s="131"/>
      <c r="E218" s="131"/>
      <c r="F218" s="131"/>
      <c r="G218" s="57">
        <f>G47</f>
        <v>0</v>
      </c>
      <c r="H218" s="58"/>
      <c r="I218" s="59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</row>
    <row r="219" spans="1:27" ht="15" hidden="1" x14ac:dyDescent="0.25">
      <c r="A219" s="60">
        <v>0</v>
      </c>
      <c r="B219" s="141"/>
      <c r="C219" s="132"/>
      <c r="D219" s="132"/>
      <c r="E219" s="132"/>
      <c r="F219" s="132"/>
      <c r="G219" s="60">
        <v>7500</v>
      </c>
      <c r="H219" s="62">
        <v>1.7100000000000001E-2</v>
      </c>
      <c r="I219" s="63"/>
      <c r="J219" s="60">
        <f>IF(G218&lt;G219,G218*H219,G219*H219)</f>
        <v>0</v>
      </c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</row>
    <row r="220" spans="1:27" ht="15" hidden="1" x14ac:dyDescent="0.25">
      <c r="A220" s="60">
        <v>7500</v>
      </c>
      <c r="B220" s="141"/>
      <c r="C220" s="132"/>
      <c r="D220" s="132"/>
      <c r="E220" s="132"/>
      <c r="F220" s="132"/>
      <c r="G220" s="60">
        <v>17500</v>
      </c>
      <c r="H220" s="62">
        <v>1.3679999999999999E-2</v>
      </c>
      <c r="I220" s="63"/>
      <c r="J220" s="61" t="str">
        <f>IF(G218&lt;=A220," ",IF(G218&lt;G220,(G218-G219)*H220,(G220-A220)*H220))</f>
        <v xml:space="preserve"> </v>
      </c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</row>
    <row r="221" spans="1:27" ht="15" hidden="1" x14ac:dyDescent="0.25">
      <c r="A221" s="60">
        <v>17500</v>
      </c>
      <c r="B221" s="141"/>
      <c r="C221" s="132"/>
      <c r="D221" s="132"/>
      <c r="E221" s="132"/>
      <c r="F221" s="132"/>
      <c r="G221" s="60">
        <v>30000</v>
      </c>
      <c r="H221" s="62">
        <v>9.1199999999999996E-3</v>
      </c>
      <c r="I221" s="63"/>
      <c r="J221" s="61" t="str">
        <f>IF(G218&lt;=A221," ",IF(G218&lt;G221,(G218-G220)*H221,(G221-A221)*H221))</f>
        <v xml:space="preserve"> </v>
      </c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</row>
    <row r="222" spans="1:27" ht="15" hidden="1" x14ac:dyDescent="0.25">
      <c r="A222" s="60">
        <v>30000</v>
      </c>
      <c r="B222" s="141"/>
      <c r="C222" s="132"/>
      <c r="D222" s="132"/>
      <c r="E222" s="132"/>
      <c r="F222" s="132"/>
      <c r="G222" s="60">
        <v>45495</v>
      </c>
      <c r="H222" s="62">
        <v>6.8399999999999997E-3</v>
      </c>
      <c r="I222" s="63"/>
      <c r="J222" s="61" t="str">
        <f>IF(G218&lt;=A222," ",IF(G218&lt;G222,(G218-G221)*H222,(G222-A222)*H222))</f>
        <v xml:space="preserve"> </v>
      </c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</row>
    <row r="223" spans="1:27" ht="15" hidden="1" x14ac:dyDescent="0.25">
      <c r="A223" s="60">
        <v>45495</v>
      </c>
      <c r="B223" s="141"/>
      <c r="C223" s="132"/>
      <c r="D223" s="132"/>
      <c r="E223" s="132"/>
      <c r="F223" s="132"/>
      <c r="G223" s="60">
        <v>64095</v>
      </c>
      <c r="H223" s="62">
        <v>4.5599999999999998E-3</v>
      </c>
      <c r="I223" s="63"/>
      <c r="J223" s="61" t="str">
        <f>IF(G218&lt;=A223," ",IF(G218&lt;G223,(G218-G222)*H223,(G223-A223)*H223))</f>
        <v xml:space="preserve"> </v>
      </c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</row>
    <row r="224" spans="1:27" ht="15" hidden="1" x14ac:dyDescent="0.25">
      <c r="A224" s="60">
        <v>64095</v>
      </c>
      <c r="B224" s="141"/>
      <c r="C224" s="132"/>
      <c r="D224" s="132"/>
      <c r="E224" s="132"/>
      <c r="F224" s="132"/>
      <c r="G224" s="60">
        <v>250095</v>
      </c>
      <c r="H224" s="62">
        <v>2.2799999999999999E-3</v>
      </c>
      <c r="I224" s="63"/>
      <c r="J224" s="61" t="str">
        <f>IF(G218&lt;=A224," ",IF(G218&lt;G224,(G218-G223)*H224,(G224-A224)*H224))</f>
        <v xml:space="preserve"> </v>
      </c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</row>
    <row r="225" spans="1:27" ht="15" hidden="1" x14ac:dyDescent="0.25">
      <c r="A225" s="60">
        <v>250095</v>
      </c>
      <c r="B225" s="141"/>
      <c r="C225" s="132"/>
      <c r="D225" s="132"/>
      <c r="E225" s="132"/>
      <c r="F225" s="132"/>
      <c r="G225" s="60">
        <f>$H$8</f>
        <v>0</v>
      </c>
      <c r="H225" s="64">
        <v>4.5600000000000003E-4</v>
      </c>
      <c r="I225" s="63"/>
      <c r="J225" s="61" t="str">
        <f>IF(G218&lt;=A225," ",IF(G218&lt;G225,(G218-G224)*H225,(G225-A225)*H225))</f>
        <v xml:space="preserve"> </v>
      </c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</row>
    <row r="226" spans="1:27" ht="15" hidden="1" x14ac:dyDescent="0.25">
      <c r="A226" s="57">
        <v>10075000</v>
      </c>
      <c r="B226" s="142"/>
      <c r="C226" s="133"/>
      <c r="D226" s="133"/>
      <c r="E226" s="133"/>
      <c r="F226" s="133"/>
      <c r="G226" s="57">
        <f>G218</f>
        <v>0</v>
      </c>
      <c r="H226" s="64">
        <v>4.5600000000000003E-4</v>
      </c>
      <c r="I226" s="57" t="str">
        <f>IF(G218&lt;=A226," E90",IF(G218&lt;G226,(G218-G225)*H226,(G226-A226)*H226))</f>
        <v xml:space="preserve"> E90</v>
      </c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</row>
    <row r="227" spans="1:27" ht="15" hidden="1" x14ac:dyDescent="0.25">
      <c r="A227" s="59"/>
      <c r="B227" s="143"/>
      <c r="C227" s="59"/>
      <c r="D227" s="59"/>
      <c r="E227" s="59"/>
      <c r="F227" s="59"/>
      <c r="G227" s="59"/>
      <c r="H227" s="59"/>
      <c r="I227" s="59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</row>
    <row r="228" spans="1:27" ht="15" hidden="1" x14ac:dyDescent="0.25">
      <c r="A228" s="65" t="s">
        <v>13</v>
      </c>
      <c r="B228" s="66"/>
      <c r="C228" s="66"/>
      <c r="D228" s="66"/>
      <c r="E228" s="66"/>
      <c r="F228" s="66"/>
      <c r="G228" s="59"/>
      <c r="H228" s="59"/>
      <c r="I228" s="67">
        <f>SUM(J219:J226)</f>
        <v>0</v>
      </c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</row>
    <row r="229" spans="1:27" hidden="1" x14ac:dyDescent="0.2">
      <c r="A229" s="7"/>
      <c r="B229" s="12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</row>
    <row r="230" spans="1:27" hidden="1" x14ac:dyDescent="0.2">
      <c r="A230" s="7"/>
      <c r="B230" s="12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</row>
    <row r="231" spans="1:27" hidden="1" x14ac:dyDescent="0.2">
      <c r="C231" s="20"/>
      <c r="D231" s="23"/>
      <c r="E231" s="23"/>
      <c r="F231" s="23"/>
      <c r="G231" s="20">
        <f>IF(C80=1,185,0)</f>
        <v>185</v>
      </c>
      <c r="H231" s="20">
        <f>IF(C80=2,335,0)</f>
        <v>0</v>
      </c>
      <c r="I231" s="20">
        <f>IF(C80&gt;2,(335+(C80-2)*200),0)</f>
        <v>0</v>
      </c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</row>
    <row r="232" spans="1:27" hidden="1" x14ac:dyDescent="0.2">
      <c r="C232" s="20"/>
      <c r="D232" s="23"/>
      <c r="E232" s="23"/>
      <c r="F232" s="23"/>
      <c r="G232" s="20"/>
      <c r="H232" s="20"/>
      <c r="I232" s="20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</row>
    <row r="233" spans="1:27" hidden="1" x14ac:dyDescent="0.2">
      <c r="C233" s="20"/>
      <c r="D233" s="23"/>
      <c r="E233" s="23"/>
      <c r="F233" s="23"/>
      <c r="G233" s="20">
        <f>SUM(G231:I231)</f>
        <v>185</v>
      </c>
      <c r="H233" s="20"/>
      <c r="I233" s="20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</row>
    <row r="234" spans="1:27" hidden="1" x14ac:dyDescent="0.2">
      <c r="C234" s="20"/>
      <c r="D234" s="23"/>
      <c r="E234" s="23"/>
      <c r="F234" s="23"/>
      <c r="G234" s="20"/>
      <c r="H234" s="20"/>
      <c r="I234" s="20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</row>
    <row r="235" spans="1:27" hidden="1" x14ac:dyDescent="0.2">
      <c r="C235" s="20"/>
      <c r="D235" s="23"/>
      <c r="E235" s="23"/>
      <c r="F235" s="23"/>
      <c r="G235" s="20"/>
      <c r="H235" s="20"/>
      <c r="I235" s="20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</row>
    <row r="236" spans="1:27" hidden="1" x14ac:dyDescent="0.2">
      <c r="C236" s="20"/>
      <c r="D236" s="23"/>
      <c r="E236" s="23"/>
      <c r="F236" s="23"/>
      <c r="G236" s="20"/>
      <c r="H236" s="20"/>
      <c r="I236" s="20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</row>
    <row r="237" spans="1:27" ht="15" hidden="1" x14ac:dyDescent="0.25">
      <c r="A237" s="96" t="s">
        <v>47</v>
      </c>
      <c r="B237" s="144"/>
      <c r="C237" s="134"/>
      <c r="D237" s="134"/>
      <c r="E237" s="134"/>
      <c r="F237" s="134"/>
      <c r="G237" s="97">
        <f>F78</f>
        <v>0</v>
      </c>
      <c r="H237" s="98"/>
      <c r="I237" s="36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</row>
    <row r="238" spans="1:27" ht="14.25" hidden="1" x14ac:dyDescent="0.2">
      <c r="A238" s="26" t="s">
        <v>11</v>
      </c>
      <c r="B238" s="138"/>
      <c r="C238" s="129"/>
      <c r="D238" s="129"/>
      <c r="E238" s="129"/>
      <c r="F238" s="129"/>
      <c r="G238" s="26" t="s">
        <v>11</v>
      </c>
      <c r="H238" s="27" t="s">
        <v>77</v>
      </c>
      <c r="I238" s="26" t="s">
        <v>78</v>
      </c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</row>
    <row r="239" spans="1:27" ht="15" hidden="1" x14ac:dyDescent="0.25">
      <c r="A239" s="97">
        <v>0</v>
      </c>
      <c r="B239" s="145"/>
      <c r="C239" s="135"/>
      <c r="D239" s="135"/>
      <c r="E239" s="135"/>
      <c r="F239" s="135"/>
      <c r="G239" s="97">
        <v>7500</v>
      </c>
      <c r="H239" s="31">
        <v>1.4250000000000001E-2</v>
      </c>
      <c r="I239" s="97">
        <f>IF(F78&lt;G239,F78*H239,G239*H239)</f>
        <v>0</v>
      </c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</row>
    <row r="240" spans="1:27" ht="15" hidden="1" x14ac:dyDescent="0.25">
      <c r="A240" s="97">
        <v>7500</v>
      </c>
      <c r="B240" s="145"/>
      <c r="C240" s="135"/>
      <c r="D240" s="135"/>
      <c r="E240" s="135"/>
      <c r="F240" s="135"/>
      <c r="G240" s="97">
        <v>17500</v>
      </c>
      <c r="H240" s="31">
        <v>1.14E-2</v>
      </c>
      <c r="I240" s="97" t="str">
        <f>IF(F78&lt;=A240," ",IF(F78&lt;G240,(F78-G239)*H240,(G240-A240)*H240))</f>
        <v xml:space="preserve"> </v>
      </c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</row>
    <row r="241" spans="1:27" ht="15" hidden="1" x14ac:dyDescent="0.25">
      <c r="A241" s="97">
        <v>17500</v>
      </c>
      <c r="B241" s="145"/>
      <c r="C241" s="135"/>
      <c r="D241" s="135"/>
      <c r="E241" s="135"/>
      <c r="F241" s="135"/>
      <c r="G241" s="97">
        <v>30000</v>
      </c>
      <c r="H241" s="31">
        <v>6.8399999999999997E-3</v>
      </c>
      <c r="I241" s="97" t="str">
        <f>IF(F78&lt;=A241," ",IF(F78&lt;G241,(F78-G240)*H241,(G241-A241)*H241))</f>
        <v xml:space="preserve"> </v>
      </c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</row>
    <row r="242" spans="1:27" ht="15" hidden="1" x14ac:dyDescent="0.25">
      <c r="A242" s="97">
        <v>30000</v>
      </c>
      <c r="B242" s="145"/>
      <c r="C242" s="135"/>
      <c r="D242" s="135"/>
      <c r="E242" s="135"/>
      <c r="F242" s="135"/>
      <c r="G242" s="97">
        <v>45495</v>
      </c>
      <c r="H242" s="31">
        <v>5.7000000000000002E-3</v>
      </c>
      <c r="I242" s="97" t="str">
        <f>IF(F78&lt;=A242," ",IF(F78&lt;G242,(F78-G241)*H242,(G242-A242)*H242))</f>
        <v xml:space="preserve"> </v>
      </c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</row>
    <row r="243" spans="1:27" ht="15" hidden="1" x14ac:dyDescent="0.25">
      <c r="A243" s="97">
        <v>45495</v>
      </c>
      <c r="B243" s="145"/>
      <c r="C243" s="135"/>
      <c r="D243" s="135"/>
      <c r="E243" s="135"/>
      <c r="F243" s="135"/>
      <c r="G243" s="97">
        <v>64095</v>
      </c>
      <c r="H243" s="31">
        <v>4.5599999999999998E-3</v>
      </c>
      <c r="I243" s="97" t="str">
        <f>IF(F78&lt;=A243," ",IF(F78&lt;G243,(F78-G242)*H243,(G243-A243)*H243))</f>
        <v xml:space="preserve"> </v>
      </c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</row>
    <row r="244" spans="1:27" ht="15" hidden="1" x14ac:dyDescent="0.25">
      <c r="A244" s="97">
        <v>64095</v>
      </c>
      <c r="B244" s="145"/>
      <c r="C244" s="135"/>
      <c r="D244" s="135"/>
      <c r="E244" s="135"/>
      <c r="F244" s="135"/>
      <c r="G244" s="97">
        <v>250095</v>
      </c>
      <c r="H244" s="31">
        <v>2.2799999999999999E-3</v>
      </c>
      <c r="I244" s="97" t="str">
        <f>IF(F78&lt;=A244," ",IF(F78&lt;G244,(F78-G243)*H244,(G244-A244)*H244))</f>
        <v xml:space="preserve"> </v>
      </c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</row>
    <row r="245" spans="1:27" ht="15" hidden="1" x14ac:dyDescent="0.25">
      <c r="A245" s="97">
        <v>250095</v>
      </c>
      <c r="B245" s="145"/>
      <c r="C245" s="135"/>
      <c r="D245" s="135"/>
      <c r="E245" s="135"/>
      <c r="F245" s="135"/>
      <c r="G245" s="97">
        <f>F78</f>
        <v>0</v>
      </c>
      <c r="H245" s="99">
        <v>4.5600000000000003E-4</v>
      </c>
      <c r="I245" s="97" t="str">
        <f>IF(F78&lt;=A245,"E90",IF(F78&lt;G245,(F78-G244)*H245,(G245-A245)*H245))</f>
        <v>E90</v>
      </c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</row>
    <row r="246" spans="1:27" ht="15" hidden="1" x14ac:dyDescent="0.25">
      <c r="A246" s="36"/>
      <c r="B246" s="34"/>
      <c r="C246" s="36"/>
      <c r="D246" s="36"/>
      <c r="E246" s="36"/>
      <c r="F246" s="36"/>
      <c r="G246" s="36"/>
      <c r="H246" s="36"/>
      <c r="I246" s="36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</row>
    <row r="247" spans="1:27" ht="15" hidden="1" x14ac:dyDescent="0.25">
      <c r="A247" s="26" t="s">
        <v>13</v>
      </c>
      <c r="B247" s="37"/>
      <c r="C247" s="37"/>
      <c r="D247" s="37"/>
      <c r="E247" s="37"/>
      <c r="F247" s="37"/>
      <c r="G247" s="36"/>
      <c r="H247" s="36" t="s">
        <v>79</v>
      </c>
      <c r="I247" s="100">
        <f>SUM(I239:I246)</f>
        <v>0</v>
      </c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</row>
    <row r="248" spans="1:27" hidden="1" x14ac:dyDescent="0.2">
      <c r="A248" s="7"/>
      <c r="B248" s="127"/>
      <c r="C248" s="7"/>
      <c r="D248" s="7"/>
      <c r="E248" s="7"/>
      <c r="F248" s="7"/>
      <c r="G248" s="7"/>
      <c r="H248" s="7" t="s">
        <v>80</v>
      </c>
      <c r="I248" s="101">
        <f>I247/4</f>
        <v>0</v>
      </c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</row>
    <row r="249" spans="1:27" hidden="1" x14ac:dyDescent="0.2">
      <c r="A249" s="7"/>
      <c r="B249" s="12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</row>
    <row r="250" spans="1:27" x14ac:dyDescent="0.2">
      <c r="A250" s="7"/>
      <c r="B250" s="12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</row>
    <row r="251" spans="1:27" x14ac:dyDescent="0.2">
      <c r="A251" s="7"/>
      <c r="B251" s="12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</row>
    <row r="252" spans="1:27" x14ac:dyDescent="0.2">
      <c r="A252" s="7"/>
      <c r="B252" s="12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</row>
    <row r="253" spans="1:27" x14ac:dyDescent="0.2">
      <c r="A253" s="7"/>
      <c r="B253" s="12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</row>
    <row r="254" spans="1:27" x14ac:dyDescent="0.2">
      <c r="A254" s="7"/>
      <c r="B254" s="12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</row>
    <row r="255" spans="1:27" x14ac:dyDescent="0.2">
      <c r="A255" s="7"/>
      <c r="B255" s="12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</row>
    <row r="256" spans="1:27" x14ac:dyDescent="0.2">
      <c r="A256" s="7"/>
      <c r="B256" s="12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</row>
    <row r="257" spans="1:27" x14ac:dyDescent="0.2">
      <c r="A257" s="7"/>
      <c r="B257" s="12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</row>
    <row r="258" spans="1:27" x14ac:dyDescent="0.2">
      <c r="A258" s="7"/>
      <c r="B258" s="12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</row>
    <row r="259" spans="1:27" x14ac:dyDescent="0.2">
      <c r="A259" s="7"/>
      <c r="B259" s="12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</row>
    <row r="260" spans="1:27" x14ac:dyDescent="0.2">
      <c r="A260" s="7"/>
      <c r="B260" s="12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</row>
    <row r="261" spans="1:27" x14ac:dyDescent="0.2">
      <c r="A261" s="7"/>
      <c r="B261" s="12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</row>
    <row r="262" spans="1:27" x14ac:dyDescent="0.2">
      <c r="A262" s="7"/>
      <c r="B262" s="12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</row>
    <row r="263" spans="1:27" x14ac:dyDescent="0.2">
      <c r="A263" s="7"/>
      <c r="B263" s="12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</row>
    <row r="264" spans="1:27" x14ac:dyDescent="0.2">
      <c r="A264" s="7"/>
      <c r="B264" s="12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</row>
    <row r="265" spans="1:27" x14ac:dyDescent="0.2">
      <c r="A265" s="7"/>
      <c r="B265" s="12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</row>
    <row r="266" spans="1:27" x14ac:dyDescent="0.2">
      <c r="A266" s="7"/>
      <c r="B266" s="12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</row>
    <row r="267" spans="1:27" x14ac:dyDescent="0.2">
      <c r="A267" s="7"/>
      <c r="B267" s="127"/>
      <c r="C267" s="7"/>
      <c r="D267" s="7"/>
      <c r="E267" s="7"/>
      <c r="F267" s="7"/>
      <c r="G267" s="7"/>
      <c r="H267" s="7"/>
      <c r="I267" s="7"/>
      <c r="J267" s="7"/>
      <c r="K267" s="7"/>
    </row>
  </sheetData>
  <sheetProtection algorithmName="SHA-512" hashValue="NcO3CjZtRPrMNenh/P8y1L4FekXQ3ZXjE7IjdM3X+g2+KRzMTYoT1vT2aIy21VNqN8BnpN8wEMDf3olPYFnMvQ==" saltValue="xcK34//GL8eAl2zjhSFwPg==" spinCount="100000" sheet="1" objects="1" scenarios="1"/>
  <phoneticPr fontId="0" type="noConversion"/>
  <dataValidations count="6">
    <dataValidation type="list" allowBlank="1" showInputMessage="1" showErrorMessage="1" sqref="C9:F9">
      <formula1>$J$155:$J$156</formula1>
    </dataValidation>
    <dataValidation type="list" allowBlank="1" showInputMessage="1" showErrorMessage="1" sqref="C11:F11">
      <formula1>$K$155:$K$156</formula1>
    </dataValidation>
    <dataValidation type="list" allowBlank="1" showInputMessage="1" showErrorMessage="1" sqref="C12:F12">
      <formula1>$L$155:$L$156</formula1>
    </dataValidation>
    <dataValidation type="list" allowBlank="1" showInputMessage="1" showErrorMessage="1" sqref="C13:F13">
      <formula1>$M$155:$M$156</formula1>
    </dataValidation>
    <dataValidation type="list" allowBlank="1" showInputMessage="1" showErrorMessage="1" sqref="F50">
      <formula1>$J$341:$J$342</formula1>
    </dataValidation>
    <dataValidation type="list" allowBlank="1" showInputMessage="1" showErrorMessage="1" sqref="F80">
      <formula1>$H$90:$H$91</formula1>
    </dataValidation>
  </dataValidations>
  <hyperlinks>
    <hyperlink ref="C98" r:id="rId1"/>
    <hyperlink ref="E98" r:id="rId2"/>
    <hyperlink ref="C96" r:id="rId3"/>
    <hyperlink ref="E96" r:id="rId4"/>
    <hyperlink ref="C100" r:id="rId5"/>
  </hyperlinks>
  <pageMargins left="0.75" right="0.75" top="1" bottom="1" header="0.5" footer="0.5"/>
  <pageSetup paperSize="9" scale="93" orientation="landscape" horizontalDpi="300" verticalDpi="300" r:id="rId6"/>
  <headerFooter alignWithMargins="0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VBIFTHMH</vt:lpstr>
      <vt:lpstr>VBIFTHMH!_1._Zegels_Minuut_Brevet</vt:lpstr>
      <vt:lpstr>VBIFTHMH!_2._Registratie_Minuut_Brevet</vt:lpstr>
      <vt:lpstr>VBIFTHMH!_3._Registratie_aanhangsel</vt:lpstr>
      <vt:lpstr>VBIFTHMH!Aard</vt:lpstr>
      <vt:lpstr>VBIFTHMH!Afdrukbereik</vt:lpstr>
      <vt:lpstr>VBIFTHMH!Datum</vt:lpstr>
      <vt:lpstr>VBIFTHMH!KOSTENFICHE</vt:lpstr>
      <vt:lpstr>VBIFTHMH!Naam</vt:lpstr>
      <vt:lpstr>VBIFTHMH!Rep.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2014-11-23T21:27:51Z</dcterms:modified>
</cp:coreProperties>
</file>