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PH" sheetId="1" r:id="rId1"/>
  </sheets>
  <definedNames>
    <definedName name="_1._Zegels_Minuut_Brevet" localSheetId="0">VBIWTVABREYNEPH!$A$19:$F$19</definedName>
    <definedName name="_1._Zegels_Minuut_Brevet">#REF!</definedName>
    <definedName name="_10._Tweede_getuigschrift" localSheetId="0">VBIWTVABREYNEPH!#REF!</definedName>
    <definedName name="_10._Tweede_getuigschrift">#REF!</definedName>
    <definedName name="_11._Kadaster_uittreksel" localSheetId="0">VBIWTVABREYNEPH!#REF!</definedName>
    <definedName name="_11._Kadaster_uittreksel">#REF!</definedName>
    <definedName name="_12._Getuigen" localSheetId="0">VBIWTVABREYNEPH!#REF!</definedName>
    <definedName name="_12._Getuigen">#REF!</definedName>
    <definedName name="_13._Allerlei_uitgaven" localSheetId="0">VBIWTVABREYNEPH!#REF!</definedName>
    <definedName name="_13._Allerlei_uitgaven">#REF!</definedName>
    <definedName name="_14." localSheetId="0">VBIWTVABREYNEPH!#REF!</definedName>
    <definedName name="_14.">#REF!</definedName>
    <definedName name="_15." localSheetId="0">VBIWTVABREYNEPH!#REF!</definedName>
    <definedName name="_15.">#REF!</definedName>
    <definedName name="_2._Registratie_Minuut_Brevet" localSheetId="0">VBIWTVABREYNEPH!$B$22:$G$22</definedName>
    <definedName name="_2._Registratie_Minuut_Brevet">#REF!</definedName>
    <definedName name="_3._Registratie_aanhangsel" localSheetId="0">VBIWTVABREYNEPH!$E$23:$G$23</definedName>
    <definedName name="_3._Registratie_aanhangsel">#REF!</definedName>
    <definedName name="_4.Zegels_afschrift_grosse" localSheetId="0">VBIWTVABREYNEPH!#REF!</definedName>
    <definedName name="_4.Zegels_afschrift_grosse">#REF!</definedName>
    <definedName name="_5._Hypotheek__inschr._overschr._doorh." localSheetId="0">VBIWTVABREYNEPH!#REF!</definedName>
    <definedName name="_5._Hypotheek__inschr._overschr._doorh.">#REF!</definedName>
    <definedName name="_6._Loon_pandbewaarder" localSheetId="0">VBIWTVABREYNEPH!#REF!</definedName>
    <definedName name="_6._Loon_pandbewaarder">#REF!</definedName>
    <definedName name="_7._Zegels__bord._aanh." localSheetId="0">VBIWTVABREYNEPH!#REF!</definedName>
    <definedName name="_7._Zegels__bord._aanh.">#REF!</definedName>
    <definedName name="_8._Opzoekingen" localSheetId="0">VBIWTVABREYNEPH!#REF!</definedName>
    <definedName name="_8._Opzoekingen">#REF!</definedName>
    <definedName name="_9._Hypothecair_getuigschrift" localSheetId="0">VBIWTVABREYNEPH!#REF!</definedName>
    <definedName name="_9._Hypothecair_getuigschrift">#REF!</definedName>
    <definedName name="Aard" localSheetId="0">VBIWTVABREYNEPH!$B$4:$F$4</definedName>
    <definedName name="Aard">#REF!</definedName>
    <definedName name="_xlnm.Print_Area" localSheetId="0">VBIWTVABREYNEPH!$A$1:$E$75</definedName>
    <definedName name="Datum" localSheetId="0">VBIWTVABREYNEPH!$B$4:$G$36</definedName>
    <definedName name="Datum">#REF!</definedName>
    <definedName name="gemeentelijke_info">#REF!</definedName>
    <definedName name="Kantoor_van_Notaris_J._SIMONART_te_Leuven" localSheetId="0">VBIWTVABREYNEPH!#REF!</definedName>
    <definedName name="Kantoor_van_Notaris_J._SIMONART_te_Leuven">#REF!</definedName>
    <definedName name="KOSTENFICHE" localSheetId="0">VBIWTVABREYNEPH!$A$1:$G$36</definedName>
    <definedName name="KOSTENFICHE">#REF!</definedName>
    <definedName name="Last_Row">IF(Values_Entered,Header_Row+Number_of_Payments,Header_Row)</definedName>
    <definedName name="Naam" localSheetId="0">VBIWTVABREYNEPH!#REF!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VBIWTVABREYNEPH!$F$4:$F$38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VBIWTVABREYNEPH!#REF!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VBIWTVABREYNEPH!$A$3:$G$36</definedName>
  </definedNames>
  <calcPr calcId="152511"/>
</workbook>
</file>

<file path=xl/calcChain.xml><?xml version="1.0" encoding="utf-8"?>
<calcChain xmlns="http://schemas.openxmlformats.org/spreadsheetml/2006/main">
  <c r="A87" i="1" l="1"/>
  <c r="B56" i="1" s="1"/>
  <c r="B10" i="1"/>
  <c r="F170" i="1" s="1"/>
  <c r="D21" i="1"/>
  <c r="D23" i="1"/>
  <c r="E36" i="1"/>
  <c r="C44" i="1"/>
  <c r="B55" i="1"/>
  <c r="C52" i="1"/>
  <c r="C60" i="1"/>
  <c r="C63" i="1"/>
  <c r="C66" i="1"/>
  <c r="C91" i="1"/>
  <c r="C92" i="1"/>
  <c r="E192" i="1" s="1"/>
  <c r="C93" i="1"/>
  <c r="F94" i="1" s="1"/>
  <c r="D93" i="1"/>
  <c r="F93" i="1"/>
  <c r="C94" i="1"/>
  <c r="D94" i="1"/>
  <c r="F95" i="1"/>
  <c r="F96" i="1"/>
  <c r="F97" i="1"/>
  <c r="F98" i="1"/>
  <c r="B151" i="1"/>
  <c r="C151" i="1"/>
  <c r="B152" i="1"/>
  <c r="C152" i="1"/>
  <c r="F185" i="1"/>
  <c r="F186" i="1"/>
  <c r="F187" i="1"/>
  <c r="F188" i="1"/>
  <c r="F189" i="1"/>
  <c r="F190" i="1"/>
  <c r="C191" i="1"/>
  <c r="F191" i="1"/>
  <c r="G201" i="1"/>
  <c r="C203" i="1"/>
  <c r="D203" i="1"/>
  <c r="C212" i="1"/>
  <c r="F213" i="1" s="1"/>
  <c r="C220" i="1"/>
  <c r="E220" i="1"/>
  <c r="F130" i="1"/>
  <c r="F131" i="1" l="1"/>
  <c r="C174" i="1"/>
  <c r="F135" i="1"/>
  <c r="F219" i="1"/>
  <c r="E38" i="1"/>
  <c r="F172" i="1"/>
  <c r="F136" i="1"/>
  <c r="F174" i="1"/>
  <c r="F218" i="1"/>
  <c r="F171" i="1"/>
  <c r="F168" i="1"/>
  <c r="F173" i="1"/>
  <c r="F169" i="1"/>
  <c r="F216" i="1"/>
  <c r="F133" i="1"/>
  <c r="E194" i="1"/>
  <c r="F134" i="1"/>
  <c r="F132" i="1"/>
  <c r="F100" i="1"/>
  <c r="D20" i="1" s="1"/>
  <c r="D180" i="1"/>
  <c r="C57" i="1" s="1"/>
  <c r="C206" i="1"/>
  <c r="F215" i="1"/>
  <c r="F214" i="1"/>
  <c r="F217" i="1"/>
  <c r="E222" i="1" l="1"/>
  <c r="F51" i="1" s="1"/>
  <c r="F138" i="1"/>
  <c r="F176" i="1"/>
  <c r="E19" i="1" s="1"/>
  <c r="A207" i="1"/>
  <c r="C68" i="1" s="1"/>
  <c r="F69" i="1" s="1"/>
  <c r="E26" i="1"/>
  <c r="F52" i="1" l="1"/>
  <c r="F72" i="1" s="1"/>
  <c r="F68" i="1"/>
  <c r="E27" i="1"/>
  <c r="E29" i="1" s="1"/>
  <c r="F70" i="1"/>
  <c r="F74" i="1" l="1"/>
</calcChain>
</file>

<file path=xl/sharedStrings.xml><?xml version="1.0" encoding="utf-8"?>
<sst xmlns="http://schemas.openxmlformats.org/spreadsheetml/2006/main" count="161" uniqueCount="111">
  <si>
    <t>Dossier</t>
  </si>
  <si>
    <t>Prijs</t>
  </si>
  <si>
    <t>------------------------------------------------------------------------------------------------</t>
  </si>
  <si>
    <t>Ereloon</t>
  </si>
  <si>
    <t>BTW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</si>
  <si>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</si>
  <si>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</si>
  <si>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</si>
  <si>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</si>
  <si>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</si>
  <si>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</si>
  <si>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</si>
  <si>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</si>
  <si>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</si>
  <si>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</si>
  <si>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</si>
  <si>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</si>
  <si>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</si>
  <si>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</si>
  <si>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</si>
  <si>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</si>
  <si>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</si>
  <si>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</si>
  <si>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</si>
  <si>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</si>
  <si>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</si>
  <si>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</si>
  <si>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</si>
  <si>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</si>
  <si>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</si>
  <si>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</si>
  <si>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</si>
  <si>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</si>
  <si>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</si>
  <si>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</si>
  <si>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</si>
  <si>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</si>
  <si>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</si>
  <si>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</si>
  <si>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</si>
  <si>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</si>
  <si>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</si>
  <si>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</si>
  <si>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</si>
  <si>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Donceel</t>
  </si>
  <si>
    <t>Genappe</t>
  </si>
  <si>
    <t>Perwez</t>
  </si>
  <si>
    <t>Profondeville</t>
  </si>
  <si>
    <t>Sainte-Ode</t>
  </si>
  <si>
    <t>Silly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</si>
  <si>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</si>
  <si>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</si>
  <si>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</si>
  <si>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</si>
  <si>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</si>
  <si>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</si>
  <si>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</si>
  <si>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</si>
  <si>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 53?</t>
  </si>
  <si>
    <t>Zone de pression immobilière?</t>
  </si>
  <si>
    <t xml:space="preserve">Crédit Soc. Wall. ou Fam. Nombr.? </t>
  </si>
  <si>
    <t>Crédit social pour au moins 50%?</t>
  </si>
  <si>
    <t>oui</t>
  </si>
  <si>
    <t>non</t>
  </si>
  <si>
    <t>Frais à charge de l'acquéreur</t>
  </si>
  <si>
    <t>Honoraire</t>
  </si>
  <si>
    <t>Enregistrement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</si>
  <si>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</si>
  <si>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</si>
  <si>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</si>
  <si>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</si>
  <si>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</si>
  <si>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</si>
  <si>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Frais à charge du vendeur</t>
  </si>
  <si>
    <t>Renseignements urbanistiques</t>
  </si>
  <si>
    <t>Commission agence immobilière</t>
  </si>
  <si>
    <t>Mesurage</t>
  </si>
  <si>
    <t>Total frais vendeur</t>
  </si>
  <si>
    <t>Total général vendeur:</t>
  </si>
  <si>
    <t>Total général acquéreur:</t>
  </si>
  <si>
    <t>ouilhay</t>
  </si>
  <si>
    <t>Orp-ouiuche</t>
  </si>
  <si>
    <t>P.A.</t>
  </si>
  <si>
    <t>Basis</t>
  </si>
  <si>
    <t>Base enregistrement</t>
  </si>
  <si>
    <t>Principal</t>
  </si>
  <si>
    <t>Accessoires</t>
  </si>
  <si>
    <t>Base</t>
  </si>
  <si>
    <t>Base honoraire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</si>
  <si>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</si>
  <si>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</si>
  <si>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</si>
  <si>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</si>
  <si>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</si>
  <si>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</si>
  <si>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</si>
  <si>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</si>
  <si>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</si>
  <si>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</si>
  <si>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Loon hypotheekbewaarder</t>
  </si>
  <si>
    <t>Berekening ereloon hypotheekbewaarder</t>
  </si>
  <si>
    <t xml:space="preserve">tot </t>
  </si>
  <si>
    <t>per</t>
  </si>
  <si>
    <t>supplementair</t>
  </si>
  <si>
    <t>PRÊT HYPOTHÉCAIRE</t>
  </si>
  <si>
    <t>Prêt tarif social?</t>
  </si>
  <si>
    <t>Bijlagen</t>
  </si>
  <si>
    <t>Diverse kosten</t>
  </si>
  <si>
    <t>VENTE BIEN IMMOBILIER AVEC TVA - WALLONIE + PRET HYPOTHECAIRE</t>
  </si>
  <si>
    <t>Inscription à combien de bureaux d'hypothèques?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</si>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</sst>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.00_ ;\-#,##0.00\ "/>
    <numFmt numFmtId="181" formatCode="#,##0&quot; Fr&quot;;\-#,##0&quot; Fr&quot;"/>
  </numFmts>
  <fonts count="19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b/>
      <sz val="14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CC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double">
        <color indexed="64"/>
      </right>
      <top/>
      <bottom/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7" fillId="0" borderId="0"/>
    <xf numFmtId="0" fontId="1" fillId="0" borderId="0"/>
    <xf numFmtId="0" fontId="17" fillId="0" borderId="0"/>
    <xf numFmtId="177" fontId="8" fillId="0" borderId="1">
      <protection locked="0"/>
    </xf>
    <xf numFmtId="0" fontId="18" fillId="0" borderId="22" applyNumberFormat="0" applyFill="0" applyAlignment="0" applyProtection="0"/>
  </cellStyleXfs>
  <cellXfs count="171">
    <xf numFmtId="0" fontId="0" fillId="0" borderId="0" xfId="0"/>
    <xf numFmtId="166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166" fontId="1" fillId="2" borderId="3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4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1" fillId="2" borderId="6" xfId="13" applyFill="1" applyBorder="1" applyAlignment="1" applyProtection="1">
      <alignment horizontal="left"/>
      <protection hidden="1"/>
    </xf>
    <xf numFmtId="166" fontId="1" fillId="2" borderId="4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7" xfId="13" applyNumberFormat="1" applyFont="1" applyFill="1" applyBorder="1" applyProtection="1">
      <protection hidden="1"/>
    </xf>
    <xf numFmtId="169" fontId="5" fillId="2" borderId="8" xfId="13" applyNumberFormat="1" applyFont="1" applyFill="1" applyBorder="1" applyAlignment="1" applyProtection="1">
      <alignment horizontal="center"/>
      <protection hidden="1"/>
    </xf>
    <xf numFmtId="0" fontId="5" fillId="2" borderId="8" xfId="13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168" fontId="6" fillId="2" borderId="8" xfId="13" applyNumberFormat="1" applyFont="1" applyFill="1" applyBorder="1" applyProtection="1">
      <protection hidden="1"/>
    </xf>
    <xf numFmtId="169" fontId="6" fillId="2" borderId="8" xfId="13" applyNumberFormat="1" applyFont="1" applyFill="1" applyBorder="1" applyProtection="1">
      <protection hidden="1"/>
    </xf>
    <xf numFmtId="170" fontId="6" fillId="2" borderId="8" xfId="13" applyNumberFormat="1" applyFont="1" applyFill="1" applyBorder="1" applyProtection="1">
      <protection hidden="1"/>
    </xf>
    <xf numFmtId="170" fontId="6" fillId="2" borderId="9" xfId="13" applyNumberFormat="1" applyFont="1" applyFill="1" applyBorder="1" applyProtection="1">
      <protection hidden="1"/>
    </xf>
    <xf numFmtId="0" fontId="6" fillId="2" borderId="10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1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1" xfId="13" applyFont="1" applyFill="1" applyBorder="1" applyProtection="1">
      <protection hidden="1"/>
    </xf>
    <xf numFmtId="168" fontId="5" fillId="2" borderId="8" xfId="13" applyNumberFormat="1" applyFont="1" applyFill="1" applyBorder="1" applyProtection="1"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2" fillId="4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1" fillId="5" borderId="12" xfId="13" applyFont="1" applyFill="1" applyBorder="1" applyProtection="1">
      <protection hidden="1"/>
    </xf>
    <xf numFmtId="0" fontId="1" fillId="6" borderId="12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5" fillId="2" borderId="0" xfId="0" applyFont="1" applyFill="1" applyProtection="1"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7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69" fontId="5" fillId="2" borderId="8" xfId="0" applyNumberFormat="1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168" fontId="6" fillId="2" borderId="8" xfId="0" applyNumberFormat="1" applyFont="1" applyFill="1" applyBorder="1" applyProtection="1">
      <protection hidden="1"/>
    </xf>
    <xf numFmtId="169" fontId="6" fillId="2" borderId="8" xfId="0" applyNumberFormat="1" applyFont="1" applyFill="1" applyBorder="1" applyProtection="1">
      <protection hidden="1"/>
    </xf>
    <xf numFmtId="170" fontId="6" fillId="2" borderId="8" xfId="0" applyNumberFormat="1" applyFont="1" applyFill="1" applyBorder="1" applyProtection="1">
      <protection hidden="1"/>
    </xf>
    <xf numFmtId="170" fontId="6" fillId="2" borderId="9" xfId="0" applyNumberFormat="1" applyFont="1" applyFill="1" applyBorder="1" applyProtection="1">
      <protection hidden="1"/>
    </xf>
    <xf numFmtId="0" fontId="6" fillId="2" borderId="10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11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69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11" xfId="0" applyFont="1" applyFill="1" applyBorder="1" applyProtection="1">
      <protection hidden="1"/>
    </xf>
    <xf numFmtId="168" fontId="5" fillId="2" borderId="8" xfId="0" applyNumberFormat="1" applyFont="1" applyFill="1" applyBorder="1" applyProtection="1">
      <protection hidden="1"/>
    </xf>
    <xf numFmtId="4" fontId="1" fillId="7" borderId="0" xfId="0" applyNumberFormat="1" applyFont="1" applyFill="1" applyProtection="1">
      <protection hidden="1"/>
    </xf>
    <xf numFmtId="0" fontId="0" fillId="7" borderId="0" xfId="0" applyFill="1" applyProtection="1">
      <protection hidden="1"/>
    </xf>
    <xf numFmtId="0" fontId="15" fillId="7" borderId="0" xfId="0" applyFont="1" applyFill="1" applyProtection="1">
      <protection hidden="1"/>
    </xf>
    <xf numFmtId="0" fontId="13" fillId="3" borderId="2" xfId="0" applyFont="1" applyFill="1" applyBorder="1" applyAlignment="1" applyProtection="1">
      <alignment horizontal="left"/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79" fontId="1" fillId="8" borderId="0" xfId="13" applyNumberFormat="1" applyFont="1" applyFill="1" applyBorder="1" applyAlignment="1" applyProtection="1">
      <alignment horizontal="right"/>
      <protection locked="0" hidden="1"/>
    </xf>
    <xf numFmtId="179" fontId="1" fillId="9" borderId="0" xfId="13" applyNumberFormat="1" applyFont="1" applyFill="1" applyBorder="1" applyAlignment="1" applyProtection="1">
      <alignment horizontal="center"/>
      <protection locked="0" hidden="1"/>
    </xf>
    <xf numFmtId="179" fontId="1" fillId="5" borderId="0" xfId="13" applyNumberFormat="1" applyFill="1" applyBorder="1" applyAlignment="1" applyProtection="1">
      <protection locked="0" hidden="1"/>
    </xf>
    <xf numFmtId="179" fontId="1" fillId="10" borderId="0" xfId="13" applyNumberFormat="1" applyFill="1" applyBorder="1" applyAlignment="1" applyProtection="1">
      <protection locked="0" hidden="1"/>
    </xf>
    <xf numFmtId="179" fontId="1" fillId="11" borderId="0" xfId="13" applyNumberFormat="1" applyFont="1" applyFill="1" applyBorder="1" applyAlignment="1" applyProtection="1">
      <alignment horizontal="right"/>
      <protection hidden="1"/>
    </xf>
    <xf numFmtId="0" fontId="0" fillId="12" borderId="0" xfId="0" applyFill="1" applyBorder="1" applyAlignment="1" applyProtection="1">
      <alignment horizontal="center"/>
      <protection locked="0" hidden="1"/>
    </xf>
    <xf numFmtId="0" fontId="1" fillId="12" borderId="0" xfId="13" applyFont="1" applyFill="1" applyBorder="1" applyAlignment="1" applyProtection="1">
      <alignment horizontal="center"/>
      <protection locked="0" hidden="1"/>
    </xf>
    <xf numFmtId="0" fontId="2" fillId="13" borderId="13" xfId="0" applyFont="1" applyFill="1" applyBorder="1" applyAlignment="1" applyProtection="1">
      <alignment horizontal="left"/>
      <protection hidden="1"/>
    </xf>
    <xf numFmtId="166" fontId="1" fillId="11" borderId="12" xfId="0" applyNumberFormat="1" applyFont="1" applyFill="1" applyBorder="1" applyAlignment="1" applyProtection="1">
      <alignment horizontal="left"/>
      <protection hidden="1"/>
    </xf>
    <xf numFmtId="0" fontId="11" fillId="2" borderId="0" xfId="0" applyFont="1" applyFill="1" applyBorder="1" applyAlignment="1" applyProtection="1">
      <alignment horizontal="left"/>
      <protection hidden="1"/>
    </xf>
    <xf numFmtId="0" fontId="1" fillId="11" borderId="12" xfId="0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4" borderId="0" xfId="13" applyNumberFormat="1" applyFill="1" applyBorder="1" applyAlignment="1" applyProtection="1">
      <alignment horizontal="right"/>
      <protection locked="0" hidden="1"/>
    </xf>
    <xf numFmtId="164" fontId="1" fillId="4" borderId="0" xfId="13" applyNumberFormat="1" applyFill="1" applyBorder="1" applyAlignment="1" applyProtection="1">
      <alignment horizontal="right"/>
      <protection locked="0"/>
    </xf>
    <xf numFmtId="164" fontId="11" fillId="4" borderId="0" xfId="0" applyNumberFormat="1" applyFont="1" applyFill="1" applyBorder="1" applyAlignment="1" applyProtection="1">
      <alignment horizontal="right"/>
      <protection locked="0"/>
    </xf>
    <xf numFmtId="179" fontId="1" fillId="11" borderId="12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79" fontId="1" fillId="5" borderId="12" xfId="13" applyNumberFormat="1" applyFill="1" applyBorder="1" applyAlignment="1" applyProtection="1">
      <alignment horizontal="right"/>
      <protection hidden="1"/>
    </xf>
    <xf numFmtId="179" fontId="1" fillId="13" borderId="13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Alignment="1" applyProtection="1">
      <alignment horizontal="right"/>
      <protection hidden="1"/>
    </xf>
    <xf numFmtId="179" fontId="1" fillId="6" borderId="12" xfId="13" applyNumberFormat="1" applyFill="1" applyBorder="1" applyAlignment="1" applyProtection="1">
      <alignment horizontal="right"/>
      <protection hidden="1"/>
    </xf>
    <xf numFmtId="179" fontId="1" fillId="14" borderId="13" xfId="13" applyNumberFormat="1" applyFill="1" applyBorder="1" applyAlignment="1" applyProtection="1">
      <alignment horizontal="right"/>
      <protection hidden="1"/>
    </xf>
    <xf numFmtId="0" fontId="1" fillId="13" borderId="12" xfId="0" applyFont="1" applyFill="1" applyBorder="1" applyAlignment="1" applyProtection="1">
      <alignment horizontal="left"/>
      <protection hidden="1"/>
    </xf>
    <xf numFmtId="0" fontId="2" fillId="14" borderId="13" xfId="0" applyFont="1" applyFill="1" applyBorder="1" applyAlignment="1" applyProtection="1">
      <alignment horizontal="left"/>
      <protection hidden="1"/>
    </xf>
    <xf numFmtId="0" fontId="1" fillId="3" borderId="2" xfId="13" applyNumberFormat="1" applyFill="1" applyBorder="1" applyAlignment="1" applyProtection="1">
      <protection hidden="1"/>
    </xf>
    <xf numFmtId="0" fontId="1" fillId="0" borderId="0" xfId="13" applyProtection="1">
      <protection hidden="1"/>
    </xf>
    <xf numFmtId="164" fontId="1" fillId="0" borderId="0" xfId="13" applyNumberFormat="1" applyProtection="1">
      <protection hidden="1"/>
    </xf>
    <xf numFmtId="170" fontId="6" fillId="15" borderId="0" xfId="13" applyNumberFormat="1" applyFont="1" applyFill="1" applyBorder="1" applyProtection="1">
      <protection hidden="1"/>
    </xf>
    <xf numFmtId="179" fontId="6" fillId="15" borderId="0" xfId="13" applyNumberFormat="1" applyFont="1" applyFill="1" applyBorder="1" applyProtection="1">
      <protection hidden="1"/>
    </xf>
    <xf numFmtId="167" fontId="1" fillId="0" borderId="0" xfId="13" applyNumberFormat="1" applyProtection="1">
      <protection hidden="1"/>
    </xf>
    <xf numFmtId="181" fontId="6" fillId="15" borderId="0" xfId="13" applyNumberFormat="1" applyFont="1" applyFill="1" applyBorder="1" applyProtection="1">
      <protection hidden="1"/>
    </xf>
    <xf numFmtId="0" fontId="1" fillId="7" borderId="0" xfId="13" applyFill="1" applyBorder="1" applyProtection="1">
      <protection hidden="1"/>
    </xf>
    <xf numFmtId="0" fontId="6" fillId="15" borderId="0" xfId="13" applyFont="1" applyFill="1" applyBorder="1" applyProtection="1">
      <protection hidden="1"/>
    </xf>
    <xf numFmtId="168" fontId="5" fillId="15" borderId="0" xfId="13" applyNumberFormat="1" applyFont="1" applyFill="1" applyBorder="1" applyProtection="1">
      <protection hidden="1"/>
    </xf>
    <xf numFmtId="0" fontId="16" fillId="3" borderId="0" xfId="0" applyFont="1" applyFill="1" applyBorder="1" applyAlignment="1" applyProtection="1">
      <alignment horizontal="left"/>
      <protection hidden="1"/>
    </xf>
    <xf numFmtId="167" fontId="2" fillId="2" borderId="0" xfId="0" applyNumberFormat="1" applyFon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hidden="1"/>
    </xf>
    <xf numFmtId="167" fontId="2" fillId="4" borderId="0" xfId="0" applyNumberFormat="1" applyFont="1" applyFill="1" applyBorder="1" applyAlignment="1" applyProtection="1">
      <protection hidden="1"/>
    </xf>
    <xf numFmtId="166" fontId="0" fillId="4" borderId="0" xfId="0" applyNumberFormat="1" applyFill="1" applyBorder="1" applyAlignment="1" applyProtection="1">
      <protection hidden="1"/>
    </xf>
    <xf numFmtId="167" fontId="0" fillId="4" borderId="0" xfId="0" applyNumberFormat="1" applyFill="1" applyBorder="1" applyAlignment="1" applyProtection="1">
      <protection hidden="1"/>
    </xf>
    <xf numFmtId="179" fontId="0" fillId="4" borderId="0" xfId="0" applyNumberFormat="1" applyFill="1" applyBorder="1" applyAlignment="1" applyProtection="1">
      <alignment horizontal="left"/>
      <protection hidden="1"/>
    </xf>
    <xf numFmtId="165" fontId="2" fillId="4" borderId="0" xfId="0" applyNumberFormat="1" applyFont="1" applyFill="1" applyBorder="1" applyAlignment="1" applyProtection="1">
      <alignment horizontal="left"/>
      <protection hidden="1"/>
    </xf>
    <xf numFmtId="0" fontId="1" fillId="4" borderId="0" xfId="13" applyFill="1" applyProtection="1">
      <protection hidden="1"/>
    </xf>
    <xf numFmtId="165" fontId="0" fillId="4" borderId="0" xfId="0" applyNumberFormat="1" applyFill="1" applyBorder="1" applyAlignment="1" applyProtection="1">
      <alignment horizontal="left"/>
      <protection hidden="1"/>
    </xf>
    <xf numFmtId="165" fontId="11" fillId="2" borderId="0" xfId="0" applyNumberFormat="1" applyFont="1" applyFill="1" applyBorder="1" applyAlignment="1" applyProtection="1">
      <alignment horizontal="left"/>
      <protection hidden="1"/>
    </xf>
    <xf numFmtId="166" fontId="11" fillId="2" borderId="0" xfId="0" applyNumberFormat="1" applyFont="1" applyFill="1" applyBorder="1" applyAlignment="1" applyProtection="1">
      <protection hidden="1"/>
    </xf>
    <xf numFmtId="167" fontId="11" fillId="2" borderId="0" xfId="0" applyNumberFormat="1" applyFont="1" applyFill="1" applyBorder="1" applyAlignment="1" applyProtection="1">
      <alignment horizontal="right"/>
      <protection hidden="1"/>
    </xf>
    <xf numFmtId="179" fontId="11" fillId="2" borderId="0" xfId="0" applyNumberFormat="1" applyFont="1" applyFill="1" applyBorder="1" applyAlignment="1" applyProtection="1">
      <alignment horizontal="right"/>
      <protection hidden="1"/>
    </xf>
    <xf numFmtId="165" fontId="11" fillId="16" borderId="0" xfId="0" applyNumberFormat="1" applyFont="1" applyFill="1" applyBorder="1" applyAlignment="1" applyProtection="1">
      <alignment horizontal="left"/>
      <protection hidden="1"/>
    </xf>
    <xf numFmtId="0" fontId="1" fillId="17" borderId="0" xfId="13" applyFont="1" applyFill="1" applyBorder="1" applyAlignment="1" applyProtection="1">
      <alignment horizontal="center"/>
      <protection locked="0" hidden="1"/>
    </xf>
    <xf numFmtId="179" fontId="11" fillId="17" borderId="0" xfId="0" applyNumberFormat="1" applyFont="1" applyFill="1" applyBorder="1" applyAlignment="1" applyProtection="1">
      <alignment horizontal="right"/>
      <protection hidden="1"/>
    </xf>
    <xf numFmtId="165" fontId="1" fillId="17" borderId="0" xfId="0" applyNumberFormat="1" applyFont="1" applyFill="1" applyBorder="1" applyAlignment="1" applyProtection="1">
      <protection hidden="1"/>
    </xf>
    <xf numFmtId="165" fontId="1" fillId="2" borderId="0" xfId="0" applyNumberFormat="1" applyFont="1" applyFill="1" applyBorder="1" applyAlignment="1" applyProtection="1">
      <protection hidden="1"/>
    </xf>
    <xf numFmtId="165" fontId="1" fillId="18" borderId="0" xfId="0" applyNumberFormat="1" applyFont="1" applyFill="1" applyBorder="1" applyAlignment="1" applyProtection="1">
      <protection hidden="1"/>
    </xf>
    <xf numFmtId="165" fontId="1" fillId="19" borderId="0" xfId="0" applyNumberFormat="1" applyFont="1" applyFill="1" applyBorder="1" applyAlignment="1" applyProtection="1">
      <protection hidden="1"/>
    </xf>
    <xf numFmtId="0" fontId="1" fillId="2" borderId="14" xfId="0" applyFont="1" applyFill="1" applyBorder="1" applyAlignment="1" applyProtection="1">
      <alignment horizontal="left"/>
      <protection hidden="1"/>
    </xf>
    <xf numFmtId="0" fontId="11" fillId="2" borderId="15" xfId="0" applyFont="1" applyFill="1" applyBorder="1" applyAlignment="1" applyProtection="1">
      <alignment horizontal="left"/>
      <protection hidden="1"/>
    </xf>
    <xf numFmtId="167" fontId="2" fillId="2" borderId="15" xfId="0" applyNumberFormat="1" applyFont="1" applyFill="1" applyBorder="1" applyAlignment="1" applyProtection="1">
      <protection hidden="1"/>
    </xf>
    <xf numFmtId="166" fontId="11" fillId="2" borderId="15" xfId="0" applyNumberFormat="1" applyFont="1" applyFill="1" applyBorder="1" applyAlignment="1" applyProtection="1">
      <protection hidden="1"/>
    </xf>
    <xf numFmtId="167" fontId="11" fillId="2" borderId="16" xfId="0" applyNumberFormat="1" applyFont="1" applyFill="1" applyBorder="1" applyAlignment="1" applyProtection="1">
      <protection hidden="1"/>
    </xf>
    <xf numFmtId="0" fontId="1" fillId="2" borderId="17" xfId="0" applyFont="1" applyFill="1" applyBorder="1" applyAlignment="1" applyProtection="1">
      <alignment horizontal="left"/>
      <protection hidden="1"/>
    </xf>
    <xf numFmtId="167" fontId="11" fillId="2" borderId="18" xfId="0" applyNumberFormat="1" applyFont="1" applyFill="1" applyBorder="1" applyAlignment="1" applyProtection="1">
      <protection hidden="1"/>
    </xf>
    <xf numFmtId="0" fontId="1" fillId="20" borderId="17" xfId="0" applyFont="1" applyFill="1" applyBorder="1" applyAlignment="1" applyProtection="1">
      <alignment horizontal="left"/>
      <protection hidden="1"/>
    </xf>
    <xf numFmtId="165" fontId="1" fillId="17" borderId="18" xfId="0" applyNumberFormat="1" applyFont="1" applyFill="1" applyBorder="1" applyProtection="1">
      <protection hidden="1"/>
    </xf>
    <xf numFmtId="165" fontId="1" fillId="18" borderId="18" xfId="0" applyNumberFormat="1" applyFont="1" applyFill="1" applyBorder="1" applyProtection="1">
      <protection hidden="1"/>
    </xf>
    <xf numFmtId="165" fontId="1" fillId="2" borderId="18" xfId="0" applyNumberFormat="1" applyFont="1" applyFill="1" applyBorder="1" applyProtection="1">
      <protection hidden="1"/>
    </xf>
    <xf numFmtId="0" fontId="2" fillId="2" borderId="17" xfId="0" applyFont="1" applyFill="1" applyBorder="1" applyAlignment="1" applyProtection="1">
      <alignment horizontal="left"/>
      <protection hidden="1"/>
    </xf>
    <xf numFmtId="165" fontId="1" fillId="19" borderId="18" xfId="0" applyNumberFormat="1" applyFont="1" applyFill="1" applyBorder="1" applyProtection="1">
      <protection hidden="1"/>
    </xf>
    <xf numFmtId="165" fontId="1" fillId="21" borderId="18" xfId="0" applyNumberFormat="1" applyFont="1" applyFill="1" applyBorder="1" applyProtection="1">
      <protection hidden="1"/>
    </xf>
    <xf numFmtId="165" fontId="1" fillId="22" borderId="18" xfId="0" applyNumberFormat="1" applyFont="1" applyFill="1" applyBorder="1" applyProtection="1">
      <protection hidden="1"/>
    </xf>
    <xf numFmtId="165" fontId="2" fillId="2" borderId="18" xfId="0" applyNumberFormat="1" applyFont="1" applyFill="1" applyBorder="1" applyProtection="1">
      <protection hidden="1"/>
    </xf>
    <xf numFmtId="0" fontId="2" fillId="2" borderId="19" xfId="0" applyFont="1" applyFill="1" applyBorder="1" applyAlignment="1" applyProtection="1">
      <alignment horizontal="left"/>
      <protection hidden="1"/>
    </xf>
    <xf numFmtId="0" fontId="11" fillId="2" borderId="20" xfId="0" applyFont="1" applyFill="1" applyBorder="1" applyAlignment="1" applyProtection="1">
      <alignment horizontal="left"/>
      <protection hidden="1"/>
    </xf>
    <xf numFmtId="167" fontId="2" fillId="2" borderId="20" xfId="0" applyNumberFormat="1" applyFont="1" applyFill="1" applyBorder="1" applyAlignment="1" applyProtection="1">
      <protection hidden="1"/>
    </xf>
    <xf numFmtId="166" fontId="11" fillId="2" borderId="20" xfId="0" applyNumberFormat="1" applyFont="1" applyFill="1" applyBorder="1" applyAlignment="1" applyProtection="1">
      <protection hidden="1"/>
    </xf>
    <xf numFmtId="167" fontId="11" fillId="2" borderId="20" xfId="0" applyNumberFormat="1" applyFont="1" applyFill="1" applyBorder="1" applyAlignment="1" applyProtection="1">
      <alignment horizontal="right"/>
      <protection hidden="1"/>
    </xf>
    <xf numFmtId="165" fontId="2" fillId="23" borderId="21" xfId="0" applyNumberFormat="1" applyFont="1" applyFill="1" applyBorder="1" applyProtection="1">
      <protection hidden="1"/>
    </xf>
    <xf numFmtId="165" fontId="11" fillId="17" borderId="15" xfId="0" applyNumberFormat="1" applyFont="1" applyFill="1" applyBorder="1" applyAlignment="1" applyProtection="1">
      <alignment horizontal="left"/>
      <protection locked="0" hidden="1"/>
    </xf>
    <xf numFmtId="165" fontId="11" fillId="17" borderId="0" xfId="0" applyNumberFormat="1" applyFont="1" applyFill="1" applyBorder="1" applyAlignment="1" applyProtection="1">
      <alignment horizontal="left"/>
      <protection locked="0" hidden="1"/>
    </xf>
    <xf numFmtId="165" fontId="11" fillId="24" borderId="0" xfId="0" applyNumberFormat="1" applyFont="1" applyFill="1" applyBorder="1" applyAlignment="1" applyProtection="1">
      <alignment horizontal="left"/>
      <protection locked="0" hidden="1"/>
    </xf>
    <xf numFmtId="0" fontId="11" fillId="17" borderId="0" xfId="0" applyFont="1" applyFill="1" applyBorder="1" applyAlignment="1" applyProtection="1">
      <alignment horizontal="center"/>
      <protection locked="0" hidden="1"/>
    </xf>
    <xf numFmtId="165" fontId="1" fillId="25" borderId="0" xfId="0" applyNumberFormat="1" applyFont="1" applyFill="1" applyBorder="1" applyAlignment="1" applyProtection="1">
      <protection locked="0" hidden="1"/>
    </xf>
    <xf numFmtId="0" fontId="1" fillId="2" borderId="23" xfId="13" applyFill="1" applyBorder="1"/>
    <xf numFmtId="164" fontId="1" fillId="20" borderId="0" xfId="13" applyNumberFormat="1" applyFill="1" applyBorder="1" applyAlignment="1" applyProtection="1">
      <alignment horizontal="righ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PHAK.xlsx" TargetMode="External"/><Relationship Id="rId2" Type="http://schemas.openxmlformats.org/officeDocument/2006/relationships/hyperlink" Target="VBIWTVABREYNEPHAV.xlsx" TargetMode="External"/><Relationship Id="rId1" Type="http://schemas.openxmlformats.org/officeDocument/2006/relationships/hyperlink" Target="VBIWTVABREYNEP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P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2"/>
  <sheetViews>
    <sheetView tabSelected="1" zoomScaleNormal="100" workbookViewId="0">
      <selection activeCell="B3" sqref="B3"/>
    </sheetView>
  </sheetViews>
  <sheetFormatPr defaultRowHeight="12.75"/>
  <cols>
    <col min="1" max="1" width="46.28515625" style="2" customWidth="1"/>
    <col min="2" max="2" width="16.85546875" style="2" customWidth="1"/>
    <col min="3" max="3" width="18.28515625" style="2" customWidth="1"/>
    <col min="4" max="4" width="15.42578125" style="2" customWidth="1"/>
    <col min="5" max="5" width="16.7109375" style="2" customWidth="1"/>
    <col min="6" max="6" width="15" style="2" customWidth="1"/>
    <col min="7" max="7" width="15.85546875" style="2" bestFit="1" customWidth="1"/>
    <col min="8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83" t="s">
        <v>108</v>
      </c>
      <c r="B1" s="51"/>
      <c r="C1" s="51"/>
      <c r="D1" s="51"/>
      <c r="E1" s="109"/>
      <c r="F1" s="1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52"/>
      <c r="C3" s="3"/>
      <c r="D3" s="3"/>
      <c r="E3" s="4"/>
      <c r="F3" s="4"/>
      <c r="G3" s="5"/>
    </row>
    <row r="4" spans="1:7">
      <c r="A4" s="84" t="s">
        <v>50</v>
      </c>
      <c r="B4" s="53"/>
      <c r="C4" s="6"/>
      <c r="E4" s="7"/>
      <c r="F4" s="4"/>
    </row>
    <row r="5" spans="1:7">
      <c r="A5" s="3" t="s">
        <v>51</v>
      </c>
      <c r="B5" s="85">
        <v>0</v>
      </c>
      <c r="C5" s="6"/>
      <c r="E5" s="7"/>
      <c r="F5" s="4"/>
    </row>
    <row r="6" spans="1:7">
      <c r="A6" s="3" t="s">
        <v>52</v>
      </c>
      <c r="B6" s="85">
        <v>0</v>
      </c>
      <c r="C6" s="6"/>
      <c r="E6" s="7"/>
      <c r="F6" s="4"/>
    </row>
    <row r="7" spans="1:7">
      <c r="A7" s="3" t="s">
        <v>53</v>
      </c>
      <c r="B7" s="86" t="s">
        <v>62</v>
      </c>
      <c r="C7" s="6"/>
      <c r="E7" s="7"/>
      <c r="F7" s="4"/>
    </row>
    <row r="8" spans="1:7">
      <c r="A8" s="11" t="s">
        <v>54</v>
      </c>
      <c r="B8" s="87">
        <v>0</v>
      </c>
      <c r="C8" s="6"/>
      <c r="D8" s="4"/>
      <c r="E8" s="8"/>
      <c r="F8" s="4"/>
    </row>
    <row r="9" spans="1:7">
      <c r="A9" s="11" t="s">
        <v>55</v>
      </c>
      <c r="B9" s="88">
        <v>0</v>
      </c>
      <c r="C9" s="6"/>
      <c r="D9" s="4"/>
      <c r="E9" s="8"/>
      <c r="F9" s="4"/>
    </row>
    <row r="10" spans="1:7">
      <c r="A10" s="9" t="s">
        <v>56</v>
      </c>
      <c r="B10" s="89">
        <f>IF(B8&lt;B6,B6/2+B5+B9,B6+B5+B9)</f>
        <v>0</v>
      </c>
      <c r="C10" s="10"/>
      <c r="D10" s="4"/>
      <c r="E10" s="8"/>
      <c r="F10" s="4"/>
    </row>
    <row r="11" spans="1:7" ht="15">
      <c r="A11" s="16" t="s">
        <v>57</v>
      </c>
      <c r="B11" s="87">
        <v>0</v>
      </c>
      <c r="C11" s="6"/>
      <c r="D11" s="4"/>
      <c r="E11" s="8"/>
      <c r="F11" s="4"/>
    </row>
    <row r="12" spans="1:7" ht="15">
      <c r="A12" s="15" t="s">
        <v>58</v>
      </c>
      <c r="B12" s="90" t="s">
        <v>63</v>
      </c>
      <c r="D12" s="4"/>
      <c r="E12" s="8"/>
      <c r="F12" s="4"/>
    </row>
    <row r="13" spans="1:7" ht="15">
      <c r="A13" s="15" t="s">
        <v>59</v>
      </c>
      <c r="B13" s="90" t="s">
        <v>82</v>
      </c>
      <c r="E13" s="7"/>
      <c r="F13" s="4"/>
    </row>
    <row r="14" spans="1:7" ht="15">
      <c r="A14" s="15" t="s">
        <v>60</v>
      </c>
      <c r="B14" s="90" t="s">
        <v>63</v>
      </c>
      <c r="D14" s="6"/>
      <c r="E14" s="11"/>
      <c r="F14" s="4"/>
      <c r="G14" s="8"/>
    </row>
    <row r="15" spans="1:7">
      <c r="A15" s="10" t="s">
        <v>61</v>
      </c>
      <c r="B15" s="91" t="s">
        <v>63</v>
      </c>
      <c r="E15" s="7"/>
      <c r="F15" s="4"/>
      <c r="G15" s="4"/>
    </row>
    <row r="16" spans="1:7" ht="13.5" thickBot="1">
      <c r="A16" s="12" t="s">
        <v>2</v>
      </c>
      <c r="B16" s="3"/>
      <c r="C16" s="3"/>
      <c r="D16" s="3"/>
      <c r="E16" s="4"/>
      <c r="F16" s="4"/>
      <c r="G16" s="4"/>
    </row>
    <row r="17" spans="1:7" ht="14.25" thickTop="1" thickBot="1">
      <c r="A17" s="92" t="s">
        <v>64</v>
      </c>
      <c r="B17" s="13"/>
      <c r="C17" s="3"/>
      <c r="D17" s="3"/>
      <c r="E17" s="4"/>
      <c r="F17" s="4"/>
      <c r="G17" s="4"/>
    </row>
    <row r="18" spans="1:7" ht="14.25" thickTop="1" thickBot="1">
      <c r="A18" s="3"/>
      <c r="B18" s="3"/>
      <c r="C18" s="3"/>
      <c r="D18" s="3"/>
      <c r="E18" s="4"/>
      <c r="F18" s="4"/>
      <c r="G18" s="4"/>
    </row>
    <row r="19" spans="1:7" ht="14.25" thickTop="1" thickBot="1">
      <c r="A19" s="93" t="s">
        <v>65</v>
      </c>
      <c r="B19" s="3"/>
      <c r="C19" s="3"/>
      <c r="E19" s="100">
        <f>IF(AND(B12="oui",B15="oui"),F176-250,F176)</f>
        <v>0</v>
      </c>
      <c r="F19" s="7"/>
    </row>
    <row r="20" spans="1:7" ht="13.5" thickTop="1">
      <c r="A20" s="15" t="s">
        <v>66</v>
      </c>
      <c r="B20" s="6"/>
      <c r="C20" s="6"/>
      <c r="D20" s="96">
        <f>IF(B7="oui",0,F100)</f>
        <v>0</v>
      </c>
      <c r="E20" s="101"/>
      <c r="F20" s="11"/>
      <c r="G20" s="8"/>
    </row>
    <row r="21" spans="1:7">
      <c r="A21" s="10" t="s">
        <v>67</v>
      </c>
      <c r="B21" s="10"/>
      <c r="C21" s="6"/>
      <c r="D21" s="96">
        <f>IF(B7="oui",(B5+B8)*21%,B8*21%)</f>
        <v>0</v>
      </c>
      <c r="E21" s="101"/>
      <c r="F21" s="11"/>
      <c r="G21" s="8"/>
    </row>
    <row r="22" spans="1:7">
      <c r="A22" s="94" t="s">
        <v>68</v>
      </c>
      <c r="B22" s="6"/>
      <c r="C22" s="6"/>
      <c r="D22" s="97">
        <v>0</v>
      </c>
      <c r="E22" s="101"/>
      <c r="F22" s="4"/>
      <c r="G22" s="4"/>
    </row>
    <row r="23" spans="1:7">
      <c r="A23" s="15" t="s">
        <v>69</v>
      </c>
      <c r="B23" s="54">
        <v>0</v>
      </c>
      <c r="C23" s="6"/>
      <c r="D23" s="96">
        <f>B23*30</f>
        <v>0</v>
      </c>
      <c r="E23" s="101"/>
      <c r="F23" s="4"/>
      <c r="G23" s="4"/>
    </row>
    <row r="24" spans="1:7">
      <c r="A24" s="15" t="s">
        <v>70</v>
      </c>
      <c r="B24" s="6"/>
      <c r="C24" s="6"/>
      <c r="D24" s="98">
        <v>770</v>
      </c>
      <c r="E24" s="101"/>
      <c r="F24" s="4"/>
      <c r="G24" s="4"/>
    </row>
    <row r="25" spans="1:7" ht="15.75" thickBot="1">
      <c r="A25" s="15" t="s">
        <v>71</v>
      </c>
      <c r="B25" s="16"/>
      <c r="C25" s="16"/>
      <c r="D25" s="99">
        <v>0</v>
      </c>
      <c r="E25" s="101"/>
      <c r="F25" s="4"/>
      <c r="G25" s="4"/>
    </row>
    <row r="26" spans="1:7" ht="14.25" thickTop="1" thickBot="1">
      <c r="A26" s="95" t="s">
        <v>72</v>
      </c>
      <c r="B26" s="6"/>
      <c r="C26" s="6"/>
      <c r="E26" s="100">
        <f>SUM(D20:D25)</f>
        <v>770</v>
      </c>
      <c r="F26" s="4"/>
      <c r="G26" s="4"/>
    </row>
    <row r="27" spans="1:7" ht="14.25" thickTop="1" thickBot="1">
      <c r="B27" s="6"/>
      <c r="C27" s="6"/>
      <c r="D27" s="55" t="s">
        <v>4</v>
      </c>
      <c r="E27" s="102">
        <f>(E19+D24)*21%</f>
        <v>161.69999999999999</v>
      </c>
      <c r="F27" s="4"/>
      <c r="G27" s="4"/>
    </row>
    <row r="28" spans="1:7" ht="14.25" thickTop="1" thickBot="1">
      <c r="A28" s="17"/>
      <c r="B28" s="6"/>
      <c r="C28" s="6"/>
      <c r="D28" s="18"/>
      <c r="E28" s="101"/>
      <c r="F28" s="4"/>
      <c r="G28" s="4"/>
    </row>
    <row r="29" spans="1:7" ht="14.25" thickTop="1" thickBot="1">
      <c r="A29" s="107" t="s">
        <v>79</v>
      </c>
      <c r="B29" s="20"/>
      <c r="C29" s="6"/>
      <c r="D29" s="21"/>
      <c r="E29" s="103">
        <f>SUM(E19:E27)</f>
        <v>931.7</v>
      </c>
      <c r="F29" s="4"/>
      <c r="G29" s="4"/>
    </row>
    <row r="30" spans="1:7" ht="14.25" thickTop="1" thickBot="1">
      <c r="A30" s="10"/>
      <c r="B30" s="6"/>
      <c r="C30" s="6"/>
      <c r="D30" s="21"/>
      <c r="E30" s="104"/>
      <c r="F30" s="4"/>
      <c r="G30" s="4"/>
    </row>
    <row r="31" spans="1:7" ht="14.25" thickTop="1" thickBot="1">
      <c r="A31" s="108" t="s">
        <v>73</v>
      </c>
      <c r="B31" s="20"/>
      <c r="C31" s="6"/>
      <c r="D31" s="14"/>
      <c r="E31" s="101"/>
      <c r="F31" s="4"/>
      <c r="G31" s="4"/>
    </row>
    <row r="32" spans="1:7" ht="13.5" thickTop="1">
      <c r="A32" s="10"/>
      <c r="B32" s="6"/>
      <c r="C32" s="6"/>
      <c r="D32" s="14"/>
      <c r="E32" s="101"/>
      <c r="F32" s="4"/>
      <c r="G32" s="4"/>
    </row>
    <row r="33" spans="1:7">
      <c r="A33" s="15" t="s">
        <v>75</v>
      </c>
      <c r="B33" s="6"/>
      <c r="C33" s="6"/>
      <c r="D33" s="97">
        <v>0</v>
      </c>
      <c r="E33" s="101"/>
      <c r="F33" s="4"/>
      <c r="G33" s="4"/>
    </row>
    <row r="34" spans="1:7">
      <c r="A34" s="15" t="s">
        <v>76</v>
      </c>
      <c r="B34" s="6"/>
      <c r="C34" s="6"/>
      <c r="D34" s="97">
        <v>0</v>
      </c>
      <c r="E34" s="101"/>
      <c r="F34" s="4"/>
      <c r="G34" s="4"/>
    </row>
    <row r="35" spans="1:7" ht="13.5" thickBot="1">
      <c r="A35" s="15"/>
      <c r="B35" s="6"/>
      <c r="C35" s="6"/>
      <c r="D35" s="170"/>
      <c r="E35" s="101"/>
      <c r="F35" s="4"/>
      <c r="G35" s="4"/>
    </row>
    <row r="36" spans="1:7" ht="14.25" thickTop="1" thickBot="1">
      <c r="A36" s="56" t="s">
        <v>77</v>
      </c>
      <c r="B36" s="6"/>
      <c r="C36" s="6"/>
      <c r="D36" s="169"/>
      <c r="E36" s="105">
        <f>SUM(D33:D35)</f>
        <v>0</v>
      </c>
      <c r="F36" s="4"/>
      <c r="G36" s="8"/>
    </row>
    <row r="37" spans="1:7" ht="14.25" thickTop="1" thickBot="1">
      <c r="A37" s="23"/>
      <c r="B37" s="6"/>
      <c r="C37" s="6"/>
      <c r="D37" s="18"/>
      <c r="E37" s="101"/>
      <c r="F37" s="4"/>
      <c r="G37" s="8"/>
    </row>
    <row r="38" spans="1:7" ht="14.25" thickTop="1" thickBot="1">
      <c r="A38" s="108" t="s">
        <v>78</v>
      </c>
      <c r="B38" s="20"/>
      <c r="C38" s="6"/>
      <c r="D38" s="24"/>
      <c r="E38" s="106">
        <f>SUM(E36:E36)</f>
        <v>0</v>
      </c>
      <c r="F38" s="25"/>
      <c r="G38" s="8"/>
    </row>
    <row r="39" spans="1:7" ht="13.5" thickTop="1">
      <c r="A39" s="84"/>
      <c r="B39" s="6"/>
      <c r="C39" s="6"/>
      <c r="D39" s="6"/>
      <c r="E39" s="101"/>
      <c r="F39" s="4"/>
      <c r="G39" s="8"/>
    </row>
    <row r="40" spans="1:7" ht="18">
      <c r="A40" s="119" t="s">
        <v>104</v>
      </c>
      <c r="B40" s="16"/>
      <c r="C40" s="16"/>
      <c r="D40" s="16"/>
      <c r="E40" s="120"/>
      <c r="F40" s="121"/>
      <c r="G40" s="7"/>
    </row>
    <row r="41" spans="1:7" ht="15.75" thickBot="1">
      <c r="A41" s="84"/>
      <c r="B41" s="16"/>
      <c r="C41" s="16"/>
      <c r="D41" s="16"/>
      <c r="E41" s="120"/>
      <c r="F41" s="121"/>
      <c r="G41" s="7"/>
    </row>
    <row r="42" spans="1:7" ht="13.5" thickTop="1">
      <c r="A42" s="142" t="s">
        <v>84</v>
      </c>
      <c r="B42" s="143" t="s">
        <v>85</v>
      </c>
      <c r="C42" s="164">
        <v>0</v>
      </c>
      <c r="D42" s="144"/>
      <c r="E42" s="145"/>
      <c r="F42" s="146"/>
      <c r="G42" s="5"/>
    </row>
    <row r="43" spans="1:7">
      <c r="A43" s="147"/>
      <c r="B43" s="94" t="s">
        <v>86</v>
      </c>
      <c r="C43" s="165">
        <v>0</v>
      </c>
      <c r="D43" s="120"/>
      <c r="E43" s="132"/>
      <c r="F43" s="148"/>
      <c r="G43" s="5"/>
    </row>
    <row r="44" spans="1:7">
      <c r="A44" s="147"/>
      <c r="B44" s="94" t="s">
        <v>87</v>
      </c>
      <c r="C44" s="135">
        <f>SUM(C42:C43)</f>
        <v>0</v>
      </c>
      <c r="D44" s="120"/>
      <c r="E44" s="132"/>
      <c r="F44" s="148"/>
      <c r="G44" s="4"/>
    </row>
    <row r="45" spans="1:7">
      <c r="A45" s="147"/>
      <c r="B45" s="94"/>
      <c r="C45" s="131"/>
      <c r="D45" s="120"/>
      <c r="E45" s="132"/>
      <c r="F45" s="148"/>
      <c r="G45" s="17"/>
    </row>
    <row r="46" spans="1:7">
      <c r="A46" s="147" t="s">
        <v>88</v>
      </c>
      <c r="B46" s="94"/>
      <c r="C46" s="166">
        <v>0</v>
      </c>
      <c r="D46" s="120"/>
      <c r="E46" s="132"/>
      <c r="F46" s="148"/>
      <c r="G46" s="17"/>
    </row>
    <row r="47" spans="1:7">
      <c r="A47" s="147"/>
      <c r="B47" s="94"/>
      <c r="C47" s="94"/>
      <c r="D47" s="120"/>
      <c r="E47" s="132"/>
      <c r="F47" s="148"/>
      <c r="G47" s="17"/>
    </row>
    <row r="48" spans="1:7">
      <c r="A48" s="147" t="s">
        <v>105</v>
      </c>
      <c r="B48" s="167" t="s">
        <v>63</v>
      </c>
      <c r="C48" s="94"/>
      <c r="D48" s="120"/>
      <c r="E48" s="132"/>
      <c r="F48" s="148"/>
      <c r="G48" s="17"/>
    </row>
    <row r="49" spans="1:7">
      <c r="A49" s="149" t="s">
        <v>109</v>
      </c>
      <c r="B49" s="136">
        <v>1</v>
      </c>
      <c r="C49" s="94"/>
      <c r="D49" s="120"/>
      <c r="E49" s="132"/>
      <c r="F49" s="148"/>
      <c r="G49" s="17"/>
    </row>
    <row r="50" spans="1:7">
      <c r="A50" s="147" t="s">
        <v>2</v>
      </c>
      <c r="B50" s="94"/>
      <c r="C50" s="94"/>
      <c r="D50" s="120"/>
      <c r="E50" s="132"/>
      <c r="F50" s="148"/>
      <c r="G50" s="4"/>
    </row>
    <row r="51" spans="1:7">
      <c r="A51" s="147"/>
      <c r="B51" s="94"/>
      <c r="C51" s="120"/>
      <c r="D51" s="132"/>
      <c r="E51" s="133" t="s">
        <v>65</v>
      </c>
      <c r="F51" s="150">
        <f>IF(B48="oui",E222/2+4.239,E222)</f>
        <v>0</v>
      </c>
    </row>
    <row r="52" spans="1:7">
      <c r="A52" s="147" t="s">
        <v>89</v>
      </c>
      <c r="B52" s="94"/>
      <c r="C52" s="138">
        <f>C44/100</f>
        <v>0</v>
      </c>
      <c r="D52" s="132"/>
      <c r="E52" s="133" t="s">
        <v>90</v>
      </c>
      <c r="F52" s="151">
        <f>F51*21/100</f>
        <v>0</v>
      </c>
    </row>
    <row r="53" spans="1:7">
      <c r="A53" s="147" t="s">
        <v>91</v>
      </c>
      <c r="B53" s="94"/>
      <c r="C53" s="168">
        <v>0</v>
      </c>
      <c r="D53" s="132"/>
      <c r="E53" s="133"/>
      <c r="F53" s="152"/>
    </row>
    <row r="54" spans="1:7">
      <c r="A54" s="147"/>
      <c r="B54" s="94"/>
      <c r="C54" s="139"/>
      <c r="D54" s="132"/>
      <c r="E54" s="133"/>
      <c r="F54" s="152"/>
    </row>
    <row r="55" spans="1:7">
      <c r="A55" s="147" t="s">
        <v>92</v>
      </c>
      <c r="B55" s="137">
        <f>C44*0.3%</f>
        <v>0</v>
      </c>
      <c r="C55" s="139"/>
      <c r="D55" s="132"/>
      <c r="E55" s="133"/>
      <c r="F55" s="152"/>
    </row>
    <row r="56" spans="1:7">
      <c r="A56" s="147" t="s">
        <v>93</v>
      </c>
      <c r="B56" s="137">
        <f>A87*B49</f>
        <v>87.31</v>
      </c>
      <c r="C56" s="139"/>
      <c r="D56" s="132"/>
      <c r="E56" s="133"/>
      <c r="F56" s="152"/>
    </row>
    <row r="57" spans="1:7">
      <c r="A57" s="147" t="s">
        <v>94</v>
      </c>
      <c r="B57" s="134"/>
      <c r="C57" s="138">
        <f>IF((D180-B55-B56)&lt;22,D180+50,D180)</f>
        <v>150</v>
      </c>
      <c r="D57" s="132"/>
      <c r="E57" s="133"/>
      <c r="F57" s="152"/>
    </row>
    <row r="58" spans="1:7">
      <c r="A58" s="147"/>
      <c r="B58" s="134"/>
      <c r="C58" s="139"/>
      <c r="D58" s="132"/>
      <c r="E58" s="133"/>
      <c r="F58" s="152"/>
    </row>
    <row r="59" spans="1:7">
      <c r="A59" s="147" t="s">
        <v>95</v>
      </c>
      <c r="B59" s="134"/>
      <c r="C59" s="138">
        <v>50</v>
      </c>
      <c r="D59" s="132"/>
      <c r="E59" s="133"/>
      <c r="F59" s="152"/>
    </row>
    <row r="60" spans="1:7">
      <c r="A60" s="147"/>
      <c r="B60" s="134" t="s">
        <v>90</v>
      </c>
      <c r="C60" s="140">
        <f>C59*21%</f>
        <v>10.5</v>
      </c>
      <c r="D60" s="132"/>
      <c r="E60" s="133"/>
      <c r="F60" s="152"/>
    </row>
    <row r="61" spans="1:7">
      <c r="A61" s="147"/>
      <c r="B61" s="134"/>
      <c r="C61" s="139"/>
      <c r="D61" s="132"/>
      <c r="E61" s="133"/>
      <c r="F61" s="152"/>
    </row>
    <row r="62" spans="1:7">
      <c r="A62" s="147" t="s">
        <v>70</v>
      </c>
      <c r="B62" s="134"/>
      <c r="C62" s="168">
        <v>660</v>
      </c>
      <c r="D62" s="132"/>
      <c r="E62" s="133"/>
      <c r="F62" s="152"/>
    </row>
    <row r="63" spans="1:7">
      <c r="A63" s="147"/>
      <c r="B63" s="134" t="s">
        <v>90</v>
      </c>
      <c r="C63" s="140">
        <f>C62*21%</f>
        <v>138.6</v>
      </c>
      <c r="D63" s="132"/>
      <c r="E63" s="133"/>
      <c r="F63" s="152"/>
    </row>
    <row r="64" spans="1:7">
      <c r="A64" s="147"/>
      <c r="B64" s="134"/>
      <c r="C64" s="139"/>
      <c r="D64" s="132"/>
      <c r="E64" s="133"/>
      <c r="F64" s="152"/>
    </row>
    <row r="65" spans="1:23">
      <c r="A65" s="147" t="s">
        <v>74</v>
      </c>
      <c r="B65" s="134"/>
      <c r="C65" s="168">
        <v>0</v>
      </c>
      <c r="D65" s="132"/>
      <c r="E65" s="133"/>
      <c r="F65" s="152"/>
    </row>
    <row r="66" spans="1:23">
      <c r="A66" s="153"/>
      <c r="B66" s="134" t="s">
        <v>90</v>
      </c>
      <c r="C66" s="140">
        <f>C65*21%</f>
        <v>0</v>
      </c>
      <c r="D66" s="132"/>
      <c r="E66" s="133"/>
      <c r="F66" s="152"/>
    </row>
    <row r="67" spans="1:23">
      <c r="A67" s="153"/>
      <c r="B67" s="134"/>
      <c r="C67" s="139"/>
      <c r="D67" s="132"/>
      <c r="E67" s="133"/>
      <c r="F67" s="152"/>
    </row>
    <row r="68" spans="1:23">
      <c r="A68" s="153"/>
      <c r="B68" s="134" t="s">
        <v>96</v>
      </c>
      <c r="C68" s="141">
        <f>A207</f>
        <v>860</v>
      </c>
      <c r="D68" s="132"/>
      <c r="E68" s="133" t="s">
        <v>97</v>
      </c>
      <c r="F68" s="154">
        <f>F51</f>
        <v>0</v>
      </c>
    </row>
    <row r="69" spans="1:23">
      <c r="A69" s="153"/>
      <c r="B69" s="94"/>
      <c r="C69" s="120"/>
      <c r="D69" s="132"/>
      <c r="E69" s="133" t="s">
        <v>96</v>
      </c>
      <c r="F69" s="154">
        <f>C68</f>
        <v>860</v>
      </c>
    </row>
    <row r="70" spans="1:23">
      <c r="A70" s="153"/>
      <c r="B70" s="94"/>
      <c r="C70" s="120"/>
      <c r="D70" s="132"/>
      <c r="E70" s="133" t="s">
        <v>98</v>
      </c>
      <c r="F70" s="155">
        <f>SUM(F68+C68)</f>
        <v>860</v>
      </c>
    </row>
    <row r="71" spans="1:23">
      <c r="A71" s="153"/>
      <c r="B71" s="94"/>
      <c r="C71" s="120"/>
      <c r="D71" s="132"/>
      <c r="E71" s="133"/>
      <c r="F71" s="152"/>
    </row>
    <row r="72" spans="1:23">
      <c r="A72" s="153"/>
      <c r="B72" s="94"/>
      <c r="C72" s="120"/>
      <c r="D72" s="132"/>
      <c r="E72" s="133" t="s">
        <v>67</v>
      </c>
      <c r="F72" s="156">
        <f>SUM(C60,C63,C66,F52)</f>
        <v>149.1</v>
      </c>
    </row>
    <row r="73" spans="1:23" ht="13.5" thickBot="1">
      <c r="A73" s="153"/>
      <c r="B73" s="94"/>
      <c r="C73" s="120"/>
      <c r="D73" s="132"/>
      <c r="E73" s="133"/>
      <c r="F73" s="157"/>
    </row>
    <row r="74" spans="1:23" ht="14.25" thickTop="1" thickBot="1">
      <c r="A74" s="158"/>
      <c r="B74" s="159"/>
      <c r="C74" s="160"/>
      <c r="D74" s="161"/>
      <c r="E74" s="162" t="s">
        <v>97</v>
      </c>
      <c r="F74" s="163">
        <f>SUM(F70:F72)</f>
        <v>1009.1</v>
      </c>
    </row>
    <row r="75" spans="1:23" ht="13.5" thickTop="1">
      <c r="A75" s="7"/>
      <c r="B75" s="7"/>
      <c r="C75" s="7"/>
      <c r="D75" s="7"/>
      <c r="E75" s="7"/>
      <c r="F75" s="7"/>
      <c r="G75" s="7"/>
    </row>
    <row r="76" spans="1:23">
      <c r="A76" s="7"/>
      <c r="B76" s="27" t="s">
        <v>7</v>
      </c>
      <c r="D76" s="57" t="s">
        <v>8</v>
      </c>
      <c r="E76" s="7"/>
    </row>
    <row r="77" spans="1:23">
      <c r="A77" s="7"/>
      <c r="B77" s="7"/>
      <c r="C77" s="7"/>
      <c r="D77" s="21"/>
      <c r="E77" s="7"/>
      <c r="F77" s="22"/>
      <c r="G77" s="7"/>
    </row>
    <row r="78" spans="1:23">
      <c r="A78" s="7"/>
      <c r="B78" s="26" t="s">
        <v>5</v>
      </c>
      <c r="D78" s="26" t="s">
        <v>6</v>
      </c>
      <c r="E78" s="7"/>
      <c r="F78" s="21"/>
      <c r="G78" s="19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</row>
    <row r="79" spans="1:23">
      <c r="A79" s="7"/>
      <c r="B79" s="29"/>
      <c r="C79" s="29"/>
      <c r="D79" s="29"/>
      <c r="E79" s="7"/>
      <c r="F79" s="30"/>
      <c r="G79" s="29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</row>
    <row r="80" spans="1:23" ht="14.25">
      <c r="B80" s="28"/>
      <c r="C80" s="26" t="s">
        <v>110</v>
      </c>
      <c r="D80" s="31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</row>
    <row r="81" spans="1:23" ht="14.25">
      <c r="B81" s="28"/>
      <c r="C81" s="26"/>
      <c r="D81" s="31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</row>
    <row r="82" spans="1:23" ht="14.25" hidden="1">
      <c r="B82" s="28"/>
      <c r="C82" s="26"/>
      <c r="D82" s="31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</row>
    <row r="83" spans="1:23" ht="14.25" hidden="1">
      <c r="B83" s="28"/>
      <c r="C83" s="26"/>
      <c r="D83" s="31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</row>
    <row r="84" spans="1:23" ht="14.25" hidden="1">
      <c r="B84" s="28"/>
      <c r="C84" s="26"/>
      <c r="D84" s="31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</row>
    <row r="85" spans="1:23" ht="14.25" hidden="1">
      <c r="B85" s="28"/>
      <c r="C85" s="26"/>
      <c r="D85" s="31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</row>
    <row r="86" spans="1:23" ht="14.25" hidden="1">
      <c r="B86" s="28"/>
      <c r="C86" s="31"/>
      <c r="D86" s="31"/>
      <c r="E86" s="26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</row>
    <row r="87" spans="1:23" ht="14.25" hidden="1">
      <c r="A87" s="2">
        <f>(A140+ROUNDDOWN((C42+C43-1)/C141,0)*A141)+20</f>
        <v>87.31</v>
      </c>
      <c r="B87" s="28"/>
      <c r="D87" s="31"/>
      <c r="E87" s="26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</row>
    <row r="88" spans="1:23" ht="15" hidden="1">
      <c r="A88" s="81" t="s">
        <v>82</v>
      </c>
      <c r="B88" s="59"/>
      <c r="C88" s="59" t="s">
        <v>62</v>
      </c>
      <c r="D88" s="59" t="s">
        <v>62</v>
      </c>
      <c r="E88" s="59" t="s">
        <v>62</v>
      </c>
      <c r="F88" s="59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</row>
    <row r="89" spans="1:23" ht="15.75" hidden="1">
      <c r="A89" s="82" t="s">
        <v>14</v>
      </c>
      <c r="B89" s="60"/>
      <c r="C89" s="59" t="s">
        <v>63</v>
      </c>
      <c r="D89" s="59" t="s">
        <v>63</v>
      </c>
      <c r="E89" s="59" t="s">
        <v>63</v>
      </c>
      <c r="F89" s="59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</row>
    <row r="90" spans="1:23" ht="15.75" hidden="1">
      <c r="A90" s="82" t="s">
        <v>15</v>
      </c>
      <c r="B90" s="60"/>
      <c r="C90" s="59"/>
      <c r="D90" s="59"/>
      <c r="E90" s="59"/>
      <c r="F90" s="59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</row>
    <row r="91" spans="1:23" ht="15.75" hidden="1">
      <c r="A91" s="82" t="s">
        <v>16</v>
      </c>
      <c r="B91" s="60"/>
      <c r="C91" s="61">
        <f>B5*12.5/100</f>
        <v>0</v>
      </c>
      <c r="D91" s="59"/>
      <c r="E91" s="59"/>
      <c r="F91" s="59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</row>
    <row r="92" spans="1:23" ht="15.75" hidden="1">
      <c r="A92" s="82" t="s">
        <v>17</v>
      </c>
      <c r="B92" s="60"/>
      <c r="C92" s="62">
        <f>B5*10%</f>
        <v>0</v>
      </c>
      <c r="D92" s="59"/>
      <c r="E92" s="59"/>
      <c r="F92" s="59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</row>
    <row r="93" spans="1:23" ht="15.75" hidden="1">
      <c r="A93" s="82" t="s">
        <v>18</v>
      </c>
      <c r="B93" s="60"/>
      <c r="C93" s="80">
        <f>IF(B5&gt;150000,9000+(B5-150000)*12.5%,B5*6%)</f>
        <v>0</v>
      </c>
      <c r="D93" s="80">
        <f>IF(B5&gt;160000,9600+(B5-160000)*12.5%,B5*6%)</f>
        <v>0</v>
      </c>
      <c r="E93" s="59"/>
      <c r="F93" s="62">
        <f>IF(AND(B12="oui",B13="P.A.",B14="oui"),C94,0)</f>
        <v>0</v>
      </c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</row>
    <row r="94" spans="1:23" ht="15.75" hidden="1">
      <c r="A94" s="82" t="s">
        <v>19</v>
      </c>
      <c r="B94" s="60"/>
      <c r="C94" s="80">
        <f>IF(B5&gt;150000,7500+(B5-150000)*10%,B5*5%)</f>
        <v>0</v>
      </c>
      <c r="D94" s="80">
        <f>IF(B5&gt;160000,8000+(B5-160000)*10%,B5*5%)</f>
        <v>0</v>
      </c>
      <c r="E94" s="59"/>
      <c r="F94" s="62">
        <f>IF(AND(B12="oui",B13="P.A.",B14="non"),C93,0)</f>
        <v>0</v>
      </c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</row>
    <row r="95" spans="1:23" ht="15.75" hidden="1">
      <c r="A95" s="82" t="s">
        <v>20</v>
      </c>
      <c r="B95" s="60"/>
      <c r="C95" s="59"/>
      <c r="D95" s="59"/>
      <c r="E95" s="59"/>
      <c r="F95" s="62">
        <f>IF(AND(B12="non",B14="oui"),C92,0)</f>
        <v>0</v>
      </c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</row>
    <row r="96" spans="1:23" ht="15.75" hidden="1">
      <c r="A96" s="82" t="s">
        <v>21</v>
      </c>
      <c r="B96" s="60"/>
      <c r="C96" s="59"/>
      <c r="D96" s="59"/>
      <c r="E96" s="59"/>
      <c r="F96" s="62">
        <f>IF(AND(B12="non",B14="non"),C91,0)</f>
        <v>0</v>
      </c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</row>
    <row r="97" spans="1:23" ht="15.75" hidden="1">
      <c r="A97" s="82" t="s">
        <v>22</v>
      </c>
      <c r="B97" s="60"/>
      <c r="C97" s="59"/>
      <c r="D97" s="59"/>
      <c r="E97" s="59"/>
      <c r="F97" s="62">
        <f>IF(AND(B12="oui",B13&lt;&gt;"P.A.",B14="oui"),D94,0)</f>
        <v>0</v>
      </c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</row>
    <row r="98" spans="1:23" ht="15.75" hidden="1">
      <c r="A98" s="82" t="s">
        <v>44</v>
      </c>
      <c r="B98" s="60"/>
      <c r="C98" s="59"/>
      <c r="D98" s="59"/>
      <c r="E98" s="59"/>
      <c r="F98" s="62">
        <f>IF(AND(B12="oui",B13&lt;&gt;"P.A.",B14="non"),D93,0)</f>
        <v>0</v>
      </c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</row>
    <row r="99" spans="1:23" ht="15.75" hidden="1">
      <c r="A99" s="82" t="s">
        <v>23</v>
      </c>
      <c r="B99" s="60"/>
      <c r="C99" s="59"/>
      <c r="D99" s="59"/>
      <c r="E99" s="59"/>
      <c r="F99" s="62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</row>
    <row r="100" spans="1:23" ht="15.75" hidden="1">
      <c r="A100" s="82" t="s">
        <v>24</v>
      </c>
      <c r="B100" s="60"/>
      <c r="C100" s="59"/>
      <c r="D100" s="59"/>
      <c r="E100" s="59"/>
      <c r="F100" s="62">
        <f>SUM(F93:F99)</f>
        <v>0</v>
      </c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</row>
    <row r="101" spans="1:23" ht="15.75" hidden="1">
      <c r="A101" s="82" t="s">
        <v>25</v>
      </c>
      <c r="B101" s="60"/>
      <c r="C101" s="59"/>
      <c r="D101" s="59"/>
      <c r="E101" s="59"/>
      <c r="F101" s="59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</row>
    <row r="102" spans="1:23" ht="15.75" hidden="1">
      <c r="A102" s="82" t="s">
        <v>45</v>
      </c>
      <c r="B102" s="60"/>
      <c r="C102" s="59"/>
      <c r="D102" s="59"/>
      <c r="E102" s="59"/>
      <c r="F102" s="59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</row>
    <row r="103" spans="1:23" ht="15.75" hidden="1">
      <c r="A103" s="82" t="s">
        <v>26</v>
      </c>
      <c r="B103" s="60"/>
      <c r="C103" s="59"/>
      <c r="D103" s="59"/>
      <c r="E103" s="59"/>
      <c r="F103" s="59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</row>
    <row r="104" spans="1:23" ht="15.75" hidden="1">
      <c r="A104" s="82" t="s">
        <v>27</v>
      </c>
      <c r="B104" s="60"/>
      <c r="C104" s="59"/>
      <c r="D104" s="59"/>
      <c r="E104" s="59"/>
      <c r="F104" s="59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</row>
    <row r="105" spans="1:23" ht="15.75" hidden="1">
      <c r="A105" s="82" t="s">
        <v>28</v>
      </c>
      <c r="B105" s="60"/>
      <c r="C105" s="59"/>
      <c r="D105" s="59"/>
      <c r="E105" s="59"/>
      <c r="F105" s="59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</row>
    <row r="106" spans="1:23" ht="15.75" hidden="1">
      <c r="A106" s="82" t="s">
        <v>29</v>
      </c>
      <c r="B106" s="59"/>
      <c r="C106" s="59"/>
      <c r="D106" s="59"/>
      <c r="E106" s="59"/>
      <c r="F106" s="59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</row>
    <row r="107" spans="1:23" ht="15.75" hidden="1">
      <c r="A107" s="82" t="s">
        <v>80</v>
      </c>
      <c r="B107" s="59"/>
      <c r="C107" s="59"/>
      <c r="D107" s="59"/>
      <c r="E107" s="59"/>
      <c r="F107" s="59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</row>
    <row r="108" spans="1:23" ht="15.75" hidden="1">
      <c r="A108" s="82" t="s">
        <v>30</v>
      </c>
      <c r="B108" s="59"/>
      <c r="C108" s="59"/>
      <c r="D108" s="59"/>
      <c r="E108" s="59"/>
      <c r="F108" s="59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</row>
    <row r="109" spans="1:23" ht="15.75" hidden="1">
      <c r="A109" s="82" t="s">
        <v>31</v>
      </c>
      <c r="B109" s="59"/>
      <c r="C109" s="59"/>
      <c r="D109" s="59"/>
      <c r="E109" s="59"/>
      <c r="F109" s="59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</row>
    <row r="110" spans="1:23" ht="15.75" hidden="1">
      <c r="A110" s="82" t="s">
        <v>32</v>
      </c>
      <c r="B110" s="59"/>
      <c r="C110" s="59"/>
      <c r="D110" s="59"/>
      <c r="E110" s="59"/>
      <c r="F110" s="59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</row>
    <row r="111" spans="1:23" ht="15.75" hidden="1">
      <c r="A111" s="82" t="s">
        <v>33</v>
      </c>
      <c r="B111" s="59"/>
      <c r="C111" s="59"/>
      <c r="D111" s="59"/>
      <c r="E111" s="59"/>
      <c r="F111" s="59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</row>
    <row r="112" spans="1:23" ht="15.75" hidden="1">
      <c r="A112" s="82" t="s">
        <v>34</v>
      </c>
      <c r="B112" s="59"/>
      <c r="C112" s="59"/>
      <c r="D112" s="59"/>
      <c r="E112" s="59"/>
      <c r="F112" s="59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</row>
    <row r="113" spans="1:23" ht="15.75" hidden="1">
      <c r="A113" s="82" t="s">
        <v>35</v>
      </c>
      <c r="B113" s="63"/>
      <c r="C113" s="59"/>
      <c r="D113" s="59"/>
      <c r="E113" s="59"/>
      <c r="F113" s="59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</row>
    <row r="114" spans="1:23" ht="15.75" hidden="1">
      <c r="A114" s="82" t="s">
        <v>81</v>
      </c>
      <c r="B114" s="63"/>
      <c r="C114" s="59"/>
      <c r="D114" s="59"/>
      <c r="E114" s="59"/>
      <c r="F114" s="59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</row>
    <row r="115" spans="1:23" ht="15.75" hidden="1">
      <c r="A115" s="82" t="s">
        <v>36</v>
      </c>
      <c r="B115" s="59"/>
      <c r="C115" s="59"/>
      <c r="D115" s="59"/>
      <c r="E115" s="59"/>
      <c r="F115" s="59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</row>
    <row r="116" spans="1:23" ht="15.75" hidden="1">
      <c r="A116" s="82" t="s">
        <v>46</v>
      </c>
      <c r="B116" s="59"/>
      <c r="C116" s="59"/>
      <c r="D116" s="59"/>
      <c r="E116" s="59"/>
      <c r="F116" s="59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</row>
    <row r="117" spans="1:23" ht="15.75" hidden="1">
      <c r="A117" s="82" t="s">
        <v>47</v>
      </c>
      <c r="B117" s="59"/>
      <c r="C117" s="59"/>
      <c r="D117" s="59"/>
      <c r="E117" s="59"/>
      <c r="F117" s="59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</row>
    <row r="118" spans="1:23" ht="15.75" hidden="1">
      <c r="A118" s="82" t="s">
        <v>37</v>
      </c>
      <c r="B118" s="64"/>
      <c r="C118" s="59"/>
      <c r="D118" s="59"/>
      <c r="E118" s="65"/>
      <c r="F118" s="65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</row>
    <row r="119" spans="1:23" ht="15.75" hidden="1">
      <c r="A119" s="82" t="s">
        <v>38</v>
      </c>
      <c r="B119" s="58"/>
      <c r="C119" s="58"/>
      <c r="D119" s="58"/>
      <c r="E119" s="65"/>
      <c r="F119" s="65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</row>
    <row r="120" spans="1:23" ht="15.75" hidden="1">
      <c r="A120" s="82" t="s">
        <v>48</v>
      </c>
      <c r="B120" s="58"/>
      <c r="C120" s="58"/>
      <c r="D120" s="58"/>
      <c r="E120" s="58"/>
      <c r="F120" s="5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</row>
    <row r="121" spans="1:23" ht="15.75" hidden="1">
      <c r="A121" s="82" t="s">
        <v>49</v>
      </c>
      <c r="B121" s="58"/>
      <c r="C121" s="58"/>
      <c r="D121" s="58"/>
      <c r="E121" s="58"/>
      <c r="F121" s="5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</row>
    <row r="122" spans="1:23" ht="15.75" hidden="1">
      <c r="A122" s="82" t="s">
        <v>39</v>
      </c>
      <c r="B122" s="58"/>
      <c r="C122" s="58" t="s">
        <v>9</v>
      </c>
      <c r="D122" s="58" t="s">
        <v>10</v>
      </c>
      <c r="E122" s="58"/>
      <c r="F122" s="5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</row>
    <row r="123" spans="1:23" ht="15.75" hidden="1">
      <c r="A123" s="82" t="s">
        <v>40</v>
      </c>
      <c r="B123" s="58"/>
      <c r="C123" s="58"/>
      <c r="D123" s="58">
        <v>525</v>
      </c>
      <c r="E123" s="58"/>
      <c r="F123" s="5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</row>
    <row r="124" spans="1:23" ht="15.75" hidden="1">
      <c r="A124" s="82" t="s">
        <v>41</v>
      </c>
      <c r="B124" s="58"/>
      <c r="C124" s="58"/>
      <c r="D124" s="58">
        <v>100</v>
      </c>
      <c r="E124" s="58"/>
      <c r="F124" s="5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</row>
    <row r="125" spans="1:23" ht="15.75" hidden="1">
      <c r="A125" s="82" t="s">
        <v>42</v>
      </c>
      <c r="B125" s="58"/>
      <c r="C125" s="58"/>
      <c r="D125" s="58">
        <v>675</v>
      </c>
      <c r="E125" s="58"/>
      <c r="F125" s="5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</row>
    <row r="126" spans="1:23" ht="15.75" hidden="1">
      <c r="A126" s="82" t="s">
        <v>43</v>
      </c>
      <c r="B126" s="58"/>
      <c r="C126" s="58"/>
      <c r="D126" s="58"/>
      <c r="E126" s="58"/>
      <c r="F126" s="5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</row>
    <row r="127" spans="1:23" ht="15" hidden="1">
      <c r="A127" s="58"/>
      <c r="B127" s="58"/>
      <c r="C127" s="58"/>
      <c r="D127" s="58"/>
      <c r="E127" s="58"/>
      <c r="F127" s="5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</row>
    <row r="128" spans="1:23" ht="15" hidden="1">
      <c r="A128" s="58"/>
      <c r="B128" s="58"/>
      <c r="C128" s="58"/>
      <c r="D128" s="58"/>
      <c r="E128" s="58"/>
      <c r="F128" s="5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</row>
    <row r="129" spans="1:23" ht="14.25" hidden="1">
      <c r="A129" s="66" t="s">
        <v>11</v>
      </c>
      <c r="B129" s="66"/>
      <c r="C129" s="66" t="s">
        <v>11</v>
      </c>
      <c r="D129" s="67" t="s">
        <v>12</v>
      </c>
      <c r="E129" s="68"/>
      <c r="F129" s="66" t="s">
        <v>3</v>
      </c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</row>
    <row r="130" spans="1:23" ht="15" hidden="1">
      <c r="A130" s="69">
        <v>0</v>
      </c>
      <c r="B130" s="70"/>
      <c r="C130" s="69">
        <v>7500</v>
      </c>
      <c r="D130" s="71">
        <v>4.5600000000000002E-2</v>
      </c>
      <c r="E130" s="72"/>
      <c r="F130" s="69">
        <f>IF(B10&lt;C130,B10*D130,C130*D130)</f>
        <v>0</v>
      </c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</row>
    <row r="131" spans="1:23" ht="15" hidden="1">
      <c r="A131" s="69">
        <v>7500</v>
      </c>
      <c r="B131" s="70"/>
      <c r="C131" s="69">
        <v>17500</v>
      </c>
      <c r="D131" s="71">
        <v>2.8500000000000001E-2</v>
      </c>
      <c r="E131" s="72"/>
      <c r="F131" s="70" t="str">
        <f>IF(B10&lt;=A131," ",IF(B10&lt;C131,(B10-C130)*D131,(C131-A131)*D131))</f>
        <v xml:space="preserve"> </v>
      </c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</row>
    <row r="132" spans="1:23" ht="15" hidden="1">
      <c r="A132" s="69">
        <v>17500</v>
      </c>
      <c r="B132" s="70"/>
      <c r="C132" s="69">
        <v>30000</v>
      </c>
      <c r="D132" s="71">
        <v>2.2800000000000001E-2</v>
      </c>
      <c r="E132" s="72"/>
      <c r="F132" s="70" t="str">
        <f>IF(B10&lt;=A132," ",IF(B10&lt;C132,(B10-C131)*D132,(C132-A132)*D132))</f>
        <v xml:space="preserve"> </v>
      </c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</row>
    <row r="133" spans="1:23" ht="15" hidden="1">
      <c r="A133" s="69">
        <v>30000</v>
      </c>
      <c r="B133" s="70"/>
      <c r="C133" s="69">
        <v>45495</v>
      </c>
      <c r="D133" s="71">
        <v>1.7100000000000001E-2</v>
      </c>
      <c r="E133" s="72"/>
      <c r="F133" s="70" t="str">
        <f>IF(B10&lt;=A133," ",IF(B10&lt;C133,(B10-C132)*D133,(C133-A133)*D133))</f>
        <v xml:space="preserve"> </v>
      </c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</row>
    <row r="134" spans="1:23" ht="15" hidden="1">
      <c r="A134" s="69">
        <v>45495</v>
      </c>
      <c r="B134" s="70"/>
      <c r="C134" s="69">
        <v>64095</v>
      </c>
      <c r="D134" s="71">
        <v>1.14E-2</v>
      </c>
      <c r="E134" s="72"/>
      <c r="F134" s="70" t="str">
        <f>IF(B10&lt;=A134," ",IF(B10&lt;C134,(B10-C133)*D134,(C134-A134)*D134))</f>
        <v xml:space="preserve"> </v>
      </c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</row>
    <row r="135" spans="1:23" ht="15" hidden="1">
      <c r="A135" s="69">
        <v>64095</v>
      </c>
      <c r="B135" s="70"/>
      <c r="C135" s="69">
        <v>250095</v>
      </c>
      <c r="D135" s="71">
        <v>5.7000000000000002E-3</v>
      </c>
      <c r="E135" s="72"/>
      <c r="F135" s="70" t="str">
        <f>IF(B10&lt;=A135," ",IF(B10&lt;C135,(B10-C134)*D135,(C135-A135)*D135))</f>
        <v xml:space="preserve"> </v>
      </c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</row>
    <row r="136" spans="1:23" ht="15" hidden="1">
      <c r="A136" s="69">
        <v>250095</v>
      </c>
      <c r="B136" s="70"/>
      <c r="C136" s="69">
        <v>999999999</v>
      </c>
      <c r="D136" s="71">
        <v>5.6999999999999998E-4</v>
      </c>
      <c r="E136" s="72"/>
      <c r="F136" s="70" t="str">
        <f>IF(B10&lt;=A136," ",IF(B10&lt;C136,(B10-C135)*D136,(C136-A136)*D136))</f>
        <v xml:space="preserve"> </v>
      </c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</row>
    <row r="137" spans="1:23" ht="15" hidden="1">
      <c r="A137" s="73"/>
      <c r="B137" s="74"/>
      <c r="C137" s="74"/>
      <c r="D137" s="75"/>
      <c r="E137" s="76"/>
      <c r="F137" s="76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</row>
    <row r="138" spans="1:23" ht="15" hidden="1">
      <c r="A138" s="66" t="s">
        <v>13</v>
      </c>
      <c r="B138" s="77"/>
      <c r="C138" s="74"/>
      <c r="D138" s="78"/>
      <c r="E138" s="76"/>
      <c r="F138" s="79">
        <f>SUM(F130:F137)</f>
        <v>0</v>
      </c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</row>
    <row r="139" spans="1:23" hidden="1">
      <c r="A139" s="110" t="s">
        <v>99</v>
      </c>
      <c r="B139" s="110"/>
      <c r="C139" s="110"/>
      <c r="D139" s="110"/>
      <c r="E139" s="110"/>
      <c r="F139" s="110" t="s">
        <v>100</v>
      </c>
      <c r="G139" s="110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</row>
    <row r="140" spans="1:23" hidden="1">
      <c r="A140" s="110">
        <v>67.31</v>
      </c>
      <c r="B140" s="110" t="s">
        <v>101</v>
      </c>
      <c r="C140" s="110">
        <v>25000</v>
      </c>
      <c r="D140" s="110"/>
      <c r="E140" s="110"/>
      <c r="F140" s="110"/>
      <c r="G140" s="110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</row>
    <row r="141" spans="1:23" hidden="1">
      <c r="A141" s="110">
        <v>23.56</v>
      </c>
      <c r="B141" s="110" t="s">
        <v>102</v>
      </c>
      <c r="C141" s="110">
        <v>25000</v>
      </c>
      <c r="D141" s="110" t="s">
        <v>103</v>
      </c>
      <c r="E141" s="110"/>
      <c r="F141" s="110"/>
      <c r="G141" s="110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</row>
    <row r="142" spans="1:23" hidden="1"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</row>
    <row r="143" spans="1:23" hidden="1"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</row>
    <row r="144" spans="1:23" hidden="1"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</row>
    <row r="145" spans="1:23" hidden="1"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</row>
    <row r="146" spans="1:23" hidden="1"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</row>
    <row r="147" spans="1:23" hidden="1"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</row>
    <row r="148" spans="1:23" hidden="1">
      <c r="A148" s="32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</row>
    <row r="149" spans="1:23" hidden="1">
      <c r="B149" s="28"/>
      <c r="C149" s="28"/>
      <c r="D149" s="28"/>
      <c r="E149" s="28"/>
      <c r="F149" s="28"/>
      <c r="G149" s="28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28"/>
      <c r="V149" s="28"/>
      <c r="W149" s="28"/>
    </row>
    <row r="150" spans="1:23" hidden="1">
      <c r="A150" s="34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28"/>
      <c r="V150" s="28"/>
      <c r="W150" s="28"/>
    </row>
    <row r="151" spans="1:23" hidden="1">
      <c r="A151" s="34"/>
      <c r="B151" s="14" t="e">
        <f>IF(#REF!="oui",-1500,0)</f>
        <v>#REF!</v>
      </c>
      <c r="C151" s="33" t="e">
        <f>IF(AND(#REF!="oui",#REF!="oui"),-750,0)</f>
        <v>#REF!</v>
      </c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28"/>
      <c r="V151" s="28"/>
      <c r="W151" s="28"/>
    </row>
    <row r="152" spans="1:23" hidden="1">
      <c r="A152" s="34"/>
      <c r="B152" s="14" t="e">
        <f>IF(#REF!="oui",-750,0)</f>
        <v>#REF!</v>
      </c>
      <c r="C152" s="33" t="e">
        <f>IF(AND(#REF!="non",#REF!="oui"),-1500,0)</f>
        <v>#REF!</v>
      </c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28"/>
      <c r="V152" s="28"/>
      <c r="W152" s="28"/>
    </row>
    <row r="153" spans="1:23" hidden="1">
      <c r="A153" s="34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28"/>
      <c r="V153" s="28"/>
      <c r="W153" s="28"/>
    </row>
    <row r="154" spans="1:23" hidden="1">
      <c r="A154" s="34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28"/>
      <c r="V154" s="28"/>
      <c r="W154" s="28"/>
    </row>
    <row r="155" spans="1:23" ht="13.5" hidden="1" thickBot="1">
      <c r="A155" s="34"/>
      <c r="B155" s="33"/>
      <c r="C155" s="33"/>
      <c r="D155" s="33"/>
      <c r="E155" s="33"/>
      <c r="F155" s="33"/>
      <c r="G155" s="33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</row>
    <row r="156" spans="1:23" ht="13.5" hidden="1" thickBot="1">
      <c r="A156" s="7"/>
      <c r="B156" s="35"/>
      <c r="C156" s="29"/>
      <c r="D156" s="29"/>
      <c r="E156" s="29"/>
      <c r="F156" s="29"/>
      <c r="G156" s="29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</row>
    <row r="157" spans="1:23" ht="13.5" hidden="1" thickBot="1">
      <c r="A157" s="7"/>
      <c r="B157" s="7"/>
      <c r="C157" s="7"/>
      <c r="D157" s="7"/>
      <c r="E157" s="36"/>
      <c r="F157" s="36"/>
      <c r="G157" s="36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1:23" hidden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1:23" hidden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1:23" hidden="1">
      <c r="A160" s="7" t="s">
        <v>1</v>
      </c>
      <c r="B160" s="7"/>
      <c r="C160" s="7" t="s">
        <v>9</v>
      </c>
      <c r="D160" s="7" t="s">
        <v>10</v>
      </c>
      <c r="E160" s="7"/>
      <c r="F160" s="59" t="s">
        <v>62</v>
      </c>
      <c r="G160" s="59" t="s">
        <v>62</v>
      </c>
      <c r="H160" s="59" t="s">
        <v>62</v>
      </c>
      <c r="I160" s="59" t="s">
        <v>62</v>
      </c>
      <c r="J160" s="59" t="s">
        <v>62</v>
      </c>
      <c r="K160" s="59" t="s">
        <v>62</v>
      </c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1:23" hidden="1">
      <c r="A161" s="7"/>
      <c r="B161" s="7"/>
      <c r="C161" s="7"/>
      <c r="D161" s="7">
        <v>525</v>
      </c>
      <c r="E161" s="7"/>
      <c r="F161" s="59" t="s">
        <v>63</v>
      </c>
      <c r="G161" s="59" t="s">
        <v>63</v>
      </c>
      <c r="H161" s="59" t="s">
        <v>63</v>
      </c>
      <c r="I161" s="59" t="s">
        <v>63</v>
      </c>
      <c r="J161" s="59" t="s">
        <v>63</v>
      </c>
      <c r="K161" s="59" t="s">
        <v>63</v>
      </c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spans="1:23" hidden="1">
      <c r="A162" s="7"/>
      <c r="B162" s="7"/>
      <c r="C162" s="7"/>
      <c r="D162" s="7">
        <v>100</v>
      </c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1:23" hidden="1">
      <c r="A163" s="7"/>
      <c r="B163" s="7"/>
      <c r="C163" s="7"/>
      <c r="D163" s="7">
        <v>675</v>
      </c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1:23" hidden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1:23" hidden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 hidden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1:23" ht="14.25" hidden="1">
      <c r="A167" s="37" t="s">
        <v>11</v>
      </c>
      <c r="B167" s="37"/>
      <c r="C167" s="37" t="s">
        <v>11</v>
      </c>
      <c r="D167" s="38" t="s">
        <v>12</v>
      </c>
      <c r="E167" s="39"/>
      <c r="F167" s="37" t="s">
        <v>3</v>
      </c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1:23" ht="15" hidden="1">
      <c r="A168" s="40">
        <v>0</v>
      </c>
      <c r="B168" s="41"/>
      <c r="C168" s="40">
        <v>7500</v>
      </c>
      <c r="D168" s="42">
        <v>4.5600000000000002E-2</v>
      </c>
      <c r="E168" s="43"/>
      <c r="F168" s="40">
        <f>IF($B$10&lt;C168,$B$10*D168,C168*D168)</f>
        <v>0</v>
      </c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1:23" ht="15" hidden="1">
      <c r="A169" s="40">
        <v>7500</v>
      </c>
      <c r="B169" s="41"/>
      <c r="C169" s="40">
        <v>17500</v>
      </c>
      <c r="D169" s="42">
        <v>2.8500000000000001E-2</v>
      </c>
      <c r="E169" s="43"/>
      <c r="F169" s="41" t="str">
        <f t="shared" ref="F169:F174" si="0">IF($B$10&lt;=A169," ",IF($B$10&lt;C169,($B$10-C168)*D169,(C169-A169)*D169))</f>
        <v xml:space="preserve"> </v>
      </c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1:23" ht="15" hidden="1">
      <c r="A170" s="40">
        <v>17500</v>
      </c>
      <c r="B170" s="41"/>
      <c r="C170" s="40">
        <v>30000</v>
      </c>
      <c r="D170" s="42">
        <v>2.2800000000000001E-2</v>
      </c>
      <c r="E170" s="43"/>
      <c r="F170" s="41" t="str">
        <f t="shared" si="0"/>
        <v xml:space="preserve"> </v>
      </c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1:23" ht="15" hidden="1">
      <c r="A171" s="40">
        <v>30000</v>
      </c>
      <c r="B171" s="41"/>
      <c r="C171" s="40">
        <v>45495</v>
      </c>
      <c r="D171" s="42">
        <v>1.7100000000000001E-2</v>
      </c>
      <c r="E171" s="43"/>
      <c r="F171" s="41" t="str">
        <f t="shared" si="0"/>
        <v xml:space="preserve"> </v>
      </c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1:23" ht="15" hidden="1">
      <c r="A172" s="40">
        <v>45495</v>
      </c>
      <c r="B172" s="41"/>
      <c r="C172" s="40">
        <v>64095</v>
      </c>
      <c r="D172" s="42">
        <v>1.14E-2</v>
      </c>
      <c r="E172" s="43"/>
      <c r="F172" s="41" t="str">
        <f t="shared" si="0"/>
        <v xml:space="preserve"> </v>
      </c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 ht="15" hidden="1">
      <c r="A173" s="40">
        <v>64095</v>
      </c>
      <c r="B173" s="41"/>
      <c r="C173" s="40">
        <v>250095</v>
      </c>
      <c r="D173" s="42">
        <v>5.7000000000000002E-3</v>
      </c>
      <c r="E173" s="43"/>
      <c r="F173" s="41" t="str">
        <f t="shared" si="0"/>
        <v xml:space="preserve"> </v>
      </c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1:23" ht="15" hidden="1">
      <c r="A174" s="40">
        <v>250095</v>
      </c>
      <c r="B174" s="41"/>
      <c r="C174" s="40">
        <f>$B$10</f>
        <v>0</v>
      </c>
      <c r="D174" s="42">
        <v>5.6999999999999998E-4</v>
      </c>
      <c r="E174" s="43"/>
      <c r="F174" s="41" t="str">
        <f t="shared" si="0"/>
        <v xml:space="preserve"> </v>
      </c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1:23" ht="15" hidden="1">
      <c r="A175" s="44"/>
      <c r="B175" s="45"/>
      <c r="C175" s="45"/>
      <c r="D175" s="46"/>
      <c r="E175" s="47"/>
      <c r="F175" s="4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1:23" ht="15" hidden="1">
      <c r="A176" s="37" t="s">
        <v>13</v>
      </c>
      <c r="B176" s="48"/>
      <c r="C176" s="45"/>
      <c r="D176" s="49"/>
      <c r="E176" s="47"/>
      <c r="F176" s="50">
        <f>SUM(F168:F175)</f>
        <v>0</v>
      </c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1:23" hidden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1:23" hidden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1:23" hidden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1:23" hidden="1">
      <c r="A180" s="110"/>
      <c r="B180" s="110"/>
      <c r="C180" s="110"/>
      <c r="D180" s="111">
        <f>ROUNDUP(B55+B56,-2)</f>
        <v>100</v>
      </c>
      <c r="E180" s="110"/>
      <c r="F180" s="110"/>
      <c r="G180" s="110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1:23" hidden="1">
      <c r="A181" s="110"/>
      <c r="B181" s="110"/>
      <c r="C181" s="110"/>
      <c r="D181" s="110"/>
      <c r="E181" s="110"/>
      <c r="F181" s="110"/>
      <c r="G181" s="110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1:23" hidden="1">
      <c r="A182" s="110"/>
      <c r="B182" s="110"/>
      <c r="C182" s="110"/>
      <c r="D182" s="110"/>
      <c r="E182" s="110"/>
      <c r="F182" s="110"/>
      <c r="G182" s="110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1:23" hidden="1">
      <c r="A183" s="110"/>
      <c r="B183" s="110"/>
      <c r="C183" s="110"/>
      <c r="D183" s="110"/>
      <c r="E183" s="110"/>
      <c r="F183" s="110"/>
      <c r="G183" s="110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1:23" hidden="1">
      <c r="A184" s="110" t="s">
        <v>83</v>
      </c>
      <c r="B184" s="110"/>
      <c r="C184" s="110">
        <v>0</v>
      </c>
      <c r="D184" s="110"/>
      <c r="E184" s="110"/>
      <c r="F184" s="110"/>
      <c r="G184" s="110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1:23" ht="15" hidden="1">
      <c r="A185" s="110">
        <v>0</v>
      </c>
      <c r="B185" s="110"/>
      <c r="C185" s="110">
        <v>7500</v>
      </c>
      <c r="D185" s="110">
        <v>1.7100000000000001E-2</v>
      </c>
      <c r="E185" s="112"/>
      <c r="F185" s="113">
        <f>IF(C46&lt;C185,C46*D185,C185*D185)</f>
        <v>0</v>
      </c>
      <c r="G185" s="110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1:23" ht="15" hidden="1">
      <c r="A186" s="110">
        <v>7500</v>
      </c>
      <c r="B186" s="110"/>
      <c r="C186" s="110">
        <v>17500</v>
      </c>
      <c r="D186" s="110">
        <v>1.3679999999999999E-2</v>
      </c>
      <c r="E186" s="112"/>
      <c r="F186" s="113" t="str">
        <f>IF(C46&lt;=A186," ",IF(C46&lt;C186,(C46-C185)*D186,(C186-A186)*D186))</f>
        <v xml:space="preserve"> </v>
      </c>
      <c r="G186" s="110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1:23" ht="15" hidden="1">
      <c r="A187" s="110">
        <v>17500</v>
      </c>
      <c r="B187" s="110"/>
      <c r="C187" s="110">
        <v>30000</v>
      </c>
      <c r="D187" s="110">
        <v>9.1199999999999996E-3</v>
      </c>
      <c r="E187" s="112"/>
      <c r="F187" s="113" t="str">
        <f>IF(C46&lt;=A187," ",IF(C46&lt;C187,(C46-C186)*D187,(C187-A187)*D187))</f>
        <v xml:space="preserve"> </v>
      </c>
      <c r="G187" s="110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1:23" ht="15" hidden="1">
      <c r="A188" s="110">
        <v>30000</v>
      </c>
      <c r="B188" s="110"/>
      <c r="C188" s="110">
        <v>45495</v>
      </c>
      <c r="D188" s="110">
        <v>6.8399999999999997E-3</v>
      </c>
      <c r="E188" s="112"/>
      <c r="F188" s="113" t="str">
        <f>IF(C46&lt;=A188," ",IF(C46&lt;C188,(C46-C187)*D188,(C188-A188)*D188))</f>
        <v xml:space="preserve"> </v>
      </c>
      <c r="G188" s="110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1:23" ht="15" hidden="1">
      <c r="A189" s="110">
        <v>45495</v>
      </c>
      <c r="B189" s="110"/>
      <c r="C189" s="110">
        <v>64095</v>
      </c>
      <c r="D189" s="110">
        <v>4.5599999999999998E-3</v>
      </c>
      <c r="E189" s="112"/>
      <c r="F189" s="113" t="str">
        <f>IF(C46&lt;=A189," ",IF(C46&lt;C189,(C46-C188)*D189,(C189-A189)*D189))</f>
        <v xml:space="preserve"> </v>
      </c>
      <c r="G189" s="110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1:23" ht="15" hidden="1">
      <c r="A190" s="110">
        <v>64095</v>
      </c>
      <c r="B190" s="110"/>
      <c r="C190" s="110">
        <v>250095</v>
      </c>
      <c r="D190" s="110">
        <v>2.2799999999999999E-3</v>
      </c>
      <c r="E190" s="112"/>
      <c r="F190" s="113" t="str">
        <f>IF(C46&lt;=A190," ",IF(C46&lt;C190,(C46-C189)*D190,(C190-A190)*D190))</f>
        <v xml:space="preserve"> </v>
      </c>
      <c r="G190" s="110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1:23" ht="15" hidden="1">
      <c r="A191" s="110">
        <v>250095</v>
      </c>
      <c r="B191" s="110"/>
      <c r="C191" s="114">
        <f>C46</f>
        <v>0</v>
      </c>
      <c r="D191" s="110">
        <v>4.5600000000000003E-4</v>
      </c>
      <c r="E191" s="112"/>
      <c r="F191" s="113" t="str">
        <f>IF(C46&lt;=A191," ",IF(C46&lt;C191,(C46-C190)*D191,(C191-A191)*D191))</f>
        <v xml:space="preserve"> </v>
      </c>
      <c r="G191" s="110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1:23" ht="15" hidden="1">
      <c r="A192" s="110">
        <v>10075000</v>
      </c>
      <c r="B192" s="110"/>
      <c r="C192" s="110">
        <v>0</v>
      </c>
      <c r="D192" s="110">
        <v>4.5600000000000003E-4</v>
      </c>
      <c r="E192" s="115" t="str">
        <f>IF($C$92&lt;=A192," E90",IF($C$92&lt;C192,($C$92-C191)*D192,(C192-A192)*D192))</f>
        <v xml:space="preserve"> E90</v>
      </c>
      <c r="F192" s="116"/>
      <c r="G192" s="110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1:23" ht="15" hidden="1">
      <c r="A193" s="110"/>
      <c r="B193" s="110"/>
      <c r="C193" s="110"/>
      <c r="D193" s="110"/>
      <c r="E193" s="117"/>
      <c r="F193" s="116"/>
      <c r="G193" s="110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1:23" ht="14.25" hidden="1">
      <c r="A194" s="110" t="s">
        <v>13</v>
      </c>
      <c r="B194" s="110"/>
      <c r="C194" s="110"/>
      <c r="D194" s="110"/>
      <c r="E194" s="118">
        <f>SUM(F185:F192)</f>
        <v>0</v>
      </c>
      <c r="F194" s="116"/>
      <c r="G194" s="110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1:23" hidden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1:23" ht="15" hidden="1">
      <c r="A196" s="122" t="s">
        <v>99</v>
      </c>
      <c r="B196" s="123"/>
      <c r="C196" s="123"/>
      <c r="D196" s="123"/>
      <c r="E196" s="124"/>
      <c r="F196" s="125" t="s">
        <v>100</v>
      </c>
      <c r="G196" s="126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1:23" ht="15" hidden="1">
      <c r="A197" s="122">
        <v>67.31</v>
      </c>
      <c r="B197" s="123" t="s">
        <v>101</v>
      </c>
      <c r="C197" s="123">
        <v>25000</v>
      </c>
      <c r="D197" s="123"/>
      <c r="E197" s="124"/>
      <c r="F197" s="125"/>
      <c r="G197" s="126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1:23" ht="15" hidden="1">
      <c r="A198" s="122">
        <v>23.56</v>
      </c>
      <c r="B198" s="123" t="s">
        <v>102</v>
      </c>
      <c r="C198" s="123">
        <v>25000</v>
      </c>
      <c r="D198" s="123" t="s">
        <v>103</v>
      </c>
      <c r="E198" s="124"/>
      <c r="F198" s="125"/>
      <c r="G198" s="126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1:23" ht="15" hidden="1">
      <c r="A199" s="122"/>
      <c r="B199" s="123"/>
      <c r="C199" s="123"/>
      <c r="D199" s="123"/>
      <c r="E199" s="124"/>
      <c r="F199" s="125"/>
      <c r="G199" s="126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1:23" ht="15" hidden="1">
      <c r="A200" s="122"/>
      <c r="B200" s="123"/>
      <c r="C200" s="123"/>
      <c r="D200" s="123"/>
      <c r="E200" s="124"/>
      <c r="F200" s="125"/>
      <c r="G200" s="126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1:23" ht="15" hidden="1">
      <c r="A201" s="122"/>
      <c r="B201" s="123"/>
      <c r="C201" s="123"/>
      <c r="D201" s="123"/>
      <c r="E201" s="124"/>
      <c r="F201" s="125"/>
      <c r="G201" s="126">
        <f>SUM(D135,D138)</f>
        <v>5.7000000000000002E-3</v>
      </c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1:23" ht="15" hidden="1">
      <c r="A202" s="122" t="s">
        <v>106</v>
      </c>
      <c r="B202" s="123"/>
      <c r="C202" s="123" t="s">
        <v>11</v>
      </c>
      <c r="D202" s="123" t="s">
        <v>107</v>
      </c>
      <c r="E202" s="124"/>
      <c r="F202" s="125"/>
      <c r="G202" s="126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1:23" ht="15" hidden="1">
      <c r="A203" s="122"/>
      <c r="B203" s="123"/>
      <c r="C203" s="123">
        <f>D126</f>
        <v>0</v>
      </c>
      <c r="D203" s="123">
        <f>IF(D126=0,575,550)</f>
        <v>575</v>
      </c>
      <c r="E203" s="124"/>
      <c r="F203" s="125"/>
      <c r="G203" s="126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1:23" ht="15" hidden="1">
      <c r="A204" s="122"/>
      <c r="B204" s="123"/>
      <c r="C204" s="123"/>
      <c r="D204" s="123"/>
      <c r="E204" s="124"/>
      <c r="F204" s="125"/>
      <c r="G204" s="126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1:23" ht="15" hidden="1">
      <c r="A205" s="122"/>
      <c r="B205" s="123"/>
      <c r="C205" s="123"/>
      <c r="D205" s="123"/>
      <c r="E205" s="124"/>
      <c r="F205" s="125"/>
      <c r="G205" s="126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1:23" ht="15" hidden="1">
      <c r="A206" s="122"/>
      <c r="B206" s="123"/>
      <c r="C206" s="127">
        <f>ROUNDUP(B55+B56,-2)</f>
        <v>100</v>
      </c>
      <c r="D206" s="123"/>
      <c r="E206" s="124"/>
      <c r="F206" s="125"/>
      <c r="G206" s="126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1:23" ht="15" hidden="1">
      <c r="A207" s="128">
        <f>C52+C53+C57+C59+C62+C65</f>
        <v>860</v>
      </c>
      <c r="B207" s="123"/>
      <c r="C207" s="123"/>
      <c r="D207" s="123"/>
      <c r="E207" s="124" t="s">
        <v>62</v>
      </c>
      <c r="F207" s="125"/>
      <c r="G207" s="126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1:23" ht="15" hidden="1">
      <c r="A208" s="122"/>
      <c r="B208" s="123"/>
      <c r="C208" s="123"/>
      <c r="D208" s="123"/>
      <c r="E208" s="124" t="s">
        <v>63</v>
      </c>
      <c r="F208" s="125"/>
      <c r="G208" s="126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1:23" ht="15" hidden="1">
      <c r="A209" s="122"/>
      <c r="B209" s="123"/>
      <c r="C209" s="123"/>
      <c r="D209" s="123"/>
      <c r="E209" s="124"/>
      <c r="F209" s="125"/>
      <c r="G209" s="129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1:23" ht="15" hidden="1">
      <c r="A210" s="122"/>
      <c r="B210" s="123"/>
      <c r="C210" s="123"/>
      <c r="D210" s="123"/>
      <c r="E210" s="124"/>
      <c r="F210" s="125"/>
      <c r="G210" s="129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1:23" ht="15" hidden="1">
      <c r="A211" s="122"/>
      <c r="B211" s="123"/>
      <c r="C211" s="123"/>
      <c r="D211" s="123"/>
      <c r="E211" s="124"/>
      <c r="F211" s="125"/>
      <c r="G211" s="129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1:23" ht="15" hidden="1">
      <c r="A212" s="122" t="s">
        <v>83</v>
      </c>
      <c r="B212" s="123"/>
      <c r="C212" s="130">
        <f>C46</f>
        <v>0</v>
      </c>
      <c r="D212" s="123"/>
      <c r="E212" s="124"/>
      <c r="F212" s="125"/>
      <c r="G212" s="129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1:23" ht="15" hidden="1">
      <c r="A213" s="122">
        <v>0</v>
      </c>
      <c r="B213" s="123"/>
      <c r="C213" s="123">
        <v>7500</v>
      </c>
      <c r="D213" s="123">
        <v>1.4250000000000001E-2</v>
      </c>
      <c r="E213" s="124"/>
      <c r="F213" s="125">
        <f>IF(C212&lt;C213,C212*D213,C213*D213)</f>
        <v>0</v>
      </c>
      <c r="G213" s="129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1:23" ht="15" hidden="1">
      <c r="A214" s="122">
        <v>7500</v>
      </c>
      <c r="B214" s="123"/>
      <c r="C214" s="123">
        <v>17500</v>
      </c>
      <c r="D214" s="123">
        <v>1.14E-2</v>
      </c>
      <c r="E214" s="124"/>
      <c r="F214" s="125" t="str">
        <f>IF(C212&lt;=A214," ",IF(C212&lt;C214,(C212-C213)*D214,(C214-A214)*D214))</f>
        <v xml:space="preserve"> </v>
      </c>
      <c r="G214" s="129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1:23" ht="15" hidden="1">
      <c r="A215" s="122">
        <v>17500</v>
      </c>
      <c r="B215" s="123"/>
      <c r="C215" s="123">
        <v>30000</v>
      </c>
      <c r="D215" s="123">
        <v>6.8399999999999997E-3</v>
      </c>
      <c r="E215" s="124"/>
      <c r="F215" s="125" t="str">
        <f>IF(C212&lt;=A215," ",IF(C212&lt;C215,(C212-C214)*D215,(C215-A215)*D215))</f>
        <v xml:space="preserve"> </v>
      </c>
      <c r="G215" s="129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1:23" ht="15" hidden="1">
      <c r="A216" s="122">
        <v>30000</v>
      </c>
      <c r="B216" s="123"/>
      <c r="C216" s="123">
        <v>45495</v>
      </c>
      <c r="D216" s="123">
        <v>5.7000000000000002E-3</v>
      </c>
      <c r="E216" s="124"/>
      <c r="F216" s="125" t="str">
        <f>IF(C212&lt;=A216," ",IF(C212&lt;C216,(C212-C215)*D216,(C216-A216)*D216))</f>
        <v xml:space="preserve"> </v>
      </c>
      <c r="G216" s="129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1:23" ht="15" hidden="1">
      <c r="A217" s="122">
        <v>45495</v>
      </c>
      <c r="B217" s="123"/>
      <c r="C217" s="123">
        <v>64095</v>
      </c>
      <c r="D217" s="123">
        <v>4.5599999999999998E-3</v>
      </c>
      <c r="E217" s="124"/>
      <c r="F217" s="125" t="str">
        <f>IF(C212&lt;=A217," ",IF(C212&lt;C217,(C212-C216)*D217,(C217-A217)*D217))</f>
        <v xml:space="preserve"> </v>
      </c>
      <c r="G217" s="129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1:23" ht="15" hidden="1">
      <c r="A218" s="122">
        <v>64095</v>
      </c>
      <c r="B218" s="123"/>
      <c r="C218" s="123">
        <v>250095</v>
      </c>
      <c r="D218" s="123">
        <v>2.2799999999999999E-3</v>
      </c>
      <c r="E218" s="124"/>
      <c r="F218" s="125" t="str">
        <f>IF(C212&lt;=A218," ",IF(C212&lt;C218,(C212-C217)*D218,(C218-A218)*D218))</f>
        <v xml:space="preserve"> </v>
      </c>
      <c r="G218" s="129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1:23" ht="15" hidden="1">
      <c r="A219" s="122">
        <v>250095</v>
      </c>
      <c r="B219" s="123"/>
      <c r="C219" s="123">
        <v>999999999</v>
      </c>
      <c r="D219" s="123">
        <v>4.5600000000000003E-4</v>
      </c>
      <c r="E219" s="124"/>
      <c r="F219" s="125" t="str">
        <f>IF(C212&lt;=A219," ",IF(C212&lt;C219,(C212-C218)*D219,(C219-A219)*D219))</f>
        <v xml:space="preserve"> </v>
      </c>
      <c r="G219" s="129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1:23" ht="15" hidden="1">
      <c r="A220" s="122">
        <v>10075000</v>
      </c>
      <c r="B220" s="123"/>
      <c r="C220" s="123" t="str">
        <f>$B$78</f>
        <v>Afrekening koper</v>
      </c>
      <c r="D220" s="123">
        <v>4.5600000000000003E-4</v>
      </c>
      <c r="E220" s="124" t="str">
        <f>IF(C84&lt;=A220,"E90",IF(C84&lt;C220,(C84-C219)*D220,(C220-A220)*D220))</f>
        <v>E90</v>
      </c>
      <c r="F220" s="125"/>
      <c r="G220" s="129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1:23" ht="15" hidden="1">
      <c r="A221" s="122"/>
      <c r="B221" s="123"/>
      <c r="C221" s="123"/>
      <c r="D221" s="123"/>
      <c r="E221" s="124"/>
      <c r="F221" s="125"/>
      <c r="G221" s="129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1:23" ht="15" hidden="1">
      <c r="A222" s="122" t="s">
        <v>13</v>
      </c>
      <c r="B222" s="123"/>
      <c r="C222" s="123"/>
      <c r="D222" s="123"/>
      <c r="E222" s="124">
        <f>SUM(F213:F220)</f>
        <v>0</v>
      </c>
      <c r="F222" s="125"/>
      <c r="G222" s="129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1:23" hidden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1:23" hidden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1:23" hidden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1:23" hidden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1:23" hidden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1:23" hidden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1:23" hidden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1:23" hidden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1:23" hidden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1:23" hidden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1:23" hidden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1:23" hidden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1:23" hidden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1:23" hidden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1:23" hidden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1:23" hidden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1:23" hidden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1:23" hidden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1:23" hidden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1:23" hidden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1:23" hidden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1:23" hidden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</row>
    <row r="245" spans="1:23" hidden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</row>
    <row r="246" spans="1:23" hidden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</row>
    <row r="247" spans="1:23" hidden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</row>
    <row r="248" spans="1:23" hidden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</row>
    <row r="249" spans="1:23" hidden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</row>
    <row r="250" spans="1:23" hidden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23" hidden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</row>
    <row r="252" spans="1:23" hidden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</row>
    <row r="253" spans="1:23" hidden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</row>
    <row r="254" spans="1:23" hidden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</row>
    <row r="255" spans="1:23" hidden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</row>
    <row r="256" spans="1:23" hidden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spans="1:23" hidden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spans="1:23" hidden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spans="1:23" hidden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</row>
    <row r="260" spans="1:23" hidden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</row>
    <row r="261" spans="1:23" hidden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</row>
    <row r="262" spans="1:23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</row>
    <row r="263" spans="1:2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</row>
    <row r="264" spans="1:23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</row>
    <row r="265" spans="1:23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</row>
    <row r="266" spans="1:23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</row>
    <row r="267" spans="1:23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</row>
    <row r="268" spans="1:23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</row>
    <row r="269" spans="1:23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</row>
    <row r="270" spans="1:23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</row>
    <row r="271" spans="1:23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</row>
    <row r="272" spans="1:23">
      <c r="A272" s="7"/>
      <c r="B272" s="7"/>
      <c r="C272" s="7"/>
      <c r="D272" s="7"/>
      <c r="E272" s="7"/>
      <c r="F272" s="7"/>
      <c r="G272" s="7"/>
    </row>
  </sheetData>
  <sheetProtection algorithmName="SHA-512" hashValue="axUkak+cxFhNl1PLUG5K6qemK5raZblYR4TN8HTUmE09AnmdhowPwHD3EqzBPRImqhvYLruHE7EIPTu88+3nMA==" saltValue="ROIYOLmMz9xnpdkm983aRg==" spinCount="100000" sheet="1" objects="1" scenarios="1"/>
  <phoneticPr fontId="0" type="noConversion"/>
  <dataValidations count="6">
    <dataValidation type="list" allowBlank="1" showInputMessage="1" showErrorMessage="1" sqref="B7">
      <formula1>$K$160:$K$161</formula1>
    </dataValidation>
    <dataValidation type="list" allowBlank="1" showInputMessage="1" showErrorMessage="1" sqref="B12">
      <formula1>C88:C89</formula1>
    </dataValidation>
    <dataValidation type="list" allowBlank="1" showInputMessage="1" showErrorMessage="1" sqref="B13">
      <formula1>A88:A126</formula1>
    </dataValidation>
    <dataValidation type="list" allowBlank="1" showInputMessage="1" showErrorMessage="1" sqref="B15">
      <formula1>E88:E89</formula1>
    </dataValidation>
    <dataValidation type="list" allowBlank="1" showInputMessage="1" showErrorMessage="1" sqref="B14">
      <formula1>D88:D89</formula1>
    </dataValidation>
    <dataValidation type="list" allowBlank="1" showInputMessage="1" showErrorMessage="1" sqref="B48">
      <formula1>$F$153:$F$154</formula1>
    </dataValidation>
  </dataValidations>
  <hyperlinks>
    <hyperlink ref="D76" r:id="rId1"/>
    <hyperlink ref="D78" r:id="rId2"/>
    <hyperlink ref="B78" r:id="rId3"/>
    <hyperlink ref="C80" r:id="rId4"/>
    <hyperlink ref="B76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VBIWTVABREYNEPH</vt:lpstr>
      <vt:lpstr>VBIWTVABREYNEPH!_1._Zegels_Minuut_Brevet</vt:lpstr>
      <vt:lpstr>VBIWTVABREYNEPH!_2._Registratie_Minuut_Brevet</vt:lpstr>
      <vt:lpstr>VBIWTVABREYNEPH!_3._Registratie_aanhangsel</vt:lpstr>
      <vt:lpstr>VBIWTVABREYNEPH!Aard</vt:lpstr>
      <vt:lpstr>VBIWTVABREYNEPH!Afdrukbereik</vt:lpstr>
      <vt:lpstr>VBIWTVABREYNEPH!Datum</vt:lpstr>
      <vt:lpstr>VBIWTVABREYNEPH!KOSTENFICHE</vt:lpstr>
      <vt:lpstr>VBIWTVABREYNEPH!Rep.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2014-12-07T14:53:15Z</dcterms:modified>
</cp:coreProperties>
</file>