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MH" sheetId="1" r:id="rId1"/>
  </sheets>
  <definedNames>
    <definedName name="_1._Zegels_Minuut_Brevet" localSheetId="0">VBIWTVABREYNECRMH!$A$19:$F$19</definedName>
    <definedName name="_1._Zegels_Minuut_Brevet">#REF!</definedName>
    <definedName name="_10._Tweede_getuigschrift" localSheetId="0">VBIWTVABREYNECRMH!#REF!</definedName>
    <definedName name="_10._Tweede_getuigschrift">#REF!</definedName>
    <definedName name="_11._Kadaster_uittreksel" localSheetId="0">VBIWTVABREYNECRMH!#REF!</definedName>
    <definedName name="_11._Kadaster_uittreksel">#REF!</definedName>
    <definedName name="_12._Getuigen" localSheetId="0">VBIWTVABREYNECRMH!#REF!</definedName>
    <definedName name="_12._Getuigen">#REF!</definedName>
    <definedName name="_13._Allerlei_uitgaven" localSheetId="0">VBIWTVABREYNECRMH!#REF!</definedName>
    <definedName name="_13._Allerlei_uitgaven">#REF!</definedName>
    <definedName name="_14." localSheetId="0">VBIWTVABREYNECRMH!#REF!</definedName>
    <definedName name="_14.">#REF!</definedName>
    <definedName name="_15." localSheetId="0">VBIWTVABREYNECRMH!#REF!</definedName>
    <definedName name="_15.">#REF!</definedName>
    <definedName name="_2._Registratie_Minuut_Brevet" localSheetId="0">VBIWTVABREYNECRMH!$B$22:$G$22</definedName>
    <definedName name="_2._Registratie_Minuut_Brevet">#REF!</definedName>
    <definedName name="_3._Registratie_aanhangsel" localSheetId="0">VBIWTVABREYNECRMH!$E$23:$G$23</definedName>
    <definedName name="_3._Registratie_aanhangsel">#REF!</definedName>
    <definedName name="_4.Zegels_afschrift_grosse" localSheetId="0">VBIWTVABREYNECRMH!#REF!</definedName>
    <definedName name="_4.Zegels_afschrift_grosse">#REF!</definedName>
    <definedName name="_5._Hypotheek__inschr._overschr._doorh." localSheetId="0">VBIWTVABREYNECRMH!#REF!</definedName>
    <definedName name="_5._Hypotheek__inschr._overschr._doorh.">#REF!</definedName>
    <definedName name="_6._Loon_pandbewaarder" localSheetId="0">VBIWTVABREYNECRMH!#REF!</definedName>
    <definedName name="_6._Loon_pandbewaarder">#REF!</definedName>
    <definedName name="_7._Zegels__bord._aanh." localSheetId="0">VBIWTVABREYNECRMH!#REF!</definedName>
    <definedName name="_7._Zegels__bord._aanh.">#REF!</definedName>
    <definedName name="_8._Opzoekingen" localSheetId="0">VBIWTVABREYNECRMH!#REF!</definedName>
    <definedName name="_8._Opzoekingen">#REF!</definedName>
    <definedName name="_9._Hypothecair_getuigschrift" localSheetId="0">VBIWTVABREYNECRMH!#REF!</definedName>
    <definedName name="_9._Hypothecair_getuigschrift">#REF!</definedName>
    <definedName name="Aard" localSheetId="0">VBIWTVABREYNECRMH!$B$4:$F$4</definedName>
    <definedName name="Aard">#REF!</definedName>
    <definedName name="_xlnm.Print_Area" localSheetId="0">VBIWTVABREYNECRMH!$A$1:$E$96</definedName>
    <definedName name="Datum" localSheetId="0">VBIWTVABREYNECRMH!$B$4:$G$37</definedName>
    <definedName name="Datum">#REF!</definedName>
    <definedName name="gemeentelijke_info">#REF!</definedName>
    <definedName name="Kantoor_van_Notaris_J._SIMONART_te_Leuven" localSheetId="0">VBIWTVABREYNECRMH!#REF!</definedName>
    <definedName name="Kantoor_van_Notaris_J._SIMONART_te_Leuven">#REF!</definedName>
    <definedName name="KOSTENFICHE" localSheetId="0">VBIWTVABREYNECRMH!$A$1:$G$37</definedName>
    <definedName name="KOSTENFICHE">#REF!</definedName>
    <definedName name="Last_Row">IF(Values_Entered,Header_Row+Number_of_Payments,Header_Row)</definedName>
    <definedName name="Naam" localSheetId="0">VBIWTVABREYNECRMH!#REF!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VBIWTVABREYNECRMH!$F$4:$F$39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VBIWTVABREYNECRMH!#REF!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VBIWTVABREYNECRMH!$A$3:$G$37</definedName>
  </definedNames>
  <calcPr calcId="152511"/>
</workbook>
</file>

<file path=xl/calcChain.xml><?xml version="1.0" encoding="utf-8"?>
<calcChain xmlns="http://schemas.openxmlformats.org/spreadsheetml/2006/main">
  <c r="A108" i="1" l="1"/>
  <c r="B57" i="1" s="1"/>
  <c r="B10" i="1"/>
  <c r="F171" i="1" s="1"/>
  <c r="D21" i="1"/>
  <c r="D23" i="1"/>
  <c r="C45" i="1"/>
  <c r="B56" i="1" s="1"/>
  <c r="D219" i="1" s="1"/>
  <c r="C58" i="1" s="1"/>
  <c r="C60" i="1"/>
  <c r="C61" i="1" s="1"/>
  <c r="C63" i="1"/>
  <c r="C67" i="1"/>
  <c r="B80" i="1"/>
  <c r="D116" i="1" s="1"/>
  <c r="H103" i="1"/>
  <c r="I103" i="1"/>
  <c r="J103" i="1"/>
  <c r="B109" i="1"/>
  <c r="C130" i="1"/>
  <c r="C131" i="1"/>
  <c r="E231" i="1" s="1"/>
  <c r="C132" i="1"/>
  <c r="F133" i="1"/>
  <c r="D132" i="1"/>
  <c r="F132" i="1"/>
  <c r="C133" i="1"/>
  <c r="D133" i="1"/>
  <c r="F134" i="1"/>
  <c r="F135" i="1"/>
  <c r="F136" i="1"/>
  <c r="F137" i="1"/>
  <c r="B190" i="1"/>
  <c r="C190" i="1"/>
  <c r="B191" i="1"/>
  <c r="C191" i="1"/>
  <c r="F224" i="1"/>
  <c r="F225" i="1"/>
  <c r="F226" i="1"/>
  <c r="F227" i="1"/>
  <c r="F228" i="1"/>
  <c r="F229" i="1"/>
  <c r="C230" i="1"/>
  <c r="F230" i="1"/>
  <c r="D117" i="1"/>
  <c r="D112" i="1"/>
  <c r="F213" i="1"/>
  <c r="F208" i="1"/>
  <c r="F169" i="1"/>
  <c r="F174" i="1"/>
  <c r="F210" i="1" l="1"/>
  <c r="F170" i="1"/>
  <c r="F207" i="1"/>
  <c r="D114" i="1"/>
  <c r="F172" i="1"/>
  <c r="D113" i="1"/>
  <c r="F211" i="1"/>
  <c r="F173" i="1"/>
  <c r="D111" i="1"/>
  <c r="E233" i="1"/>
  <c r="F52" i="1" s="1"/>
  <c r="F69" i="1" s="1"/>
  <c r="H105" i="1"/>
  <c r="C87" i="1" s="1"/>
  <c r="C53" i="1"/>
  <c r="C69" i="1" s="1"/>
  <c r="F70" i="1" s="1"/>
  <c r="C89" i="1"/>
  <c r="F90" i="1" s="1"/>
  <c r="F139" i="1"/>
  <c r="D20" i="1" s="1"/>
  <c r="C213" i="1"/>
  <c r="F175" i="1"/>
  <c r="F212" i="1"/>
  <c r="F209" i="1"/>
  <c r="D115" i="1"/>
  <c r="C64" i="1"/>
  <c r="E36" i="1"/>
  <c r="E26" i="1"/>
  <c r="F53" i="1" l="1"/>
  <c r="I119" i="1"/>
  <c r="I120" i="1" s="1"/>
  <c r="F84" i="1" s="1"/>
  <c r="F89" i="1" s="1"/>
  <c r="F91" i="1" s="1"/>
  <c r="F177" i="1"/>
  <c r="F215" i="1"/>
  <c r="E19" i="1" s="1"/>
  <c r="E27" i="1" s="1"/>
  <c r="E29" i="1" s="1"/>
  <c r="E39" i="1"/>
  <c r="F71" i="1"/>
  <c r="F73" i="1"/>
  <c r="F93" i="1" l="1"/>
  <c r="F95" i="1" s="1"/>
  <c r="F75" i="1"/>
</calcChain>
</file>

<file path=xl/comments1.xml><?xml version="1.0" encoding="utf-8"?>
<comments xmlns="http://schemas.openxmlformats.org/spreadsheetml/2006/main">
  <authors>
    <author>licentie</author>
  </authors>
  <commentList>
    <comment ref="C54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<sst xmlns="http://schemas.openxmlformats.org/spreadsheetml/2006/main" count="174" uniqueCount="117">
  <si>
    <t>Dossier</t>
  </si>
  <si>
    <t>Prijs</t>
  </si>
  <si>
    <t>------------------------------------------------------------------------------------------------</t>
  </si>
  <si>
    <t>Ereloon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</si>
  <si>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</si>
  <si>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</si>
  <si>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</si>
  <si>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</si>
  <si>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</si>
  <si>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</si>
  <si>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</si>
  <si>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</si>
  <si>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</si>
  <si>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</si>
  <si>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</si>
  <si>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</si>
  <si>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</si>
  <si>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</si>
  <si>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</si>
  <si>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</si>
  <si>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</si>
  <si>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</si>
  <si>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</si>
  <si>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</si>
  <si>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</si>
  <si>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</si>
  <si>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</si>
  <si>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</si>
  <si>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</si>
  <si>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</si>
  <si>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</si>
  <si>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</si>
  <si>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</si>
  <si>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</si>
  <si>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</si>
  <si>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</si>
  <si>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</si>
  <si>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</si>
  <si>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</si>
  <si>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</si>
  <si>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</si>
  <si>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</si>
  <si>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</si>
  <si>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</si>
  <si>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</si>
  <si>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</si>
  <si>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</si>
  <si>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</si>
  <si>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</si>
  <si>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</si>
  <si>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</si>
  <si>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</si>
  <si>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</si>
  <si>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</si>
  <si>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</si>
  <si>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</si>
  <si>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</si>
  <si>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</si>
  <si>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</si>
  <si>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</si>
  <si>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</si>
  <si>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</si>
  <si>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</si>
  <si>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</si>
  <si>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</si>
  <si>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</si>
  <si>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</si>
  <si>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</si>
  <si>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</si>
  <si>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</si>
  <si>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</si>
  <si>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</si>
  <si>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</si>
  <si>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Renseignements urbanistiques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</si>
  <si>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</si>
  <si>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</si>
  <si>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</si>
  <si>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</si>
  <si>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</si>
  <si>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</si>
  <si>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</si>
  <si>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</si>
  <si>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VENTE BIEN IMMOBILIER AVEC TVA - WALLONIE + CREDIT + MANDAT HYPOTHECAIRE</t>
  </si>
  <si>
    <t>Basis</t>
  </si>
  <si>
    <t>Tarief</t>
  </si>
  <si>
    <t>Ereloon G</t>
  </si>
  <si>
    <t>Lening</t>
  </si>
  <si>
    <t>Hypothecaire volmacht</t>
  </si>
  <si>
    <t>OUVERTURE DE CRÉDIT</t>
  </si>
  <si>
    <t>Base enregistrement</t>
  </si>
  <si>
    <t>Principal</t>
  </si>
  <si>
    <t>Accessoires</t>
  </si>
  <si>
    <t>Base</t>
  </si>
  <si>
    <t>Base honoraire</t>
  </si>
  <si>
    <t>Crédit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</si>
  <si>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</si>
  <si>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</si>
  <si>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</si>
  <si>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</si>
  <si>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</si>
  <si>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</si>
  <si>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</si>
  <si>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</si>
  <si>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</si>
  <si>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</si>
  <si>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</si>
  <si>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MANDAT HYPOTHECAIRE ACQUEREUR</t>
  </si>
  <si>
    <t>Combien de bureaux d'hypothèques?</t>
  </si>
  <si>
    <t>Honoraires</t>
  </si>
  <si>
    <t>Frais</t>
  </si>
  <si>
    <t>Loon hypotheekbewaarder</t>
  </si>
  <si>
    <t>Berekening ereloon hypotheekbewaarder</t>
  </si>
  <si>
    <t xml:space="preserve">tot </t>
  </si>
  <si>
    <t>per</t>
  </si>
  <si>
    <t>supplementair</t>
  </si>
  <si>
    <t>Inscription à combien de bureaux d'hypothèques?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</si>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</sst>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</numFmts>
  <fonts count="2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u/>
      <sz val="10"/>
      <name val="Arial"/>
      <family val="2"/>
    </font>
    <font>
      <b/>
      <sz val="10"/>
      <color indexed="81"/>
      <name val="Tahoma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/>
      <top/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9" fillId="0" borderId="0"/>
    <xf numFmtId="0" fontId="1" fillId="0" borderId="0"/>
    <xf numFmtId="0" fontId="19" fillId="0" borderId="0"/>
    <xf numFmtId="177" fontId="8" fillId="0" borderId="1">
      <protection locked="0"/>
    </xf>
    <xf numFmtId="0" fontId="20" fillId="0" borderId="31" applyNumberFormat="0" applyFill="0" applyAlignment="0" applyProtection="0"/>
  </cellStyleXfs>
  <cellXfs count="221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0" fontId="1" fillId="2" borderId="8" xfId="13" applyFill="1" applyBorder="1" applyAlignment="1" applyProtection="1">
      <alignment horizontal="left"/>
      <protection hidden="1"/>
    </xf>
    <xf numFmtId="166" fontId="1" fillId="2" borderId="4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9" xfId="13" applyNumberFormat="1" applyFont="1" applyFill="1" applyBorder="1" applyProtection="1">
      <protection hidden="1"/>
    </xf>
    <xf numFmtId="169" fontId="5" fillId="2" borderId="10" xfId="13" applyNumberFormat="1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Alignment="1" applyProtection="1">
      <alignment horizontal="center"/>
      <protection hidden="1"/>
    </xf>
    <xf numFmtId="0" fontId="5" fillId="2" borderId="11" xfId="13" applyFont="1" applyFill="1" applyBorder="1" applyAlignment="1" applyProtection="1">
      <alignment horizontal="center"/>
      <protection hidden="1"/>
    </xf>
    <xf numFmtId="168" fontId="6" fillId="2" borderId="10" xfId="13" applyNumberFormat="1" applyFont="1" applyFill="1" applyBorder="1" applyProtection="1">
      <protection hidden="1"/>
    </xf>
    <xf numFmtId="169" fontId="6" fillId="2" borderId="10" xfId="13" applyNumberFormat="1" applyFont="1" applyFill="1" applyBorder="1" applyProtection="1">
      <protection hidden="1"/>
    </xf>
    <xf numFmtId="170" fontId="6" fillId="2" borderId="10" xfId="13" applyNumberFormat="1" applyFont="1" applyFill="1" applyBorder="1" applyProtection="1">
      <protection hidden="1"/>
    </xf>
    <xf numFmtId="170" fontId="6" fillId="2" borderId="11" xfId="13" applyNumberFormat="1" applyFont="1" applyFill="1" applyBorder="1" applyProtection="1">
      <protection hidden="1"/>
    </xf>
    <xf numFmtId="0" fontId="6" fillId="2" borderId="12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3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3" xfId="13" applyFont="1" applyFill="1" applyBorder="1" applyProtection="1">
      <protection hidden="1"/>
    </xf>
    <xf numFmtId="168" fontId="5" fillId="2" borderId="10" xfId="13" applyNumberFormat="1" applyFont="1" applyFill="1" applyBorder="1" applyProtection="1"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4" xfId="13" applyFont="1" applyFill="1" applyBorder="1" applyProtection="1">
      <protection hidden="1"/>
    </xf>
    <xf numFmtId="0" fontId="1" fillId="6" borderId="14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10" xfId="0" applyNumberFormat="1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5" fillId="2" borderId="11" xfId="0" applyFont="1" applyFill="1" applyBorder="1" applyAlignment="1" applyProtection="1">
      <alignment horizontal="center"/>
      <protection hidden="1"/>
    </xf>
    <xf numFmtId="168" fontId="6" fillId="2" borderId="10" xfId="0" applyNumberFormat="1" applyFont="1" applyFill="1" applyBorder="1" applyProtection="1">
      <protection hidden="1"/>
    </xf>
    <xf numFmtId="169" fontId="6" fillId="2" borderId="10" xfId="0" applyNumberFormat="1" applyFont="1" applyFill="1" applyBorder="1" applyProtection="1">
      <protection hidden="1"/>
    </xf>
    <xf numFmtId="170" fontId="6" fillId="2" borderId="10" xfId="0" applyNumberFormat="1" applyFont="1" applyFill="1" applyBorder="1" applyProtection="1">
      <protection hidden="1"/>
    </xf>
    <xf numFmtId="170" fontId="6" fillId="2" borderId="11" xfId="0" applyNumberFormat="1" applyFont="1" applyFill="1" applyBorder="1" applyProtection="1">
      <protection hidden="1"/>
    </xf>
    <xf numFmtId="0" fontId="6" fillId="2" borderId="12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3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Protection="1">
      <protection hidden="1"/>
    </xf>
    <xf numFmtId="168" fontId="5" fillId="2" borderId="10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2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locked="0" hidden="1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  <xf numFmtId="179" fontId="1" fillId="5" borderId="0" xfId="13" applyNumberFormat="1" applyFill="1" applyBorder="1" applyAlignment="1" applyProtection="1">
      <protection locked="0" hidden="1"/>
    </xf>
    <xf numFmtId="179" fontId="1" fillId="10" borderId="0" xfId="13" applyNumberFormat="1" applyFill="1" applyBorder="1" applyAlignment="1" applyProtection="1">
      <protection locked="0" hidden="1"/>
    </xf>
    <xf numFmtId="179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5" xfId="0" applyFont="1" applyFill="1" applyBorder="1" applyAlignment="1" applyProtection="1">
      <alignment horizontal="left"/>
      <protection hidden="1"/>
    </xf>
    <xf numFmtId="166" fontId="1" fillId="11" borderId="14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4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9" fontId="1" fillId="11" borderId="14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5" borderId="14" xfId="13" applyNumberFormat="1" applyFill="1" applyBorder="1" applyAlignment="1" applyProtection="1">
      <alignment horizontal="right"/>
      <protection hidden="1"/>
    </xf>
    <xf numFmtId="179" fontId="1" fillId="13" borderId="15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6" borderId="16" xfId="13" applyNumberFormat="1" applyFill="1" applyBorder="1" applyAlignment="1" applyProtection="1">
      <alignment horizontal="right"/>
      <protection hidden="1"/>
    </xf>
    <xf numFmtId="179" fontId="1" fillId="14" borderId="15" xfId="13" applyNumberFormat="1" applyFill="1" applyBorder="1" applyAlignment="1" applyProtection="1">
      <alignment horizontal="right"/>
      <protection hidden="1"/>
    </xf>
    <xf numFmtId="0" fontId="1" fillId="13" borderId="14" xfId="0" applyFont="1" applyFill="1" applyBorder="1" applyAlignment="1" applyProtection="1">
      <alignment horizontal="left"/>
      <protection hidden="1"/>
    </xf>
    <xf numFmtId="0" fontId="2" fillId="14" borderId="15" xfId="0" applyFont="1" applyFill="1" applyBorder="1" applyAlignment="1" applyProtection="1">
      <alignment horizontal="left"/>
      <protection hidden="1"/>
    </xf>
    <xf numFmtId="0" fontId="1" fillId="3" borderId="2" xfId="13" applyNumberFormat="1" applyFill="1" applyBorder="1" applyAlignment="1" applyProtection="1">
      <protection hidden="1"/>
    </xf>
    <xf numFmtId="166" fontId="1" fillId="3" borderId="2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164" fontId="1" fillId="0" borderId="0" xfId="13" applyNumberFormat="1" applyProtection="1">
      <protection hidden="1"/>
    </xf>
    <xf numFmtId="170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167" fontId="1" fillId="0" borderId="0" xfId="13" applyNumberFormat="1" applyProtection="1">
      <protection hidden="1"/>
    </xf>
    <xf numFmtId="181" fontId="6" fillId="15" borderId="0" xfId="13" applyNumberFormat="1" applyFont="1" applyFill="1" applyBorder="1" applyProtection="1">
      <protection hidden="1"/>
    </xf>
    <xf numFmtId="0" fontId="1" fillId="7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3" fontId="1" fillId="7" borderId="0" xfId="0" applyNumberFormat="1" applyFont="1" applyFill="1" applyProtection="1">
      <protection hidden="1"/>
    </xf>
    <xf numFmtId="3" fontId="3" fillId="7" borderId="0" xfId="9" applyNumberFormat="1" applyFill="1" applyAlignment="1" applyProtection="1">
      <protection hidden="1"/>
    </xf>
    <xf numFmtId="167" fontId="1" fillId="7" borderId="0" xfId="0" applyNumberFormat="1" applyFont="1" applyFill="1" applyProtection="1">
      <protection hidden="1"/>
    </xf>
    <xf numFmtId="0" fontId="2" fillId="16" borderId="15" xfId="13" applyFont="1" applyFill="1" applyBorder="1" applyAlignment="1" applyProtection="1">
      <alignment horizontal="left"/>
      <protection hidden="1"/>
    </xf>
    <xf numFmtId="179" fontId="1" fillId="10" borderId="0" xfId="13" applyNumberFormat="1" applyFill="1" applyBorder="1" applyAlignment="1" applyProtection="1">
      <alignment horizontal="right"/>
      <protection locked="0" hidden="1"/>
    </xf>
    <xf numFmtId="179" fontId="1" fillId="17" borderId="0" xfId="13" applyNumberFormat="1" applyFill="1" applyBorder="1" applyAlignment="1" applyProtection="1">
      <alignment horizontal="right"/>
      <protection hidden="1"/>
    </xf>
    <xf numFmtId="179" fontId="1" fillId="5" borderId="0" xfId="13" applyNumberFormat="1" applyFill="1" applyBorder="1" applyAlignment="1" applyProtection="1">
      <alignment horizontal="right"/>
      <protection locked="0" hidden="1"/>
    </xf>
    <xf numFmtId="179" fontId="1" fillId="10" borderId="0" xfId="13" applyNumberFormat="1" applyFill="1" applyBorder="1" applyAlignment="1" applyProtection="1">
      <alignment horizontal="center"/>
      <protection locked="0" hidden="1"/>
    </xf>
    <xf numFmtId="179" fontId="1" fillId="10" borderId="17" xfId="13" applyNumberFormat="1" applyFill="1" applyBorder="1" applyAlignment="1" applyProtection="1">
      <protection hidden="1"/>
    </xf>
    <xf numFmtId="179" fontId="1" fillId="10" borderId="0" xfId="13" applyNumberFormat="1" applyFill="1" applyBorder="1" applyAlignment="1" applyProtection="1">
      <alignment horizontal="right"/>
      <protection hidden="1"/>
    </xf>
    <xf numFmtId="179" fontId="1" fillId="12" borderId="17" xfId="13" applyNumberFormat="1" applyFill="1" applyBorder="1" applyAlignment="1" applyProtection="1">
      <protection hidden="1"/>
    </xf>
    <xf numFmtId="179" fontId="1" fillId="10" borderId="0" xfId="13" applyNumberFormat="1" applyFill="1" applyBorder="1" applyAlignment="1" applyProtection="1">
      <alignment horizontal="right"/>
      <protection locked="0"/>
    </xf>
    <xf numFmtId="179" fontId="1" fillId="4" borderId="0" xfId="13" applyNumberFormat="1" applyFill="1" applyBorder="1" applyAlignment="1" applyProtection="1">
      <alignment horizontal="right"/>
      <protection hidden="1"/>
    </xf>
    <xf numFmtId="179" fontId="1" fillId="12" borderId="0" xfId="13" applyNumberFormat="1" applyFill="1" applyBorder="1" applyAlignment="1" applyProtection="1">
      <alignment horizontal="right"/>
      <protection hidden="1"/>
    </xf>
    <xf numFmtId="179" fontId="1" fillId="10" borderId="0" xfId="13" applyNumberFormat="1" applyFont="1" applyFill="1" applyBorder="1" applyAlignment="1" applyProtection="1">
      <alignment horizontal="right"/>
      <protection locked="0" hidden="1"/>
    </xf>
    <xf numFmtId="179" fontId="1" fillId="18" borderId="0" xfId="13" applyNumberFormat="1" applyFont="1" applyFill="1" applyBorder="1" applyAlignment="1" applyProtection="1">
      <alignment horizontal="right"/>
      <protection hidden="1"/>
    </xf>
    <xf numFmtId="179" fontId="1" fillId="18" borderId="17" xfId="13" applyNumberFormat="1" applyFill="1" applyBorder="1" applyAlignment="1" applyProtection="1">
      <protection hidden="1"/>
    </xf>
    <xf numFmtId="179" fontId="1" fillId="8" borderId="17" xfId="13" applyNumberFormat="1" applyFill="1" applyBorder="1" applyAlignment="1" applyProtection="1">
      <protection hidden="1"/>
    </xf>
    <xf numFmtId="179" fontId="1" fillId="17" borderId="17" xfId="13" applyNumberFormat="1" applyFill="1" applyBorder="1"/>
    <xf numFmtId="179" fontId="2" fillId="11" borderId="18" xfId="13" applyNumberFormat="1" applyFont="1" applyFill="1" applyBorder="1"/>
    <xf numFmtId="0" fontId="1" fillId="2" borderId="19" xfId="13" applyNumberFormat="1" applyFill="1" applyBorder="1" applyAlignment="1" applyProtection="1">
      <protection hidden="1"/>
    </xf>
    <xf numFmtId="166" fontId="1" fillId="2" borderId="19" xfId="13" applyNumberFormat="1" applyFill="1" applyBorder="1" applyAlignment="1" applyProtection="1">
      <protection hidden="1"/>
    </xf>
    <xf numFmtId="0" fontId="1" fillId="2" borderId="19" xfId="13" applyFill="1" applyBorder="1"/>
    <xf numFmtId="0" fontId="1" fillId="10" borderId="0" xfId="13" applyFill="1" applyBorder="1" applyAlignment="1" applyProtection="1">
      <alignment horizontal="center"/>
      <protection locked="0" hidden="1"/>
    </xf>
    <xf numFmtId="0" fontId="2" fillId="19" borderId="0" xfId="0" applyFont="1" applyFill="1" applyBorder="1" applyAlignment="1" applyProtection="1">
      <alignment horizontal="left"/>
      <protection hidden="1"/>
    </xf>
    <xf numFmtId="0" fontId="1" fillId="0" borderId="0" xfId="13" applyFill="1" applyProtection="1">
      <protection hidden="1"/>
    </xf>
    <xf numFmtId="179" fontId="1" fillId="0" borderId="0" xfId="13" applyNumberFormat="1" applyFill="1" applyBorder="1" applyAlignment="1" applyProtection="1">
      <alignment horizontal="right"/>
      <protection hidden="1"/>
    </xf>
    <xf numFmtId="179" fontId="1" fillId="0" borderId="17" xfId="13" applyNumberFormat="1" applyFill="1" applyBorder="1" applyProtection="1">
      <protection hidden="1"/>
    </xf>
    <xf numFmtId="179" fontId="1" fillId="0" borderId="17" xfId="13" applyNumberFormat="1" applyFill="1" applyBorder="1"/>
    <xf numFmtId="165" fontId="11" fillId="0" borderId="0" xfId="0" applyNumberFormat="1" applyFont="1" applyFill="1" applyBorder="1" applyAlignment="1" applyProtection="1">
      <alignment horizontal="left"/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165" fontId="11" fillId="0" borderId="27" xfId="0" applyNumberFormat="1" applyFont="1" applyFill="1" applyBorder="1" applyAlignment="1" applyProtection="1">
      <protection hidden="1"/>
    </xf>
    <xf numFmtId="179" fontId="1" fillId="20" borderId="20" xfId="13" applyNumberFormat="1" applyFill="1" applyBorder="1" applyAlignment="1" applyProtection="1">
      <alignment horizontal="right"/>
      <protection locked="0" hidden="1"/>
    </xf>
    <xf numFmtId="165" fontId="11" fillId="20" borderId="0" xfId="0" applyNumberFormat="1" applyFont="1" applyFill="1" applyBorder="1" applyAlignment="1" applyProtection="1">
      <alignment horizontal="left"/>
      <protection hidden="1"/>
    </xf>
    <xf numFmtId="165" fontId="11" fillId="20" borderId="27" xfId="0" applyNumberFormat="1" applyFont="1" applyFill="1" applyBorder="1" applyAlignment="1" applyProtection="1">
      <protection hidden="1"/>
    </xf>
    <xf numFmtId="179" fontId="1" fillId="21" borderId="0" xfId="13" applyNumberFormat="1" applyFill="1" applyBorder="1" applyAlignment="1" applyProtection="1">
      <alignment horizontal="right"/>
      <protection hidden="1"/>
    </xf>
    <xf numFmtId="165" fontId="11" fillId="21" borderId="0" xfId="0" applyNumberFormat="1" applyFont="1" applyFill="1" applyBorder="1" applyAlignment="1" applyProtection="1">
      <alignment horizontal="left"/>
      <protection hidden="1"/>
    </xf>
    <xf numFmtId="165" fontId="11" fillId="22" borderId="0" xfId="0" applyNumberFormat="1" applyFont="1" applyFill="1" applyBorder="1" applyAlignment="1" applyProtection="1">
      <alignment horizontal="left"/>
      <protection hidden="1"/>
    </xf>
    <xf numFmtId="165" fontId="11" fillId="22" borderId="27" xfId="0" applyNumberFormat="1" applyFont="1" applyFill="1" applyBorder="1" applyAlignment="1" applyProtection="1">
      <protection hidden="1"/>
    </xf>
    <xf numFmtId="165" fontId="11" fillId="23" borderId="27" xfId="0" applyNumberFormat="1" applyFont="1" applyFill="1" applyBorder="1" applyAlignment="1" applyProtection="1">
      <protection hidden="1"/>
    </xf>
    <xf numFmtId="165" fontId="11" fillId="24" borderId="27" xfId="0" applyNumberFormat="1" applyFont="1" applyFill="1" applyBorder="1" applyAlignment="1" applyProtection="1">
      <protection hidden="1"/>
    </xf>
    <xf numFmtId="165" fontId="18" fillId="25" borderId="30" xfId="0" applyNumberFormat="1" applyFont="1" applyFill="1" applyBorder="1" applyAlignment="1" applyProtection="1">
      <protection hidden="1"/>
    </xf>
    <xf numFmtId="165" fontId="11" fillId="20" borderId="24" xfId="0" applyNumberFormat="1" applyFont="1" applyFill="1" applyBorder="1" applyAlignment="1" applyProtection="1">
      <alignment horizontal="left"/>
      <protection locked="0" hidden="1"/>
    </xf>
    <xf numFmtId="165" fontId="11" fillId="20" borderId="0" xfId="0" applyNumberFormat="1" applyFont="1" applyFill="1" applyBorder="1" applyAlignment="1" applyProtection="1">
      <alignment horizontal="left"/>
      <protection locked="0" hidden="1"/>
    </xf>
    <xf numFmtId="0" fontId="11" fillId="20" borderId="0" xfId="0" applyFont="1" applyFill="1" applyBorder="1" applyAlignment="1" applyProtection="1">
      <alignment horizontal="center"/>
      <protection locked="0" hidden="1"/>
    </xf>
    <xf numFmtId="165" fontId="11" fillId="21" borderId="0" xfId="0" applyNumberFormat="1" applyFont="1" applyFill="1" applyBorder="1" applyAlignment="1" applyProtection="1">
      <alignment horizontal="left"/>
      <protection locked="0" hidden="1"/>
    </xf>
    <xf numFmtId="165" fontId="11" fillId="26" borderId="0" xfId="0" applyNumberFormat="1" applyFont="1" applyFill="1" applyBorder="1" applyAlignment="1" applyProtection="1">
      <alignment horizontal="left"/>
      <protection locked="0" hidden="1"/>
    </xf>
    <xf numFmtId="0" fontId="1" fillId="27" borderId="0" xfId="13" applyFont="1" applyFill="1" applyBorder="1" applyProtection="1">
      <protection hidden="1"/>
    </xf>
    <xf numFmtId="179" fontId="1" fillId="27" borderId="7" xfId="13" applyNumberFormat="1" applyFill="1" applyBorder="1" applyAlignment="1" applyProtection="1">
      <alignment horizontal="right"/>
      <protection hidden="1"/>
    </xf>
    <xf numFmtId="0" fontId="1" fillId="27" borderId="0" xfId="13" applyFill="1" applyBorder="1" applyAlignment="1" applyProtection="1">
      <alignment horizontal="left"/>
      <protection hidden="1"/>
    </xf>
    <xf numFmtId="179" fontId="1" fillId="27" borderId="0" xfId="13" applyNumberFormat="1" applyFill="1" applyBorder="1" applyAlignment="1" applyProtection="1">
      <alignment horizontal="right"/>
      <protection hidden="1"/>
    </xf>
    <xf numFmtId="166" fontId="1" fillId="27" borderId="0" xfId="13" applyNumberFormat="1" applyFill="1" applyBorder="1" applyAlignment="1" applyProtection="1">
      <protection hidden="1"/>
    </xf>
    <xf numFmtId="0" fontId="1" fillId="27" borderId="0" xfId="13" applyFill="1" applyProtection="1">
      <protection hidden="1"/>
    </xf>
    <xf numFmtId="0" fontId="16" fillId="27" borderId="20" xfId="13" applyFont="1" applyFill="1" applyBorder="1" applyAlignment="1" applyProtection="1">
      <alignment horizontal="left"/>
      <protection hidden="1"/>
    </xf>
    <xf numFmtId="166" fontId="1" fillId="27" borderId="20" xfId="13" applyNumberFormat="1" applyFill="1" applyBorder="1" applyAlignment="1" applyProtection="1">
      <protection hidden="1"/>
    </xf>
    <xf numFmtId="0" fontId="1" fillId="27" borderId="20" xfId="13" applyFill="1" applyBorder="1"/>
    <xf numFmtId="0" fontId="1" fillId="27" borderId="0" xfId="13" applyFill="1"/>
    <xf numFmtId="0" fontId="16" fillId="27" borderId="0" xfId="13" applyFont="1" applyFill="1" applyBorder="1" applyAlignment="1" applyProtection="1">
      <alignment horizontal="left"/>
      <protection hidden="1"/>
    </xf>
    <xf numFmtId="0" fontId="1" fillId="27" borderId="19" xfId="13" applyFill="1" applyBorder="1" applyAlignment="1" applyProtection="1">
      <alignment horizontal="left"/>
      <protection hidden="1"/>
    </xf>
    <xf numFmtId="0" fontId="1" fillId="27" borderId="0" xfId="13" applyFont="1" applyFill="1" applyBorder="1" applyAlignment="1" applyProtection="1">
      <alignment horizontal="left"/>
      <protection hidden="1"/>
    </xf>
    <xf numFmtId="0" fontId="1" fillId="27" borderId="0" xfId="0" applyFont="1" applyFill="1" applyBorder="1" applyAlignment="1" applyProtection="1">
      <alignment horizontal="left"/>
      <protection hidden="1"/>
    </xf>
    <xf numFmtId="0" fontId="2" fillId="27" borderId="19" xfId="13" quotePrefix="1" applyFont="1" applyFill="1" applyBorder="1" applyAlignment="1" applyProtection="1">
      <alignment horizontal="left"/>
      <protection hidden="1"/>
    </xf>
    <xf numFmtId="0" fontId="2" fillId="27" borderId="0" xfId="13" applyFont="1" applyFill="1" applyBorder="1" applyAlignment="1" applyProtection="1">
      <alignment horizontal="left"/>
      <protection hidden="1"/>
    </xf>
    <xf numFmtId="179" fontId="2" fillId="27" borderId="0" xfId="13" applyNumberFormat="1" applyFont="1" applyFill="1" applyBorder="1" applyAlignment="1" applyProtection="1">
      <alignment horizontal="right"/>
      <protection hidden="1"/>
    </xf>
    <xf numFmtId="166" fontId="1" fillId="27" borderId="0" xfId="13" applyNumberFormat="1" applyFill="1" applyBorder="1" applyAlignment="1" applyProtection="1">
      <alignment horizontal="left"/>
      <protection hidden="1"/>
    </xf>
    <xf numFmtId="166" fontId="1" fillId="27" borderId="0" xfId="13" applyNumberFormat="1" applyFont="1" applyFill="1" applyBorder="1" applyAlignment="1" applyProtection="1">
      <alignment horizontal="left"/>
      <protection hidden="1"/>
    </xf>
    <xf numFmtId="179" fontId="1" fillId="27" borderId="17" xfId="13" applyNumberFormat="1" applyFill="1" applyBorder="1" applyAlignment="1" applyProtection="1">
      <protection hidden="1"/>
    </xf>
    <xf numFmtId="179" fontId="1" fillId="27" borderId="0" xfId="13" applyNumberFormat="1" applyFill="1" applyAlignment="1">
      <alignment horizontal="right"/>
    </xf>
    <xf numFmtId="0" fontId="1" fillId="27" borderId="19" xfId="13" applyFont="1" applyFill="1" applyBorder="1" applyAlignment="1" applyProtection="1">
      <alignment horizontal="left"/>
      <protection hidden="1"/>
    </xf>
    <xf numFmtId="0" fontId="1" fillId="27" borderId="19" xfId="13" applyFill="1" applyBorder="1" applyProtection="1">
      <protection hidden="1"/>
    </xf>
    <xf numFmtId="0" fontId="1" fillId="27" borderId="19" xfId="13" applyFill="1" applyBorder="1"/>
    <xf numFmtId="166" fontId="1" fillId="27" borderId="0" xfId="13" applyNumberFormat="1" applyFont="1" applyFill="1" applyBorder="1" applyAlignment="1" applyProtection="1">
      <protection hidden="1"/>
    </xf>
    <xf numFmtId="0" fontId="1" fillId="27" borderId="21" xfId="13" applyFill="1" applyBorder="1"/>
    <xf numFmtId="0" fontId="1" fillId="27" borderId="22" xfId="13" applyFill="1" applyBorder="1"/>
    <xf numFmtId="166" fontId="1" fillId="27" borderId="22" xfId="13" applyNumberFormat="1" applyFont="1" applyFill="1" applyBorder="1" applyAlignment="1" applyProtection="1">
      <protection hidden="1"/>
    </xf>
    <xf numFmtId="0" fontId="0" fillId="27" borderId="0" xfId="0" applyFill="1" applyBorder="1" applyAlignment="1" applyProtection="1">
      <alignment horizontal="left"/>
      <protection hidden="1"/>
    </xf>
    <xf numFmtId="167" fontId="2" fillId="27" borderId="0" xfId="0" applyNumberFormat="1" applyFont="1" applyFill="1" applyBorder="1" applyAlignment="1" applyProtection="1">
      <protection hidden="1"/>
    </xf>
    <xf numFmtId="166" fontId="0" fillId="27" borderId="0" xfId="0" applyNumberFormat="1" applyFill="1" applyBorder="1" applyAlignment="1" applyProtection="1">
      <protection hidden="1"/>
    </xf>
    <xf numFmtId="166" fontId="1" fillId="27" borderId="23" xfId="13" applyNumberFormat="1" applyFont="1" applyFill="1" applyBorder="1" applyAlignment="1"/>
    <xf numFmtId="0" fontId="11" fillId="27" borderId="24" xfId="0" applyFont="1" applyFill="1" applyBorder="1" applyAlignment="1" applyProtection="1">
      <alignment horizontal="left"/>
      <protection hidden="1"/>
    </xf>
    <xf numFmtId="167" fontId="2" fillId="27" borderId="24" xfId="0" applyNumberFormat="1" applyFont="1" applyFill="1" applyBorder="1" applyAlignment="1" applyProtection="1">
      <protection hidden="1"/>
    </xf>
    <xf numFmtId="166" fontId="11" fillId="27" borderId="24" xfId="0" applyNumberFormat="1" applyFont="1" applyFill="1" applyBorder="1" applyAlignment="1" applyProtection="1">
      <protection hidden="1"/>
    </xf>
    <xf numFmtId="167" fontId="11" fillId="27" borderId="25" xfId="0" applyNumberFormat="1" applyFont="1" applyFill="1" applyBorder="1" applyAlignment="1" applyProtection="1">
      <protection hidden="1"/>
    </xf>
    <xf numFmtId="166" fontId="1" fillId="27" borderId="26" xfId="13" applyNumberFormat="1" applyFont="1" applyFill="1" applyBorder="1" applyAlignment="1"/>
    <xf numFmtId="0" fontId="11" fillId="27" borderId="0" xfId="0" applyFont="1" applyFill="1" applyBorder="1" applyAlignment="1" applyProtection="1">
      <alignment horizontal="left"/>
      <protection hidden="1"/>
    </xf>
    <xf numFmtId="166" fontId="11" fillId="27" borderId="0" xfId="0" applyNumberFormat="1" applyFont="1" applyFill="1" applyBorder="1" applyAlignment="1" applyProtection="1">
      <protection hidden="1"/>
    </xf>
    <xf numFmtId="167" fontId="11" fillId="27" borderId="27" xfId="0" applyNumberFormat="1" applyFont="1" applyFill="1" applyBorder="1" applyAlignment="1" applyProtection="1">
      <protection hidden="1"/>
    </xf>
    <xf numFmtId="0" fontId="2" fillId="27" borderId="26" xfId="13" applyFont="1" applyFill="1" applyBorder="1" applyAlignment="1" applyProtection="1">
      <alignment horizontal="left"/>
      <protection hidden="1"/>
    </xf>
    <xf numFmtId="0" fontId="1" fillId="27" borderId="26" xfId="13" applyFont="1" applyFill="1" applyBorder="1" applyAlignment="1">
      <alignment horizontal="left"/>
    </xf>
    <xf numFmtId="0" fontId="2" fillId="27" borderId="26" xfId="13" quotePrefix="1" applyFont="1" applyFill="1" applyBorder="1" applyAlignment="1" applyProtection="1">
      <alignment horizontal="left"/>
      <protection hidden="1"/>
    </xf>
    <xf numFmtId="166" fontId="1" fillId="27" borderId="0" xfId="13" applyNumberFormat="1" applyFont="1" applyFill="1" applyBorder="1" applyAlignment="1"/>
    <xf numFmtId="165" fontId="11" fillId="27" borderId="27" xfId="0" applyNumberFormat="1" applyFont="1" applyFill="1" applyBorder="1" applyAlignment="1" applyProtection="1">
      <protection hidden="1"/>
    </xf>
    <xf numFmtId="0" fontId="2" fillId="27" borderId="26" xfId="0" applyFont="1" applyFill="1" applyBorder="1" applyAlignment="1" applyProtection="1">
      <alignment horizontal="left"/>
      <protection hidden="1"/>
    </xf>
    <xf numFmtId="0" fontId="1" fillId="27" borderId="0" xfId="13" applyFont="1" applyFill="1" applyBorder="1" applyAlignment="1">
      <alignment horizontal="left"/>
    </xf>
    <xf numFmtId="0" fontId="1" fillId="27" borderId="0" xfId="13" applyFont="1" applyFill="1" applyBorder="1"/>
    <xf numFmtId="0" fontId="2" fillId="27" borderId="28" xfId="0" applyFont="1" applyFill="1" applyBorder="1" applyAlignment="1" applyProtection="1">
      <alignment horizontal="left"/>
      <protection hidden="1"/>
    </xf>
    <xf numFmtId="0" fontId="11" fillId="27" borderId="29" xfId="0" applyFont="1" applyFill="1" applyBorder="1" applyAlignment="1" applyProtection="1">
      <alignment horizontal="left"/>
      <protection hidden="1"/>
    </xf>
    <xf numFmtId="167" fontId="2" fillId="27" borderId="29" xfId="0" applyNumberFormat="1" applyFont="1" applyFill="1" applyBorder="1" applyAlignment="1" applyProtection="1">
      <protection hidden="1"/>
    </xf>
    <xf numFmtId="0" fontId="1" fillId="27" borderId="29" xfId="13" applyFont="1" applyFill="1" applyBorder="1"/>
    <xf numFmtId="164" fontId="1" fillId="27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WTVABREYNECRMH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WTVABREYNECRMHAV.xlsx" TargetMode="External"/><Relationship Id="rId1" Type="http://schemas.openxmlformats.org/officeDocument/2006/relationships/hyperlink" Target="VBIWTVABREYNECR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CR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11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6.85546875" style="2" customWidth="1"/>
    <col min="3" max="3" width="18.28515625" style="2" customWidth="1"/>
    <col min="4" max="4" width="15.4257812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84" t="s">
        <v>82</v>
      </c>
      <c r="B1" s="52"/>
      <c r="C1" s="52"/>
      <c r="D1" s="52"/>
      <c r="E1" s="110"/>
      <c r="F1" s="11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53"/>
      <c r="C3" s="3"/>
      <c r="D3" s="3"/>
      <c r="E3" s="4"/>
      <c r="F3" s="4"/>
      <c r="G3" s="5"/>
    </row>
    <row r="4" spans="1:7">
      <c r="A4" s="85" t="s">
        <v>49</v>
      </c>
      <c r="B4" s="54"/>
      <c r="C4" s="6"/>
      <c r="E4" s="7"/>
      <c r="F4" s="4"/>
    </row>
    <row r="5" spans="1:7">
      <c r="A5" s="3" t="s">
        <v>50</v>
      </c>
      <c r="B5" s="86">
        <v>0</v>
      </c>
      <c r="C5" s="6"/>
      <c r="E5" s="7"/>
      <c r="F5" s="4"/>
    </row>
    <row r="6" spans="1:7">
      <c r="A6" s="3" t="s">
        <v>51</v>
      </c>
      <c r="B6" s="86">
        <v>0</v>
      </c>
      <c r="C6" s="6"/>
      <c r="E6" s="7"/>
      <c r="F6" s="4"/>
    </row>
    <row r="7" spans="1:7">
      <c r="A7" s="3" t="s">
        <v>52</v>
      </c>
      <c r="B7" s="87" t="s">
        <v>61</v>
      </c>
      <c r="C7" s="6"/>
      <c r="E7" s="7"/>
      <c r="F7" s="4"/>
    </row>
    <row r="8" spans="1:7">
      <c r="A8" s="11" t="s">
        <v>53</v>
      </c>
      <c r="B8" s="88">
        <v>0</v>
      </c>
      <c r="C8" s="6"/>
      <c r="D8" s="4"/>
      <c r="E8" s="8"/>
      <c r="F8" s="4"/>
    </row>
    <row r="9" spans="1:7">
      <c r="A9" s="11" t="s">
        <v>54</v>
      </c>
      <c r="B9" s="89">
        <v>0</v>
      </c>
      <c r="C9" s="6"/>
      <c r="D9" s="4"/>
      <c r="E9" s="8"/>
      <c r="F9" s="4"/>
    </row>
    <row r="10" spans="1:7">
      <c r="A10" s="9" t="s">
        <v>55</v>
      </c>
      <c r="B10" s="90">
        <f>IF(B8&lt;B6,B6/2+B5+B9,B6+B5+B9)</f>
        <v>0</v>
      </c>
      <c r="C10" s="10"/>
      <c r="D10" s="4"/>
      <c r="E10" s="8"/>
      <c r="F10" s="4"/>
    </row>
    <row r="11" spans="1:7" ht="15">
      <c r="A11" s="16" t="s">
        <v>56</v>
      </c>
      <c r="B11" s="88">
        <v>0</v>
      </c>
      <c r="C11" s="6"/>
      <c r="D11" s="4"/>
      <c r="E11" s="8"/>
      <c r="F11" s="4"/>
    </row>
    <row r="12" spans="1:7" ht="15">
      <c r="A12" s="15" t="s">
        <v>57</v>
      </c>
      <c r="B12" s="91" t="s">
        <v>62</v>
      </c>
      <c r="D12" s="4"/>
      <c r="E12" s="8"/>
      <c r="F12" s="4"/>
    </row>
    <row r="13" spans="1:7" ht="15">
      <c r="A13" s="15" t="s">
        <v>58</v>
      </c>
      <c r="B13" s="91" t="s">
        <v>81</v>
      </c>
      <c r="E13" s="7"/>
      <c r="F13" s="4"/>
    </row>
    <row r="14" spans="1:7" ht="15">
      <c r="A14" s="15" t="s">
        <v>59</v>
      </c>
      <c r="B14" s="91" t="s">
        <v>62</v>
      </c>
      <c r="D14" s="6"/>
      <c r="E14" s="11"/>
      <c r="F14" s="4"/>
      <c r="G14" s="8"/>
    </row>
    <row r="15" spans="1:7">
      <c r="A15" s="10" t="s">
        <v>60</v>
      </c>
      <c r="B15" s="92" t="s">
        <v>62</v>
      </c>
      <c r="E15" s="7"/>
      <c r="F15" s="4"/>
      <c r="G15" s="4"/>
    </row>
    <row r="16" spans="1:7" ht="13.5" thickBot="1">
      <c r="A16" s="12" t="s">
        <v>2</v>
      </c>
      <c r="B16" s="3"/>
      <c r="C16" s="3"/>
      <c r="D16" s="3"/>
      <c r="E16" s="4"/>
      <c r="F16" s="4"/>
      <c r="G16" s="4"/>
    </row>
    <row r="17" spans="1:7" ht="14.25" thickTop="1" thickBot="1">
      <c r="A17" s="93" t="s">
        <v>63</v>
      </c>
      <c r="B17" s="13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94" t="s">
        <v>64</v>
      </c>
      <c r="B19" s="3"/>
      <c r="C19" s="3"/>
      <c r="E19" s="101">
        <f>IF(AND(B12="oui",B15="oui"),F215-250,F215)</f>
        <v>0</v>
      </c>
      <c r="F19" s="7"/>
    </row>
    <row r="20" spans="1:7" ht="13.5" thickTop="1">
      <c r="A20" s="15" t="s">
        <v>65</v>
      </c>
      <c r="B20" s="6"/>
      <c r="C20" s="6"/>
      <c r="D20" s="97">
        <f>IF(B7="oui",0,F139)</f>
        <v>0</v>
      </c>
      <c r="E20" s="102"/>
      <c r="F20" s="11"/>
      <c r="G20" s="8"/>
    </row>
    <row r="21" spans="1:7">
      <c r="A21" s="10" t="s">
        <v>66</v>
      </c>
      <c r="B21" s="10"/>
      <c r="C21" s="6"/>
      <c r="D21" s="97">
        <f>IF(B7="oui",(B5+B8)*21%,B8*21%)</f>
        <v>0</v>
      </c>
      <c r="E21" s="102"/>
      <c r="F21" s="11"/>
      <c r="G21" s="8"/>
    </row>
    <row r="22" spans="1:7">
      <c r="A22" s="95" t="s">
        <v>67</v>
      </c>
      <c r="B22" s="6"/>
      <c r="C22" s="6"/>
      <c r="D22" s="98">
        <v>0</v>
      </c>
      <c r="E22" s="102"/>
      <c r="F22" s="4"/>
      <c r="G22" s="4"/>
    </row>
    <row r="23" spans="1:7">
      <c r="A23" s="15" t="s">
        <v>68</v>
      </c>
      <c r="B23" s="55">
        <v>0</v>
      </c>
      <c r="C23" s="6"/>
      <c r="D23" s="97">
        <f>B23*30</f>
        <v>0</v>
      </c>
      <c r="E23" s="102"/>
      <c r="F23" s="4"/>
      <c r="G23" s="4"/>
    </row>
    <row r="24" spans="1:7">
      <c r="A24" s="15" t="s">
        <v>69</v>
      </c>
      <c r="B24" s="6"/>
      <c r="C24" s="6"/>
      <c r="D24" s="99">
        <v>770</v>
      </c>
      <c r="E24" s="102"/>
      <c r="F24" s="4"/>
      <c r="G24" s="4"/>
    </row>
    <row r="25" spans="1:7" ht="15.75" thickBot="1">
      <c r="A25" s="15" t="s">
        <v>70</v>
      </c>
      <c r="B25" s="16"/>
      <c r="C25" s="16"/>
      <c r="D25" s="100">
        <v>0</v>
      </c>
      <c r="E25" s="102"/>
      <c r="F25" s="4"/>
      <c r="G25" s="4"/>
    </row>
    <row r="26" spans="1:7" ht="14.25" thickTop="1" thickBot="1">
      <c r="A26" s="96" t="s">
        <v>71</v>
      </c>
      <c r="B26" s="6"/>
      <c r="C26" s="6"/>
      <c r="E26" s="101">
        <f>SUM(D20:D25)</f>
        <v>770</v>
      </c>
      <c r="F26" s="4"/>
      <c r="G26" s="4"/>
    </row>
    <row r="27" spans="1:7" ht="14.25" thickTop="1" thickBot="1">
      <c r="B27" s="6"/>
      <c r="C27" s="6"/>
      <c r="D27" s="56" t="s">
        <v>66</v>
      </c>
      <c r="E27" s="103">
        <f>(E19+D24)*21%</f>
        <v>161.69999999999999</v>
      </c>
      <c r="F27" s="4"/>
      <c r="G27" s="4"/>
    </row>
    <row r="28" spans="1:7" ht="14.25" thickTop="1" thickBot="1">
      <c r="A28" s="17"/>
      <c r="B28" s="6"/>
      <c r="C28" s="6"/>
      <c r="D28" s="18"/>
      <c r="E28" s="102"/>
      <c r="F28" s="4"/>
      <c r="G28" s="4"/>
    </row>
    <row r="29" spans="1:7" ht="14.25" thickTop="1" thickBot="1">
      <c r="A29" s="108" t="s">
        <v>78</v>
      </c>
      <c r="B29" s="20"/>
      <c r="C29" s="6"/>
      <c r="D29" s="21"/>
      <c r="E29" s="104">
        <f>SUM(E19:E27)</f>
        <v>931.7</v>
      </c>
      <c r="F29" s="4"/>
      <c r="G29" s="4"/>
    </row>
    <row r="30" spans="1:7" ht="14.25" thickTop="1" thickBot="1">
      <c r="A30" s="10"/>
      <c r="B30" s="6"/>
      <c r="C30" s="6"/>
      <c r="D30" s="21"/>
      <c r="E30" s="105"/>
      <c r="F30" s="4"/>
      <c r="G30" s="4"/>
    </row>
    <row r="31" spans="1:7" ht="14.25" thickTop="1" thickBot="1">
      <c r="A31" s="109" t="s">
        <v>72</v>
      </c>
      <c r="B31" s="20"/>
      <c r="C31" s="6"/>
      <c r="D31" s="14"/>
      <c r="E31" s="102"/>
      <c r="F31" s="4"/>
      <c r="G31" s="4"/>
    </row>
    <row r="32" spans="1:7" ht="13.5" thickTop="1">
      <c r="A32" s="10"/>
      <c r="B32" s="6"/>
      <c r="C32" s="6"/>
      <c r="D32" s="14"/>
      <c r="E32" s="102"/>
      <c r="F32" s="4"/>
      <c r="G32" s="4"/>
    </row>
    <row r="33" spans="1:7">
      <c r="A33" s="15" t="s">
        <v>74</v>
      </c>
      <c r="B33" s="6"/>
      <c r="C33" s="6"/>
      <c r="D33" s="98">
        <v>0</v>
      </c>
      <c r="E33" s="102"/>
      <c r="F33" s="4"/>
      <c r="G33" s="4"/>
    </row>
    <row r="34" spans="1:7">
      <c r="A34" s="15" t="s">
        <v>75</v>
      </c>
      <c r="B34" s="6"/>
      <c r="C34" s="6"/>
      <c r="D34" s="98">
        <v>0</v>
      </c>
      <c r="E34" s="102"/>
      <c r="F34" s="4"/>
      <c r="G34" s="4"/>
    </row>
    <row r="35" spans="1:7" ht="13.5" thickBot="1">
      <c r="A35" s="15"/>
      <c r="B35" s="6"/>
      <c r="C35" s="6"/>
      <c r="D35" s="220"/>
      <c r="E35" s="102"/>
      <c r="F35" s="4"/>
      <c r="G35" s="4"/>
    </row>
    <row r="36" spans="1:7" ht="14.25" thickTop="1" thickBot="1">
      <c r="A36" s="57" t="s">
        <v>76</v>
      </c>
      <c r="B36" s="6"/>
      <c r="C36" s="6"/>
      <c r="E36" s="106">
        <f>SUM(D33:D35)</f>
        <v>0</v>
      </c>
      <c r="F36" s="4"/>
      <c r="G36" s="8"/>
    </row>
    <row r="37" spans="1:7" ht="13.5" thickTop="1">
      <c r="A37" s="23"/>
      <c r="B37" s="6"/>
      <c r="C37" s="6"/>
      <c r="D37" s="168"/>
      <c r="E37" s="169"/>
      <c r="F37" s="4"/>
      <c r="G37" s="8"/>
    </row>
    <row r="38" spans="1:7" ht="13.5" thickBot="1">
      <c r="A38" s="24"/>
      <c r="B38" s="6"/>
      <c r="C38" s="6"/>
      <c r="D38" s="18"/>
      <c r="E38" s="102"/>
      <c r="F38" s="4"/>
      <c r="G38" s="8"/>
    </row>
    <row r="39" spans="1:7" ht="14.25" thickTop="1" thickBot="1">
      <c r="A39" s="109" t="s">
        <v>77</v>
      </c>
      <c r="B39" s="20"/>
      <c r="C39" s="6"/>
      <c r="D39" s="25"/>
      <c r="E39" s="107">
        <f>SUM(E36:E37)</f>
        <v>0</v>
      </c>
      <c r="F39" s="26"/>
      <c r="G39" s="8"/>
    </row>
    <row r="40" spans="1:7" ht="14.25" thickTop="1" thickBot="1">
      <c r="A40" s="85"/>
      <c r="B40" s="170"/>
      <c r="C40" s="170"/>
      <c r="D40" s="170"/>
      <c r="E40" s="171"/>
      <c r="F40" s="172"/>
      <c r="G40" s="8"/>
    </row>
    <row r="41" spans="1:7" ht="14.25" thickTop="1" thickBot="1">
      <c r="A41" s="124" t="s">
        <v>88</v>
      </c>
      <c r="B41" s="173"/>
      <c r="C41" s="173"/>
      <c r="D41" s="173"/>
      <c r="E41" s="173"/>
      <c r="F41" s="173"/>
      <c r="G41" s="7"/>
    </row>
    <row r="42" spans="1:7" ht="14.25" thickTop="1" thickBot="1">
      <c r="A42" s="146"/>
      <c r="B42" s="173"/>
      <c r="C42" s="173"/>
      <c r="D42" s="173"/>
      <c r="E42" s="173"/>
      <c r="F42" s="173"/>
      <c r="G42" s="7"/>
    </row>
    <row r="43" spans="1:7" ht="13.5" thickTop="1">
      <c r="A43" s="174" t="s">
        <v>89</v>
      </c>
      <c r="B43" s="175" t="s">
        <v>90</v>
      </c>
      <c r="C43" s="153">
        <v>0</v>
      </c>
      <c r="D43" s="176"/>
      <c r="E43" s="175"/>
      <c r="F43" s="175"/>
      <c r="G43" s="141"/>
    </row>
    <row r="44" spans="1:7">
      <c r="A44" s="170"/>
      <c r="B44" s="172" t="s">
        <v>91</v>
      </c>
      <c r="C44" s="125">
        <v>0</v>
      </c>
      <c r="D44" s="177"/>
      <c r="E44" s="172"/>
      <c r="F44" s="172"/>
      <c r="G44" s="141"/>
    </row>
    <row r="45" spans="1:7">
      <c r="A45" s="170"/>
      <c r="B45" s="172" t="s">
        <v>92</v>
      </c>
      <c r="C45" s="126">
        <f>SUM(C43:C44)</f>
        <v>0</v>
      </c>
      <c r="D45" s="177"/>
      <c r="E45" s="172"/>
      <c r="F45" s="172"/>
      <c r="G45" s="142"/>
    </row>
    <row r="46" spans="1:7">
      <c r="A46" s="170"/>
      <c r="B46" s="172"/>
      <c r="C46" s="147"/>
      <c r="D46" s="177"/>
      <c r="E46" s="177"/>
      <c r="F46" s="177"/>
      <c r="G46" s="143"/>
    </row>
    <row r="47" spans="1:7">
      <c r="A47" s="178" t="s">
        <v>93</v>
      </c>
      <c r="B47" s="172"/>
      <c r="C47" s="127">
        <v>0</v>
      </c>
      <c r="D47" s="177"/>
      <c r="E47" s="177"/>
      <c r="F47" s="177"/>
      <c r="G47" s="143"/>
    </row>
    <row r="48" spans="1:7">
      <c r="A48" s="179"/>
      <c r="B48" s="170"/>
      <c r="C48" s="147"/>
      <c r="D48" s="177"/>
      <c r="E48" s="177"/>
      <c r="F48" s="177"/>
      <c r="G48" s="143"/>
    </row>
    <row r="49" spans="1:7">
      <c r="A49" s="180" t="s">
        <v>94</v>
      </c>
      <c r="B49" s="170"/>
      <c r="C49" s="128" t="s">
        <v>62</v>
      </c>
      <c r="D49" s="177"/>
      <c r="E49" s="177"/>
      <c r="F49" s="177"/>
      <c r="G49" s="143"/>
    </row>
    <row r="50" spans="1:7">
      <c r="A50" s="181" t="s">
        <v>115</v>
      </c>
      <c r="B50" s="177"/>
      <c r="C50" s="144">
        <v>1</v>
      </c>
      <c r="D50" s="177"/>
      <c r="E50" s="177"/>
      <c r="F50" s="177"/>
      <c r="G50" s="143"/>
    </row>
    <row r="51" spans="1:7">
      <c r="A51" s="182" t="s">
        <v>2</v>
      </c>
      <c r="B51" s="183"/>
      <c r="C51" s="184"/>
      <c r="D51" s="183"/>
      <c r="E51" s="172"/>
      <c r="F51" s="172"/>
      <c r="G51" s="142"/>
    </row>
    <row r="52" spans="1:7">
      <c r="A52" s="179"/>
      <c r="B52" s="171"/>
      <c r="C52" s="185"/>
      <c r="D52" s="172"/>
      <c r="E52" s="186" t="s">
        <v>64</v>
      </c>
      <c r="F52" s="129">
        <f>IF(C49= "oui",E233/2+4.239,E233)</f>
        <v>0</v>
      </c>
    </row>
    <row r="53" spans="1:7">
      <c r="A53" s="180" t="s">
        <v>95</v>
      </c>
      <c r="B53" s="171"/>
      <c r="C53" s="130">
        <f>C45/100</f>
        <v>0</v>
      </c>
      <c r="D53" s="172"/>
      <c r="E53" s="180" t="s">
        <v>96</v>
      </c>
      <c r="F53" s="131">
        <f>F52*21/100</f>
        <v>0</v>
      </c>
    </row>
    <row r="54" spans="1:7">
      <c r="A54" s="180" t="s">
        <v>97</v>
      </c>
      <c r="B54" s="171"/>
      <c r="C54" s="132">
        <v>0</v>
      </c>
      <c r="D54" s="172"/>
      <c r="E54" s="172"/>
      <c r="F54" s="187"/>
    </row>
    <row r="55" spans="1:7">
      <c r="A55" s="170"/>
      <c r="B55" s="171"/>
      <c r="C55" s="171"/>
      <c r="D55" s="172"/>
      <c r="E55" s="172"/>
      <c r="F55" s="187"/>
    </row>
    <row r="56" spans="1:7">
      <c r="A56" s="180" t="s">
        <v>98</v>
      </c>
      <c r="B56" s="156">
        <f>C45*0.3%</f>
        <v>0</v>
      </c>
      <c r="C56" s="188"/>
      <c r="D56" s="172"/>
      <c r="E56" s="172"/>
      <c r="F56" s="187"/>
    </row>
    <row r="57" spans="1:7">
      <c r="A57" s="180" t="s">
        <v>99</v>
      </c>
      <c r="B57" s="133">
        <f>A108*C50</f>
        <v>87.31</v>
      </c>
      <c r="C57" s="188"/>
      <c r="D57" s="172"/>
      <c r="E57" s="172"/>
      <c r="F57" s="187"/>
    </row>
    <row r="58" spans="1:7">
      <c r="A58" s="180" t="s">
        <v>100</v>
      </c>
      <c r="B58" s="170"/>
      <c r="C58" s="130">
        <f>IF((D219-B56-B57)&lt;22,D219+50,D219)</f>
        <v>150</v>
      </c>
      <c r="D58" s="172"/>
      <c r="E58" s="172"/>
      <c r="F58" s="187"/>
    </row>
    <row r="59" spans="1:7">
      <c r="A59" s="180"/>
      <c r="B59" s="170"/>
      <c r="C59" s="147"/>
      <c r="D59" s="172"/>
      <c r="E59" s="172"/>
      <c r="F59" s="187"/>
    </row>
    <row r="60" spans="1:7">
      <c r="A60" s="180" t="s">
        <v>101</v>
      </c>
      <c r="B60" s="170"/>
      <c r="C60" s="130">
        <f>50</f>
        <v>50</v>
      </c>
      <c r="D60" s="172"/>
      <c r="E60" s="172"/>
      <c r="F60" s="187"/>
    </row>
    <row r="61" spans="1:7">
      <c r="A61" s="170"/>
      <c r="B61" s="180" t="s">
        <v>96</v>
      </c>
      <c r="C61" s="134">
        <f>C60*21%</f>
        <v>10.5</v>
      </c>
      <c r="D61" s="172"/>
      <c r="E61" s="172"/>
      <c r="F61" s="187"/>
    </row>
    <row r="62" spans="1:7">
      <c r="A62" s="170"/>
      <c r="B62" s="180"/>
      <c r="C62" s="147"/>
      <c r="D62" s="172"/>
      <c r="E62" s="172"/>
      <c r="F62" s="187"/>
    </row>
    <row r="63" spans="1:7">
      <c r="A63" s="180" t="s">
        <v>69</v>
      </c>
      <c r="B63" s="170"/>
      <c r="C63" s="135">
        <f>660</f>
        <v>660</v>
      </c>
      <c r="D63" s="172"/>
      <c r="E63" s="172"/>
      <c r="F63" s="187"/>
    </row>
    <row r="64" spans="1:7">
      <c r="A64" s="170"/>
      <c r="B64" s="180" t="s">
        <v>96</v>
      </c>
      <c r="C64" s="134">
        <f>C63*21%</f>
        <v>138.6</v>
      </c>
      <c r="D64" s="172"/>
      <c r="E64" s="172"/>
      <c r="F64" s="187"/>
    </row>
    <row r="65" spans="1:7">
      <c r="A65" s="170"/>
      <c r="B65" s="180"/>
      <c r="C65" s="147"/>
      <c r="D65" s="172"/>
      <c r="E65" s="172"/>
      <c r="F65" s="187"/>
    </row>
    <row r="66" spans="1:7">
      <c r="A66" s="180" t="s">
        <v>73</v>
      </c>
      <c r="B66" s="180"/>
      <c r="C66" s="125">
        <v>0</v>
      </c>
      <c r="D66" s="172"/>
      <c r="E66" s="172"/>
      <c r="F66" s="187"/>
    </row>
    <row r="67" spans="1:7">
      <c r="A67" s="189"/>
      <c r="B67" s="180" t="s">
        <v>96</v>
      </c>
      <c r="C67" s="134">
        <f>C66*21%</f>
        <v>0</v>
      </c>
      <c r="D67" s="172"/>
      <c r="E67" s="172"/>
      <c r="F67" s="187"/>
    </row>
    <row r="68" spans="1:7">
      <c r="A68" s="179"/>
      <c r="B68" s="170"/>
      <c r="C68" s="147"/>
      <c r="D68" s="172"/>
      <c r="E68" s="172"/>
      <c r="F68" s="187"/>
    </row>
    <row r="69" spans="1:7">
      <c r="A69" s="179"/>
      <c r="B69" s="170" t="s">
        <v>102</v>
      </c>
      <c r="C69" s="136">
        <f>SUM(C53,C54,C58,C60,C63,C66)</f>
        <v>860</v>
      </c>
      <c r="D69" s="172"/>
      <c r="E69" s="186" t="s">
        <v>103</v>
      </c>
      <c r="F69" s="137">
        <f>F52</f>
        <v>0</v>
      </c>
    </row>
    <row r="70" spans="1:7">
      <c r="A70" s="179"/>
      <c r="B70" s="170"/>
      <c r="C70" s="170"/>
      <c r="D70" s="172"/>
      <c r="E70" s="170" t="s">
        <v>102</v>
      </c>
      <c r="F70" s="137">
        <f>C69</f>
        <v>860</v>
      </c>
    </row>
    <row r="71" spans="1:7">
      <c r="A71" s="179"/>
      <c r="B71" s="170"/>
      <c r="C71" s="170"/>
      <c r="D71" s="172"/>
      <c r="E71" s="186" t="s">
        <v>104</v>
      </c>
      <c r="F71" s="138">
        <f>SUM(F69+C69)</f>
        <v>860</v>
      </c>
    </row>
    <row r="72" spans="1:7">
      <c r="A72" s="190"/>
      <c r="B72" s="173"/>
      <c r="C72" s="173"/>
      <c r="D72" s="173"/>
      <c r="E72" s="173"/>
      <c r="F72" s="148"/>
    </row>
    <row r="73" spans="1:7">
      <c r="A73" s="191"/>
      <c r="B73" s="177"/>
      <c r="C73" s="177"/>
      <c r="D73" s="177"/>
      <c r="E73" s="192" t="s">
        <v>66</v>
      </c>
      <c r="F73" s="139">
        <f>SUM(C61,C64,C67,F53)</f>
        <v>149.1</v>
      </c>
    </row>
    <row r="74" spans="1:7" ht="13.5" thickBot="1">
      <c r="A74" s="191"/>
      <c r="B74" s="177"/>
      <c r="C74" s="177"/>
      <c r="D74" s="177"/>
      <c r="E74" s="177"/>
      <c r="F74" s="149"/>
    </row>
    <row r="75" spans="1:7" ht="14.25" thickTop="1" thickBot="1">
      <c r="A75" s="193"/>
      <c r="B75" s="194"/>
      <c r="C75" s="194"/>
      <c r="D75" s="194"/>
      <c r="E75" s="195" t="s">
        <v>105</v>
      </c>
      <c r="F75" s="140">
        <f>SUM(F71:F73)</f>
        <v>1009.1</v>
      </c>
    </row>
    <row r="76" spans="1:7" ht="13.5" thickTop="1">
      <c r="A76" s="7"/>
      <c r="B76" s="7"/>
      <c r="C76" s="7"/>
      <c r="D76" s="7"/>
      <c r="E76" s="7"/>
      <c r="F76" s="7"/>
      <c r="G76" s="7"/>
    </row>
    <row r="77" spans="1:7" ht="15.75" thickBot="1">
      <c r="A77" s="145" t="s">
        <v>106</v>
      </c>
      <c r="B77" s="196"/>
      <c r="C77" s="196"/>
      <c r="D77" s="196"/>
      <c r="E77" s="197"/>
      <c r="F77" s="198"/>
      <c r="G77" s="7"/>
    </row>
    <row r="78" spans="1:7" ht="13.5" thickTop="1">
      <c r="A78" s="199" t="s">
        <v>90</v>
      </c>
      <c r="B78" s="163">
        <v>0</v>
      </c>
      <c r="C78" s="200"/>
      <c r="D78" s="201"/>
      <c r="E78" s="202"/>
      <c r="F78" s="203"/>
      <c r="G78" s="7"/>
    </row>
    <row r="79" spans="1:7">
      <c r="A79" s="204" t="s">
        <v>91</v>
      </c>
      <c r="B79" s="164">
        <v>0</v>
      </c>
      <c r="C79" s="205"/>
      <c r="D79" s="197"/>
      <c r="E79" s="206"/>
      <c r="F79" s="207"/>
      <c r="G79" s="7"/>
    </row>
    <row r="80" spans="1:7">
      <c r="A80" s="204" t="s">
        <v>92</v>
      </c>
      <c r="B80" s="157">
        <f>SUM(B78:B79)</f>
        <v>0</v>
      </c>
      <c r="C80" s="205"/>
      <c r="D80" s="197"/>
      <c r="E80" s="206"/>
      <c r="F80" s="207"/>
      <c r="G80" s="7"/>
    </row>
    <row r="81" spans="1:7">
      <c r="A81" s="208"/>
      <c r="B81" s="151"/>
      <c r="C81" s="205"/>
      <c r="D81" s="197"/>
      <c r="E81" s="206"/>
      <c r="F81" s="207"/>
      <c r="G81" s="7"/>
    </row>
    <row r="82" spans="1:7">
      <c r="A82" s="209" t="s">
        <v>107</v>
      </c>
      <c r="B82" s="165">
        <v>1</v>
      </c>
      <c r="C82" s="205"/>
      <c r="D82" s="197"/>
      <c r="E82" s="206"/>
      <c r="F82" s="207"/>
      <c r="G82" s="7"/>
    </row>
    <row r="83" spans="1:7">
      <c r="A83" s="210" t="s">
        <v>2</v>
      </c>
      <c r="B83" s="205"/>
      <c r="C83" s="205"/>
      <c r="D83" s="197"/>
      <c r="E83" s="206"/>
      <c r="F83" s="207"/>
      <c r="G83" s="7"/>
    </row>
    <row r="84" spans="1:7">
      <c r="A84" s="209" t="s">
        <v>101</v>
      </c>
      <c r="B84" s="205"/>
      <c r="C84" s="154">
        <v>50</v>
      </c>
      <c r="D84" s="197"/>
      <c r="E84" s="211" t="s">
        <v>108</v>
      </c>
      <c r="F84" s="155">
        <f>I120</f>
        <v>0</v>
      </c>
      <c r="G84" s="7"/>
    </row>
    <row r="85" spans="1:7">
      <c r="A85" s="209" t="s">
        <v>95</v>
      </c>
      <c r="B85" s="205"/>
      <c r="C85" s="154">
        <v>50</v>
      </c>
      <c r="D85" s="197"/>
      <c r="E85" s="192"/>
      <c r="F85" s="212"/>
      <c r="G85" s="7"/>
    </row>
    <row r="86" spans="1:7">
      <c r="A86" s="209" t="s">
        <v>97</v>
      </c>
      <c r="B86" s="205"/>
      <c r="C86" s="166">
        <v>0</v>
      </c>
      <c r="D86" s="197"/>
      <c r="E86" s="192"/>
      <c r="F86" s="212"/>
      <c r="G86" s="7"/>
    </row>
    <row r="87" spans="1:7">
      <c r="A87" s="209" t="s">
        <v>69</v>
      </c>
      <c r="B87" s="205"/>
      <c r="C87" s="167">
        <f>H105</f>
        <v>185</v>
      </c>
      <c r="D87" s="197"/>
      <c r="E87" s="192"/>
      <c r="F87" s="212"/>
      <c r="G87" s="7"/>
    </row>
    <row r="88" spans="1:7">
      <c r="A88" s="213"/>
      <c r="B88" s="205"/>
      <c r="C88" s="150"/>
      <c r="D88" s="197"/>
      <c r="E88" s="192"/>
      <c r="F88" s="212"/>
      <c r="G88" s="7"/>
    </row>
    <row r="89" spans="1:7">
      <c r="A89" s="213"/>
      <c r="B89" s="214" t="s">
        <v>102</v>
      </c>
      <c r="C89" s="158">
        <f>SUM(C84:C87)</f>
        <v>285</v>
      </c>
      <c r="D89" s="197"/>
      <c r="E89" s="211" t="s">
        <v>103</v>
      </c>
      <c r="F89" s="159">
        <f>F84</f>
        <v>0</v>
      </c>
      <c r="G89" s="7"/>
    </row>
    <row r="90" spans="1:7">
      <c r="A90" s="213"/>
      <c r="B90" s="205"/>
      <c r="C90" s="205"/>
      <c r="D90" s="197"/>
      <c r="E90" s="211" t="s">
        <v>109</v>
      </c>
      <c r="F90" s="159">
        <f>C89</f>
        <v>285</v>
      </c>
      <c r="G90" s="7"/>
    </row>
    <row r="91" spans="1:7">
      <c r="A91" s="213"/>
      <c r="B91" s="205"/>
      <c r="C91" s="205"/>
      <c r="D91" s="197"/>
      <c r="E91" s="211" t="s">
        <v>104</v>
      </c>
      <c r="F91" s="160">
        <f>SUM(F89+C89)</f>
        <v>285</v>
      </c>
      <c r="G91" s="7"/>
    </row>
    <row r="92" spans="1:7">
      <c r="A92" s="213"/>
      <c r="B92" s="205"/>
      <c r="C92" s="205"/>
      <c r="D92" s="197"/>
      <c r="E92" s="215"/>
      <c r="F92" s="152"/>
      <c r="G92" s="7"/>
    </row>
    <row r="93" spans="1:7">
      <c r="A93" s="213"/>
      <c r="B93" s="205"/>
      <c r="C93" s="205"/>
      <c r="D93" s="197"/>
      <c r="E93" s="215" t="s">
        <v>66</v>
      </c>
      <c r="F93" s="161">
        <f>(C84+C87+F84)*21%</f>
        <v>49.35</v>
      </c>
      <c r="G93" s="7"/>
    </row>
    <row r="94" spans="1:7" ht="13.5" thickBot="1">
      <c r="A94" s="213"/>
      <c r="B94" s="205"/>
      <c r="C94" s="205"/>
      <c r="D94" s="197"/>
      <c r="E94" s="215"/>
      <c r="F94" s="152"/>
      <c r="G94" s="7"/>
    </row>
    <row r="95" spans="1:7" ht="14.25" thickTop="1" thickBot="1">
      <c r="A95" s="216"/>
      <c r="B95" s="217"/>
      <c r="C95" s="217"/>
      <c r="D95" s="218"/>
      <c r="E95" s="219" t="s">
        <v>103</v>
      </c>
      <c r="F95" s="162">
        <f>SUM(F91:F93)</f>
        <v>334.35</v>
      </c>
      <c r="G95" s="7"/>
    </row>
    <row r="96" spans="1:7" ht="13.5" thickTop="1">
      <c r="A96" s="7"/>
      <c r="B96" s="7"/>
      <c r="C96" s="7"/>
      <c r="D96" s="7"/>
      <c r="E96" s="7"/>
      <c r="F96" s="7"/>
      <c r="G96" s="7"/>
    </row>
    <row r="97" spans="1:23">
      <c r="A97" s="7"/>
      <c r="B97" s="28" t="s">
        <v>6</v>
      </c>
      <c r="D97" s="58" t="s">
        <v>7</v>
      </c>
      <c r="E97" s="7"/>
    </row>
    <row r="98" spans="1:23">
      <c r="A98" s="7"/>
      <c r="B98" s="7"/>
      <c r="C98" s="7"/>
      <c r="E98" s="7"/>
      <c r="F98" s="22"/>
      <c r="G98" s="7"/>
    </row>
    <row r="99" spans="1:23">
      <c r="A99" s="7"/>
      <c r="B99" s="27" t="s">
        <v>4</v>
      </c>
      <c r="D99" s="27" t="s">
        <v>5</v>
      </c>
      <c r="E99" s="7"/>
      <c r="F99" s="21"/>
      <c r="G99" s="1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</row>
    <row r="100" spans="1:23">
      <c r="A100" s="7"/>
      <c r="B100" s="30"/>
      <c r="C100" s="30"/>
      <c r="D100" s="30"/>
      <c r="E100" s="7"/>
      <c r="F100" s="31"/>
      <c r="G100" s="30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</row>
    <row r="101" spans="1:23" ht="14.25">
      <c r="B101" s="29"/>
      <c r="C101" s="27" t="s">
        <v>116</v>
      </c>
      <c r="D101" s="32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</row>
    <row r="102" spans="1:23" ht="14.25" hidden="1">
      <c r="B102" s="29"/>
      <c r="C102" s="27"/>
      <c r="D102" s="32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</row>
    <row r="103" spans="1:23" ht="15" hidden="1">
      <c r="A103" s="121"/>
      <c r="B103" s="122"/>
      <c r="C103" s="122"/>
      <c r="D103" s="82"/>
      <c r="E103" s="123"/>
      <c r="F103" s="121"/>
      <c r="G103" s="121"/>
      <c r="H103" s="121">
        <f>IF(B82=1,185,0)</f>
        <v>185</v>
      </c>
      <c r="I103" s="121">
        <f>IF(B82=2,385,0)</f>
        <v>0</v>
      </c>
      <c r="J103" s="121">
        <f>IF(B82&gt;2,(385+(B82-2)*200),0)</f>
        <v>0</v>
      </c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</row>
    <row r="104" spans="1:23" ht="15" hidden="1">
      <c r="A104" s="121"/>
      <c r="B104" s="122"/>
      <c r="C104" s="122"/>
      <c r="D104" s="82"/>
      <c r="E104" s="123"/>
      <c r="F104" s="121"/>
      <c r="G104" s="121"/>
      <c r="H104" s="121"/>
      <c r="I104" s="121"/>
      <c r="J104" s="121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</row>
    <row r="105" spans="1:23" ht="15" hidden="1">
      <c r="A105" s="121"/>
      <c r="B105" s="122"/>
      <c r="C105" s="122"/>
      <c r="D105" s="82"/>
      <c r="E105" s="123"/>
      <c r="F105" s="121"/>
      <c r="G105" s="121"/>
      <c r="H105" s="121">
        <f>SUM(H103:J103)</f>
        <v>185</v>
      </c>
      <c r="I105" s="121"/>
      <c r="J105" s="121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</row>
    <row r="106" spans="1:23" ht="15" hidden="1">
      <c r="A106" s="121"/>
      <c r="B106" s="122"/>
      <c r="C106" s="122"/>
      <c r="D106" s="82"/>
      <c r="E106" s="123"/>
      <c r="F106" s="121"/>
      <c r="G106" s="121"/>
      <c r="H106" s="121"/>
      <c r="I106" s="121"/>
      <c r="J106" s="121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</row>
    <row r="107" spans="1:23" ht="15" hidden="1">
      <c r="A107" s="121"/>
      <c r="B107" s="122"/>
      <c r="C107" s="122"/>
      <c r="D107" s="82"/>
      <c r="E107" s="123"/>
      <c r="F107" s="121"/>
      <c r="G107" s="121"/>
      <c r="H107" s="121"/>
      <c r="I107" s="121"/>
      <c r="J107" s="121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1:23" ht="15" hidden="1">
      <c r="A108" s="121">
        <f>(A180+ROUNDDOWN((C43+C44-1)/C181,0)*A181)+20</f>
        <v>87.31</v>
      </c>
      <c r="B108" s="122"/>
      <c r="C108" s="122"/>
      <c r="D108" s="82"/>
      <c r="E108" s="123"/>
      <c r="F108" s="121"/>
      <c r="G108" s="121"/>
      <c r="H108" s="121"/>
      <c r="I108" s="121"/>
      <c r="J108" s="121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1:23" hidden="1">
      <c r="A109" s="121" t="s">
        <v>83</v>
      </c>
      <c r="B109" s="121" t="str">
        <f>A80</f>
        <v>Base</v>
      </c>
      <c r="C109" s="121"/>
      <c r="D109" s="121"/>
      <c r="F109" s="121"/>
      <c r="G109" s="121"/>
      <c r="H109" s="121"/>
      <c r="I109" s="121"/>
      <c r="J109" s="121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1:23" hidden="1">
      <c r="A110" s="121" t="s">
        <v>10</v>
      </c>
      <c r="B110" s="121" t="s">
        <v>10</v>
      </c>
      <c r="C110" s="121" t="s">
        <v>84</v>
      </c>
      <c r="D110" s="121" t="s">
        <v>85</v>
      </c>
      <c r="F110" s="121"/>
      <c r="G110" s="121"/>
      <c r="H110" s="121"/>
      <c r="I110" s="121"/>
      <c r="J110" s="121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23" hidden="1">
      <c r="A111" s="121">
        <v>0</v>
      </c>
      <c r="B111" s="121">
        <v>7500</v>
      </c>
      <c r="C111" s="121">
        <v>1.4250000000000001E-2</v>
      </c>
      <c r="D111" s="81">
        <f>IF(B80&lt;B111,B80*C111,B111*C111)</f>
        <v>0</v>
      </c>
      <c r="F111" s="121"/>
      <c r="G111" s="121"/>
      <c r="H111" s="121"/>
      <c r="I111" s="121"/>
      <c r="J111" s="121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1:23" hidden="1">
      <c r="A112" s="121">
        <v>7500</v>
      </c>
      <c r="B112" s="121">
        <v>17500</v>
      </c>
      <c r="C112" s="121">
        <v>1.14E-2</v>
      </c>
      <c r="D112" s="81" t="str">
        <f>IF(B80&lt;=A112," ",IF(B80&lt;B112,(B80-B111)*C112,(B112-A112)*C112))</f>
        <v xml:space="preserve"> </v>
      </c>
      <c r="F112" s="121"/>
      <c r="G112" s="121"/>
      <c r="H112" s="121"/>
      <c r="I112" s="121"/>
      <c r="J112" s="121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1:23" hidden="1">
      <c r="A113" s="121">
        <v>17500</v>
      </c>
      <c r="B113" s="121">
        <v>30000</v>
      </c>
      <c r="C113" s="121">
        <v>6.8399999999999997E-3</v>
      </c>
      <c r="D113" s="81" t="str">
        <f>IF(B80&lt;=A113," ",IF(B80&lt;B113,(B80-B112)*C113,(B113-A113)*C113))</f>
        <v xml:space="preserve"> </v>
      </c>
      <c r="F113" s="121"/>
      <c r="G113" s="121"/>
      <c r="H113" s="121"/>
      <c r="I113" s="121"/>
      <c r="J113" s="121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1:23" hidden="1">
      <c r="A114" s="121">
        <v>30000</v>
      </c>
      <c r="B114" s="121">
        <v>45495</v>
      </c>
      <c r="C114" s="121">
        <v>5.7000000000000002E-3</v>
      </c>
      <c r="D114" s="81" t="str">
        <f>IF(B80&lt;=A114," ",IF(B80&lt;B114,(B80-B113)*C114,(B114-A114)*C114))</f>
        <v xml:space="preserve"> </v>
      </c>
      <c r="F114" s="121"/>
      <c r="G114" s="121"/>
      <c r="H114" s="121"/>
      <c r="I114" s="121"/>
      <c r="J114" s="121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1:23" hidden="1">
      <c r="A115" s="121">
        <v>45495</v>
      </c>
      <c r="B115" s="121">
        <v>64095</v>
      </c>
      <c r="C115" s="121">
        <v>4.5599999999999998E-3</v>
      </c>
      <c r="D115" s="81" t="str">
        <f>IF(B80&lt;=A115," ",IF(B80&lt;B115,(B80-B114)*C115,(B115-A115)*C115))</f>
        <v xml:space="preserve"> </v>
      </c>
      <c r="F115" s="121"/>
      <c r="G115" s="121"/>
      <c r="H115" s="121"/>
      <c r="I115" s="121"/>
      <c r="J115" s="121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</row>
    <row r="116" spans="1:23" hidden="1">
      <c r="A116" s="121">
        <v>64095</v>
      </c>
      <c r="B116" s="121">
        <v>250095</v>
      </c>
      <c r="C116" s="121">
        <v>2.2799999999999999E-3</v>
      </c>
      <c r="D116" s="81" t="str">
        <f>IF(B80&lt;=A116," ",IF(B80&lt;B116,(B80-B115)*C116,(B116-A116)*C116))</f>
        <v xml:space="preserve"> </v>
      </c>
      <c r="F116" s="121"/>
      <c r="G116" s="121"/>
      <c r="H116" s="121"/>
      <c r="I116" s="121"/>
      <c r="J116" s="121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hidden="1">
      <c r="A117" s="121">
        <v>250095</v>
      </c>
      <c r="B117" s="121">
        <v>99999999999</v>
      </c>
      <c r="C117" s="121">
        <v>4.5600000000000003E-4</v>
      </c>
      <c r="D117" s="81" t="str">
        <f>IF(B80&lt;=A117," ",IF(B80&lt;B117,(B80-B116)*C117,(B117-A117)*C117))</f>
        <v xml:space="preserve"> </v>
      </c>
      <c r="F117" s="121"/>
      <c r="G117" s="121"/>
      <c r="H117" s="121"/>
      <c r="I117" s="121"/>
      <c r="J117" s="121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hidden="1">
      <c r="A118" s="121"/>
      <c r="B118" s="121"/>
      <c r="C118" s="121"/>
      <c r="D118" s="121"/>
      <c r="E118" s="121"/>
      <c r="F118" s="121"/>
      <c r="G118" s="121"/>
      <c r="H118" s="121"/>
      <c r="I118" s="121"/>
      <c r="J118" s="121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hidden="1">
      <c r="A119" s="121" t="s">
        <v>12</v>
      </c>
      <c r="B119" s="121"/>
      <c r="C119" s="121"/>
      <c r="D119" s="121"/>
      <c r="E119" s="121"/>
      <c r="F119" s="121"/>
      <c r="G119" s="121"/>
      <c r="H119" s="121" t="s">
        <v>86</v>
      </c>
      <c r="I119" s="81">
        <f>SUM(D111:D118)</f>
        <v>0</v>
      </c>
      <c r="J119" s="121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hidden="1">
      <c r="A120" s="121"/>
      <c r="B120" s="121"/>
      <c r="C120" s="121"/>
      <c r="D120" s="121"/>
      <c r="E120" s="121"/>
      <c r="F120" s="121"/>
      <c r="G120" s="121"/>
      <c r="H120" s="121" t="s">
        <v>87</v>
      </c>
      <c r="I120" s="81">
        <f>I119/4</f>
        <v>0</v>
      </c>
      <c r="J120" s="121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ht="14.25" hidden="1">
      <c r="B121" s="29"/>
      <c r="C121" s="27"/>
      <c r="D121" s="32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1:23" ht="14.25" hidden="1">
      <c r="B122" s="29"/>
      <c r="C122" s="27"/>
      <c r="D122" s="32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1:23" ht="14.25" hidden="1">
      <c r="B123" s="29"/>
      <c r="C123" s="27"/>
      <c r="D123" s="32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ht="14.25" hidden="1">
      <c r="B124" s="29"/>
      <c r="C124" s="27"/>
      <c r="D124" s="32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ht="14.25" hidden="1">
      <c r="B125" s="29"/>
      <c r="C125" s="32"/>
      <c r="D125" s="32"/>
      <c r="E125" s="27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ht="14.25" hidden="1">
      <c r="B126" s="29"/>
      <c r="D126" s="32"/>
      <c r="E126" s="27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ht="15" hidden="1">
      <c r="A127" s="82" t="s">
        <v>81</v>
      </c>
      <c r="B127" s="60"/>
      <c r="C127" s="60" t="s">
        <v>61</v>
      </c>
      <c r="D127" s="60" t="s">
        <v>61</v>
      </c>
      <c r="E127" s="60" t="s">
        <v>61</v>
      </c>
      <c r="F127" s="60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ht="15.75" hidden="1">
      <c r="A128" s="83" t="s">
        <v>13</v>
      </c>
      <c r="B128" s="61"/>
      <c r="C128" s="60" t="s">
        <v>62</v>
      </c>
      <c r="D128" s="60" t="s">
        <v>62</v>
      </c>
      <c r="E128" s="60" t="s">
        <v>62</v>
      </c>
      <c r="F128" s="60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23" ht="15.75" hidden="1">
      <c r="A129" s="83" t="s">
        <v>14</v>
      </c>
      <c r="B129" s="61"/>
      <c r="C129" s="60"/>
      <c r="D129" s="60"/>
      <c r="E129" s="60"/>
      <c r="F129" s="60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23" ht="15.75" hidden="1">
      <c r="A130" s="83" t="s">
        <v>15</v>
      </c>
      <c r="B130" s="61"/>
      <c r="C130" s="62">
        <f>B5*12.5/100</f>
        <v>0</v>
      </c>
      <c r="D130" s="60"/>
      <c r="E130" s="60"/>
      <c r="F130" s="60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23" ht="15.75" hidden="1">
      <c r="A131" s="83" t="s">
        <v>16</v>
      </c>
      <c r="B131" s="61"/>
      <c r="C131" s="63">
        <f>B5*10%</f>
        <v>0</v>
      </c>
      <c r="D131" s="60"/>
      <c r="E131" s="60"/>
      <c r="F131" s="60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23" ht="15.75" hidden="1">
      <c r="A132" s="83" t="s">
        <v>17</v>
      </c>
      <c r="B132" s="61"/>
      <c r="C132" s="81">
        <f>IF(B5&gt;150000,9000+(B5-150000)*12.5%,B5*6%)</f>
        <v>0</v>
      </c>
      <c r="D132" s="81">
        <f>IF(B5&gt;160000,9600+(B5-160000)*12.5%,B5*6%)</f>
        <v>0</v>
      </c>
      <c r="E132" s="60"/>
      <c r="F132" s="63">
        <f>IF(AND(B12="oui",B13="P.A.",B14="oui"),C133,0)</f>
        <v>0</v>
      </c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1:23" ht="15.75" hidden="1">
      <c r="A133" s="83" t="s">
        <v>18</v>
      </c>
      <c r="B133" s="61"/>
      <c r="C133" s="81">
        <f>IF(B5&gt;150000,7500+(B5-150000)*10%,B5*5%)</f>
        <v>0</v>
      </c>
      <c r="D133" s="81">
        <f>IF(B5&gt;160000,8000+(B5-160000)*10%,B5*5%)</f>
        <v>0</v>
      </c>
      <c r="E133" s="60"/>
      <c r="F133" s="63">
        <f>IF(AND(B12="oui",B13="P.A.",B14="non"),C132,0)</f>
        <v>0</v>
      </c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1:23" ht="15.75" hidden="1">
      <c r="A134" s="83" t="s">
        <v>19</v>
      </c>
      <c r="B134" s="61"/>
      <c r="C134" s="60"/>
      <c r="D134" s="60"/>
      <c r="E134" s="60"/>
      <c r="F134" s="63">
        <f>IF(AND(B12="non",B14="oui"),C131,0)</f>
        <v>0</v>
      </c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</row>
    <row r="135" spans="1:23" ht="15.75" hidden="1">
      <c r="A135" s="83" t="s">
        <v>20</v>
      </c>
      <c r="B135" s="61"/>
      <c r="C135" s="60"/>
      <c r="D135" s="60"/>
      <c r="E135" s="60"/>
      <c r="F135" s="63">
        <f>IF(AND(B12="non",B14="non"),C130,0)</f>
        <v>0</v>
      </c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</row>
    <row r="136" spans="1:23" ht="15.75" hidden="1">
      <c r="A136" s="83" t="s">
        <v>21</v>
      </c>
      <c r="B136" s="61"/>
      <c r="C136" s="60"/>
      <c r="D136" s="60"/>
      <c r="E136" s="60"/>
      <c r="F136" s="63">
        <f>IF(AND(B12="oui",B13&lt;&gt;"P.A.",B14="oui"),D133,0)</f>
        <v>0</v>
      </c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</row>
    <row r="137" spans="1:23" ht="15.75" hidden="1">
      <c r="A137" s="83" t="s">
        <v>43</v>
      </c>
      <c r="B137" s="61"/>
      <c r="C137" s="60"/>
      <c r="D137" s="60"/>
      <c r="E137" s="60"/>
      <c r="F137" s="63">
        <f>IF(AND(B12="oui",B13&lt;&gt;"P.A.",B14="non"),D132,0)</f>
        <v>0</v>
      </c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</row>
    <row r="138" spans="1:23" ht="15.75" hidden="1">
      <c r="A138" s="83" t="s">
        <v>22</v>
      </c>
      <c r="B138" s="61"/>
      <c r="C138" s="60"/>
      <c r="D138" s="60"/>
      <c r="E138" s="60"/>
      <c r="F138" s="63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</row>
    <row r="139" spans="1:23" ht="15.75" hidden="1">
      <c r="A139" s="83" t="s">
        <v>23</v>
      </c>
      <c r="B139" s="61"/>
      <c r="C139" s="60"/>
      <c r="D139" s="60"/>
      <c r="E139" s="60"/>
      <c r="F139" s="63">
        <f>SUM(F132:F138)</f>
        <v>0</v>
      </c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</row>
    <row r="140" spans="1:23" ht="15.75" hidden="1">
      <c r="A140" s="83" t="s">
        <v>24</v>
      </c>
      <c r="B140" s="61"/>
      <c r="C140" s="60"/>
      <c r="D140" s="60"/>
      <c r="E140" s="60"/>
      <c r="F140" s="60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</row>
    <row r="141" spans="1:23" ht="15.75" hidden="1">
      <c r="A141" s="83" t="s">
        <v>44</v>
      </c>
      <c r="B141" s="61"/>
      <c r="C141" s="60"/>
      <c r="D141" s="60"/>
      <c r="E141" s="60"/>
      <c r="F141" s="60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</row>
    <row r="142" spans="1:23" ht="15.75" hidden="1">
      <c r="A142" s="83" t="s">
        <v>25</v>
      </c>
      <c r="B142" s="61"/>
      <c r="C142" s="60"/>
      <c r="D142" s="60"/>
      <c r="E142" s="60"/>
      <c r="F142" s="60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</row>
    <row r="143" spans="1:23" ht="15.75" hidden="1">
      <c r="A143" s="83" t="s">
        <v>26</v>
      </c>
      <c r="B143" s="61"/>
      <c r="C143" s="60"/>
      <c r="D143" s="60"/>
      <c r="E143" s="60"/>
      <c r="F143" s="60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</row>
    <row r="144" spans="1:23" ht="15.75" hidden="1">
      <c r="A144" s="83" t="s">
        <v>27</v>
      </c>
      <c r="B144" s="61"/>
      <c r="C144" s="60"/>
      <c r="D144" s="60"/>
      <c r="E144" s="60"/>
      <c r="F144" s="60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</row>
    <row r="145" spans="1:23" ht="15.75" hidden="1">
      <c r="A145" s="83" t="s">
        <v>28</v>
      </c>
      <c r="B145" s="60"/>
      <c r="C145" s="60"/>
      <c r="D145" s="60"/>
      <c r="E145" s="60"/>
      <c r="F145" s="60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</row>
    <row r="146" spans="1:23" ht="15.75" hidden="1">
      <c r="A146" s="83" t="s">
        <v>79</v>
      </c>
      <c r="B146" s="60"/>
      <c r="C146" s="60"/>
      <c r="D146" s="60"/>
      <c r="E146" s="60"/>
      <c r="F146" s="60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</row>
    <row r="147" spans="1:23" ht="15.75" hidden="1">
      <c r="A147" s="83" t="s">
        <v>29</v>
      </c>
      <c r="B147" s="60"/>
      <c r="C147" s="60"/>
      <c r="D147" s="60"/>
      <c r="E147" s="60"/>
      <c r="F147" s="60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</row>
    <row r="148" spans="1:23" ht="15.75" hidden="1">
      <c r="A148" s="83" t="s">
        <v>30</v>
      </c>
      <c r="B148" s="60"/>
      <c r="C148" s="60"/>
      <c r="D148" s="60"/>
      <c r="E148" s="60"/>
      <c r="F148" s="60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</row>
    <row r="149" spans="1:23" ht="15.75" hidden="1">
      <c r="A149" s="83" t="s">
        <v>31</v>
      </c>
      <c r="B149" s="60"/>
      <c r="C149" s="60"/>
      <c r="D149" s="60"/>
      <c r="E149" s="60"/>
      <c r="F149" s="60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</row>
    <row r="150" spans="1:23" ht="15.75" hidden="1">
      <c r="A150" s="83" t="s">
        <v>32</v>
      </c>
      <c r="B150" s="60"/>
      <c r="C150" s="60"/>
      <c r="D150" s="60"/>
      <c r="E150" s="60"/>
      <c r="F150" s="60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</row>
    <row r="151" spans="1:23" ht="15.75" hidden="1">
      <c r="A151" s="83" t="s">
        <v>33</v>
      </c>
      <c r="B151" s="60"/>
      <c r="C151" s="60"/>
      <c r="D151" s="60"/>
      <c r="E151" s="60"/>
      <c r="F151" s="60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</row>
    <row r="152" spans="1:23" ht="15.75" hidden="1">
      <c r="A152" s="83" t="s">
        <v>34</v>
      </c>
      <c r="B152" s="64"/>
      <c r="C152" s="60"/>
      <c r="D152" s="60"/>
      <c r="E152" s="60"/>
      <c r="F152" s="60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</row>
    <row r="153" spans="1:23" ht="15.75" hidden="1">
      <c r="A153" s="83" t="s">
        <v>80</v>
      </c>
      <c r="B153" s="64"/>
      <c r="C153" s="60"/>
      <c r="D153" s="60"/>
      <c r="E153" s="60"/>
      <c r="F153" s="60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</row>
    <row r="154" spans="1:23" ht="15.75" hidden="1">
      <c r="A154" s="83" t="s">
        <v>35</v>
      </c>
      <c r="B154" s="60"/>
      <c r="C154" s="60"/>
      <c r="D154" s="60"/>
      <c r="E154" s="60"/>
      <c r="F154" s="60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</row>
    <row r="155" spans="1:23" ht="15.75" hidden="1">
      <c r="A155" s="83" t="s">
        <v>45</v>
      </c>
      <c r="B155" s="60"/>
      <c r="C155" s="60"/>
      <c r="D155" s="60"/>
      <c r="E155" s="60"/>
      <c r="F155" s="60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</row>
    <row r="156" spans="1:23" ht="15.75" hidden="1">
      <c r="A156" s="83" t="s">
        <v>46</v>
      </c>
      <c r="B156" s="60"/>
      <c r="C156" s="60"/>
      <c r="D156" s="60"/>
      <c r="E156" s="60"/>
      <c r="F156" s="60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</row>
    <row r="157" spans="1:23" ht="15.75" hidden="1">
      <c r="A157" s="83" t="s">
        <v>36</v>
      </c>
      <c r="B157" s="65"/>
      <c r="C157" s="60"/>
      <c r="D157" s="60"/>
      <c r="E157" s="66"/>
      <c r="F157" s="66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</row>
    <row r="158" spans="1:23" ht="15.75" hidden="1">
      <c r="A158" s="83" t="s">
        <v>37</v>
      </c>
      <c r="B158" s="59"/>
      <c r="C158" s="59"/>
      <c r="D158" s="59"/>
      <c r="E158" s="66"/>
      <c r="F158" s="66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</row>
    <row r="159" spans="1:23" ht="15.75" hidden="1">
      <c r="A159" s="83" t="s">
        <v>47</v>
      </c>
      <c r="B159" s="59"/>
      <c r="C159" s="59"/>
      <c r="D159" s="59"/>
      <c r="E159" s="59"/>
      <c r="F159" s="5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</row>
    <row r="160" spans="1:23" ht="15.75" hidden="1">
      <c r="A160" s="83" t="s">
        <v>48</v>
      </c>
      <c r="B160" s="59"/>
      <c r="C160" s="59"/>
      <c r="D160" s="59"/>
      <c r="E160" s="59"/>
      <c r="F160" s="5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</row>
    <row r="161" spans="1:23" ht="15.75" hidden="1">
      <c r="A161" s="83" t="s">
        <v>38</v>
      </c>
      <c r="B161" s="59"/>
      <c r="C161" s="59" t="s">
        <v>8</v>
      </c>
      <c r="D161" s="59" t="s">
        <v>9</v>
      </c>
      <c r="E161" s="59"/>
      <c r="F161" s="5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</row>
    <row r="162" spans="1:23" ht="15.75" hidden="1">
      <c r="A162" s="83" t="s">
        <v>39</v>
      </c>
      <c r="B162" s="59"/>
      <c r="C162" s="59"/>
      <c r="D162" s="59">
        <v>525</v>
      </c>
      <c r="E162" s="59"/>
      <c r="F162" s="5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</row>
    <row r="163" spans="1:23" ht="15.75" hidden="1">
      <c r="A163" s="83" t="s">
        <v>40</v>
      </c>
      <c r="B163" s="59"/>
      <c r="C163" s="59"/>
      <c r="D163" s="59">
        <v>100</v>
      </c>
      <c r="E163" s="59"/>
      <c r="F163" s="5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</row>
    <row r="164" spans="1:23" ht="15.75" hidden="1">
      <c r="A164" s="83" t="s">
        <v>41</v>
      </c>
      <c r="B164" s="59"/>
      <c r="C164" s="59"/>
      <c r="D164" s="59">
        <v>675</v>
      </c>
      <c r="E164" s="59"/>
      <c r="F164" s="5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</row>
    <row r="165" spans="1:23" ht="15.75" hidden="1">
      <c r="A165" s="83" t="s">
        <v>42</v>
      </c>
      <c r="B165" s="59"/>
      <c r="C165" s="59"/>
      <c r="D165" s="59"/>
      <c r="E165" s="59"/>
      <c r="F165" s="5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</row>
    <row r="166" spans="1:23" ht="15" hidden="1">
      <c r="A166" s="59"/>
      <c r="B166" s="59"/>
      <c r="C166" s="59"/>
      <c r="D166" s="59"/>
      <c r="E166" s="59"/>
      <c r="F166" s="5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</row>
    <row r="167" spans="1:23" ht="15" hidden="1">
      <c r="A167" s="59"/>
      <c r="B167" s="59"/>
      <c r="C167" s="59"/>
      <c r="D167" s="59"/>
      <c r="E167" s="59"/>
      <c r="F167" s="5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</row>
    <row r="168" spans="1:23" ht="14.25" hidden="1">
      <c r="A168" s="67" t="s">
        <v>10</v>
      </c>
      <c r="B168" s="67"/>
      <c r="C168" s="67" t="s">
        <v>10</v>
      </c>
      <c r="D168" s="68" t="s">
        <v>11</v>
      </c>
      <c r="E168" s="69"/>
      <c r="F168" s="67" t="s">
        <v>3</v>
      </c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</row>
    <row r="169" spans="1:23" ht="15" hidden="1">
      <c r="A169" s="70">
        <v>0</v>
      </c>
      <c r="B169" s="71"/>
      <c r="C169" s="70">
        <v>7500</v>
      </c>
      <c r="D169" s="72">
        <v>4.5600000000000002E-2</v>
      </c>
      <c r="E169" s="73"/>
      <c r="F169" s="70">
        <f>IF(B10&lt;C169,B10*D169,C169*D169)</f>
        <v>0</v>
      </c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</row>
    <row r="170" spans="1:23" ht="15" hidden="1">
      <c r="A170" s="70">
        <v>7500</v>
      </c>
      <c r="B170" s="71"/>
      <c r="C170" s="70">
        <v>17500</v>
      </c>
      <c r="D170" s="72">
        <v>2.8500000000000001E-2</v>
      </c>
      <c r="E170" s="73"/>
      <c r="F170" s="71" t="str">
        <f>IF(B10&lt;=A170," ",IF(B10&lt;C170,(B10-C169)*D170,(C170-A170)*D170))</f>
        <v xml:space="preserve"> </v>
      </c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</row>
    <row r="171" spans="1:23" ht="15" hidden="1">
      <c r="A171" s="70">
        <v>17500</v>
      </c>
      <c r="B171" s="71"/>
      <c r="C171" s="70">
        <v>30000</v>
      </c>
      <c r="D171" s="72">
        <v>2.2800000000000001E-2</v>
      </c>
      <c r="E171" s="73"/>
      <c r="F171" s="71" t="str">
        <f>IF(B10&lt;=A171," ",IF(B10&lt;C171,(B10-C170)*D171,(C171-A171)*D171))</f>
        <v xml:space="preserve"> </v>
      </c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</row>
    <row r="172" spans="1:23" ht="15" hidden="1">
      <c r="A172" s="70">
        <v>30000</v>
      </c>
      <c r="B172" s="71"/>
      <c r="C172" s="70">
        <v>45495</v>
      </c>
      <c r="D172" s="72">
        <v>1.7100000000000001E-2</v>
      </c>
      <c r="E172" s="73"/>
      <c r="F172" s="71" t="str">
        <f>IF(B10&lt;=A172," ",IF(B10&lt;C172,(B10-C171)*D172,(C172-A172)*D172))</f>
        <v xml:space="preserve"> </v>
      </c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</row>
    <row r="173" spans="1:23" ht="15" hidden="1">
      <c r="A173" s="70">
        <v>45495</v>
      </c>
      <c r="B173" s="71"/>
      <c r="C173" s="70">
        <v>64095</v>
      </c>
      <c r="D173" s="72">
        <v>1.14E-2</v>
      </c>
      <c r="E173" s="73"/>
      <c r="F173" s="71" t="str">
        <f>IF(B10&lt;=A173," ",IF(B10&lt;C173,(B10-C172)*D173,(C173-A173)*D173))</f>
        <v xml:space="preserve"> </v>
      </c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</row>
    <row r="174" spans="1:23" ht="15" hidden="1">
      <c r="A174" s="70">
        <v>64095</v>
      </c>
      <c r="B174" s="71"/>
      <c r="C174" s="70">
        <v>250095</v>
      </c>
      <c r="D174" s="72">
        <v>5.7000000000000002E-3</v>
      </c>
      <c r="E174" s="73"/>
      <c r="F174" s="71" t="str">
        <f>IF(B10&lt;=A174," ",IF(B10&lt;C174,(B10-C173)*D174,(C174-A174)*D174))</f>
        <v xml:space="preserve"> </v>
      </c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</row>
    <row r="175" spans="1:23" ht="15" hidden="1">
      <c r="A175" s="70">
        <v>250095</v>
      </c>
      <c r="B175" s="71"/>
      <c r="C175" s="70">
        <v>999999999</v>
      </c>
      <c r="D175" s="72">
        <v>5.6999999999999998E-4</v>
      </c>
      <c r="E175" s="73"/>
      <c r="F175" s="71" t="str">
        <f>IF(B10&lt;=A175," ",IF(B10&lt;C175,(B10-C174)*D175,(C175-A175)*D175))</f>
        <v xml:space="preserve"> </v>
      </c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</row>
    <row r="176" spans="1:23" ht="15" hidden="1">
      <c r="A176" s="74"/>
      <c r="B176" s="75"/>
      <c r="C176" s="75"/>
      <c r="D176" s="76"/>
      <c r="E176" s="77"/>
      <c r="F176" s="77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</row>
    <row r="177" spans="1:23" ht="15" hidden="1">
      <c r="A177" s="67" t="s">
        <v>12</v>
      </c>
      <c r="B177" s="78"/>
      <c r="C177" s="75"/>
      <c r="D177" s="79"/>
      <c r="E177" s="77"/>
      <c r="F177" s="80">
        <f>SUM(F169:F176)</f>
        <v>0</v>
      </c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</row>
    <row r="178" spans="1:23" ht="15" hidden="1">
      <c r="A178" s="59"/>
      <c r="B178" s="59"/>
      <c r="C178" s="59"/>
      <c r="D178" s="59"/>
      <c r="E178" s="59"/>
      <c r="F178" s="5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</row>
    <row r="179" spans="1:23" hidden="1">
      <c r="A179" s="112" t="s">
        <v>110</v>
      </c>
      <c r="B179" s="112"/>
      <c r="C179" s="112"/>
      <c r="D179" s="112"/>
      <c r="E179" s="112"/>
      <c r="F179" s="112" t="s">
        <v>111</v>
      </c>
      <c r="G179" s="112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</row>
    <row r="180" spans="1:23" hidden="1">
      <c r="A180" s="112">
        <v>67.31</v>
      </c>
      <c r="B180" s="112" t="s">
        <v>112</v>
      </c>
      <c r="C180" s="112">
        <v>25000</v>
      </c>
      <c r="D180" s="112"/>
      <c r="E180" s="112"/>
      <c r="F180" s="112"/>
      <c r="G180" s="112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</row>
    <row r="181" spans="1:23" hidden="1">
      <c r="A181" s="112">
        <v>23.56</v>
      </c>
      <c r="B181" s="112" t="s">
        <v>113</v>
      </c>
      <c r="C181" s="112">
        <v>25000</v>
      </c>
      <c r="D181" s="112" t="s">
        <v>114</v>
      </c>
      <c r="E181" s="112"/>
      <c r="F181" s="112"/>
      <c r="G181" s="112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</row>
    <row r="182" spans="1:23" hidden="1"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</row>
    <row r="183" spans="1:23" hidden="1"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</row>
    <row r="184" spans="1:23" hidden="1"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</row>
    <row r="185" spans="1:23" hidden="1"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</row>
    <row r="186" spans="1:23" hidden="1"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</row>
    <row r="187" spans="1:23" hidden="1">
      <c r="A187" s="33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</row>
    <row r="188" spans="1:23" hidden="1">
      <c r="B188" s="29"/>
      <c r="C188" s="29"/>
      <c r="D188" s="29"/>
      <c r="E188" s="29"/>
      <c r="F188" s="29"/>
      <c r="G188" s="29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29"/>
      <c r="V188" s="29"/>
      <c r="W188" s="29"/>
    </row>
    <row r="189" spans="1:23" hidden="1">
      <c r="A189" s="35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29"/>
      <c r="V189" s="29"/>
      <c r="W189" s="29"/>
    </row>
    <row r="190" spans="1:23" hidden="1">
      <c r="A190" s="35"/>
      <c r="B190" s="14" t="e">
        <f>IF(#REF!="oui",-1500,0)</f>
        <v>#REF!</v>
      </c>
      <c r="C190" s="34" t="e">
        <f>IF(AND(#REF!="oui",#REF!="oui"),-750,0)</f>
        <v>#REF!</v>
      </c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29"/>
      <c r="V190" s="29"/>
      <c r="W190" s="29"/>
    </row>
    <row r="191" spans="1:23" hidden="1">
      <c r="A191" s="35"/>
      <c r="B191" s="14" t="e">
        <f>IF(#REF!="oui",-750,0)</f>
        <v>#REF!</v>
      </c>
      <c r="C191" s="34" t="e">
        <f>IF(AND(#REF!="non",#REF!="oui"),-1500,0)</f>
        <v>#REF!</v>
      </c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29"/>
      <c r="V191" s="29"/>
      <c r="W191" s="29"/>
    </row>
    <row r="192" spans="1:23" hidden="1">
      <c r="A192" s="35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29"/>
      <c r="V192" s="29"/>
      <c r="W192" s="29"/>
    </row>
    <row r="193" spans="1:23" hidden="1">
      <c r="A193" s="35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29"/>
      <c r="V193" s="29"/>
      <c r="W193" s="29"/>
    </row>
    <row r="194" spans="1:23" ht="13.5" hidden="1" thickBot="1">
      <c r="A194" s="35"/>
      <c r="B194" s="34"/>
      <c r="C194" s="34"/>
      <c r="D194" s="34"/>
      <c r="E194" s="34"/>
      <c r="F194" s="34"/>
      <c r="G194" s="34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</row>
    <row r="195" spans="1:23" ht="13.5" hidden="1" thickBot="1">
      <c r="A195" s="7"/>
      <c r="B195" s="36"/>
      <c r="C195" s="30"/>
      <c r="D195" s="30"/>
      <c r="E195" s="30"/>
      <c r="F195" s="30"/>
      <c r="G195" s="30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</row>
    <row r="196" spans="1:23" ht="13.5" hidden="1" thickBot="1">
      <c r="A196" s="7"/>
      <c r="B196" s="7"/>
      <c r="C196" s="7"/>
      <c r="D196" s="7"/>
      <c r="E196" s="37"/>
      <c r="F196" s="37"/>
      <c r="G196" s="3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idden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idden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7" t="s">
        <v>1</v>
      </c>
      <c r="B199" s="7"/>
      <c r="C199" s="7" t="s">
        <v>8</v>
      </c>
      <c r="D199" s="7" t="s">
        <v>9</v>
      </c>
      <c r="E199" s="7"/>
      <c r="F199" s="60" t="s">
        <v>61</v>
      </c>
      <c r="G199" s="60" t="s">
        <v>61</v>
      </c>
      <c r="H199" s="60" t="s">
        <v>61</v>
      </c>
      <c r="I199" s="60" t="s">
        <v>61</v>
      </c>
      <c r="J199" s="60" t="s">
        <v>61</v>
      </c>
      <c r="K199" s="60" t="s">
        <v>61</v>
      </c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7"/>
      <c r="B200" s="7"/>
      <c r="C200" s="7"/>
      <c r="D200" s="7">
        <v>525</v>
      </c>
      <c r="E200" s="7"/>
      <c r="F200" s="60" t="s">
        <v>62</v>
      </c>
      <c r="G200" s="60" t="s">
        <v>62</v>
      </c>
      <c r="H200" s="60" t="s">
        <v>62</v>
      </c>
      <c r="I200" s="60" t="s">
        <v>62</v>
      </c>
      <c r="J200" s="60" t="s">
        <v>62</v>
      </c>
      <c r="K200" s="60" t="s">
        <v>62</v>
      </c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7"/>
      <c r="B201" s="7"/>
      <c r="C201" s="7"/>
      <c r="D201" s="7">
        <v>100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7"/>
      <c r="B202" s="7"/>
      <c r="C202" s="7"/>
      <c r="D202" s="7">
        <v>675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t="14.25" hidden="1">
      <c r="A206" s="38" t="s">
        <v>10</v>
      </c>
      <c r="B206" s="38"/>
      <c r="C206" s="38" t="s">
        <v>10</v>
      </c>
      <c r="D206" s="39" t="s">
        <v>11</v>
      </c>
      <c r="E206" s="40"/>
      <c r="F206" s="38" t="s">
        <v>3</v>
      </c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t="15" hidden="1">
      <c r="A207" s="41">
        <v>0</v>
      </c>
      <c r="B207" s="42"/>
      <c r="C207" s="41">
        <v>7500</v>
      </c>
      <c r="D207" s="43">
        <v>4.5600000000000002E-2</v>
      </c>
      <c r="E207" s="44"/>
      <c r="F207" s="41">
        <f>IF($B$10&lt;C207,$B$10*D207,C207*D207)</f>
        <v>0</v>
      </c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5" hidden="1">
      <c r="A208" s="41">
        <v>7500</v>
      </c>
      <c r="B208" s="42"/>
      <c r="C208" s="41">
        <v>17500</v>
      </c>
      <c r="D208" s="43">
        <v>2.8500000000000001E-2</v>
      </c>
      <c r="E208" s="44"/>
      <c r="F208" s="42" t="str">
        <f t="shared" ref="F208:F213" si="0">IF($B$10&lt;=A208," ",IF($B$10&lt;C208,($B$10-C207)*D208,(C208-A208)*D208))</f>
        <v xml:space="preserve"> </v>
      </c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5" hidden="1">
      <c r="A209" s="41">
        <v>17500</v>
      </c>
      <c r="B209" s="42"/>
      <c r="C209" s="41">
        <v>30000</v>
      </c>
      <c r="D209" s="43">
        <v>2.2800000000000001E-2</v>
      </c>
      <c r="E209" s="44"/>
      <c r="F209" s="42" t="str">
        <f t="shared" si="0"/>
        <v xml:space="preserve"> </v>
      </c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5" hidden="1">
      <c r="A210" s="41">
        <v>30000</v>
      </c>
      <c r="B210" s="42"/>
      <c r="C210" s="41">
        <v>45495</v>
      </c>
      <c r="D210" s="43">
        <v>1.7100000000000001E-2</v>
      </c>
      <c r="E210" s="44"/>
      <c r="F210" s="42" t="str">
        <f t="shared" si="0"/>
        <v xml:space="preserve"> </v>
      </c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5" hidden="1">
      <c r="A211" s="41">
        <v>45495</v>
      </c>
      <c r="B211" s="42"/>
      <c r="C211" s="41">
        <v>64095</v>
      </c>
      <c r="D211" s="43">
        <v>1.14E-2</v>
      </c>
      <c r="E211" s="44"/>
      <c r="F211" s="42" t="str">
        <f t="shared" si="0"/>
        <v xml:space="preserve"> </v>
      </c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5" hidden="1">
      <c r="A212" s="41">
        <v>64095</v>
      </c>
      <c r="B212" s="42"/>
      <c r="C212" s="41">
        <v>250095</v>
      </c>
      <c r="D212" s="43">
        <v>5.7000000000000002E-3</v>
      </c>
      <c r="E212" s="44"/>
      <c r="F212" s="42" t="str">
        <f t="shared" si="0"/>
        <v xml:space="preserve"> </v>
      </c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5" hidden="1">
      <c r="A213" s="41">
        <v>250095</v>
      </c>
      <c r="B213" s="42"/>
      <c r="C213" s="41">
        <f>$B$10</f>
        <v>0</v>
      </c>
      <c r="D213" s="43">
        <v>5.6999999999999998E-4</v>
      </c>
      <c r="E213" s="44"/>
      <c r="F213" s="42" t="str">
        <f t="shared" si="0"/>
        <v xml:space="preserve"> </v>
      </c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5" hidden="1">
      <c r="A214" s="45"/>
      <c r="B214" s="46"/>
      <c r="C214" s="46"/>
      <c r="D214" s="47"/>
      <c r="E214" s="48"/>
      <c r="F214" s="48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t="15" hidden="1">
      <c r="A215" s="38" t="s">
        <v>12</v>
      </c>
      <c r="B215" s="49"/>
      <c r="C215" s="46"/>
      <c r="D215" s="50"/>
      <c r="E215" s="48"/>
      <c r="F215" s="51">
        <f>SUM(F207:F214)</f>
        <v>0</v>
      </c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112"/>
      <c r="B219" s="112"/>
      <c r="C219" s="112"/>
      <c r="D219" s="113">
        <f>ROUNDUP(B56+B57,-2)</f>
        <v>100</v>
      </c>
      <c r="E219" s="112"/>
      <c r="F219" s="112"/>
      <c r="G219" s="112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112"/>
      <c r="B220" s="112"/>
      <c r="C220" s="112"/>
      <c r="D220" s="112"/>
      <c r="E220" s="112"/>
      <c r="F220" s="112"/>
      <c r="G220" s="112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112"/>
      <c r="B221" s="112"/>
      <c r="C221" s="112"/>
      <c r="D221" s="112"/>
      <c r="E221" s="112"/>
      <c r="F221" s="112"/>
      <c r="G221" s="112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112"/>
      <c r="B222" s="112"/>
      <c r="C222" s="112"/>
      <c r="D222" s="112"/>
      <c r="E222" s="112"/>
      <c r="F222" s="112"/>
      <c r="G222" s="112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112" t="s">
        <v>83</v>
      </c>
      <c r="B223" s="112"/>
      <c r="C223" s="112">
        <v>0</v>
      </c>
      <c r="D223" s="112"/>
      <c r="E223" s="112"/>
      <c r="F223" s="112"/>
      <c r="G223" s="112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t="15" hidden="1">
      <c r="A224" s="112">
        <v>0</v>
      </c>
      <c r="B224" s="112"/>
      <c r="C224" s="112">
        <v>7500</v>
      </c>
      <c r="D224" s="112">
        <v>1.7100000000000001E-2</v>
      </c>
      <c r="E224" s="114"/>
      <c r="F224" s="115">
        <f>IF(C47&lt;C224,C47*D224,C224*D224)</f>
        <v>0</v>
      </c>
      <c r="G224" s="112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t="15" hidden="1">
      <c r="A225" s="112">
        <v>7500</v>
      </c>
      <c r="B225" s="112"/>
      <c r="C225" s="112">
        <v>17500</v>
      </c>
      <c r="D225" s="112">
        <v>1.3679999999999999E-2</v>
      </c>
      <c r="E225" s="114"/>
      <c r="F225" s="115" t="str">
        <f>IF(C47&lt;=A225," ",IF(C47&lt;C225,(C47-C224)*D225,(C225-A225)*D225))</f>
        <v xml:space="preserve"> </v>
      </c>
      <c r="G225" s="112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t="15" hidden="1">
      <c r="A226" s="112">
        <v>17500</v>
      </c>
      <c r="B226" s="112"/>
      <c r="C226" s="112">
        <v>30000</v>
      </c>
      <c r="D226" s="112">
        <v>9.1199999999999996E-3</v>
      </c>
      <c r="E226" s="114"/>
      <c r="F226" s="115" t="str">
        <f>IF(C47&lt;=A226," ",IF(C47&lt;C226,(C47-C225)*D226,(C226-A226)*D226))</f>
        <v xml:space="preserve"> </v>
      </c>
      <c r="G226" s="112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t="15" hidden="1">
      <c r="A227" s="112">
        <v>30000</v>
      </c>
      <c r="B227" s="112"/>
      <c r="C227" s="112">
        <v>45495</v>
      </c>
      <c r="D227" s="112">
        <v>6.8399999999999997E-3</v>
      </c>
      <c r="E227" s="114"/>
      <c r="F227" s="115" t="str">
        <f>IF(C47&lt;=A227," ",IF(C47&lt;C227,(C47-C226)*D227,(C227-A227)*D227))</f>
        <v xml:space="preserve"> </v>
      </c>
      <c r="G227" s="112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t="15" hidden="1">
      <c r="A228" s="112">
        <v>45495</v>
      </c>
      <c r="B228" s="112"/>
      <c r="C228" s="112">
        <v>64095</v>
      </c>
      <c r="D228" s="112">
        <v>4.5599999999999998E-3</v>
      </c>
      <c r="E228" s="114"/>
      <c r="F228" s="115" t="str">
        <f>IF(C47&lt;=A228," ",IF(C47&lt;C228,(C47-C227)*D228,(C228-A228)*D228))</f>
        <v xml:space="preserve"> </v>
      </c>
      <c r="G228" s="112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t="15" hidden="1">
      <c r="A229" s="112">
        <v>64095</v>
      </c>
      <c r="B229" s="112"/>
      <c r="C229" s="112">
        <v>250095</v>
      </c>
      <c r="D229" s="112">
        <v>2.2799999999999999E-3</v>
      </c>
      <c r="E229" s="114"/>
      <c r="F229" s="115" t="str">
        <f>IF(C47&lt;=A229," ",IF(C47&lt;C229,(C47-C228)*D229,(C229-A229)*D229))</f>
        <v xml:space="preserve"> </v>
      </c>
      <c r="G229" s="112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5" hidden="1">
      <c r="A230" s="112">
        <v>250095</v>
      </c>
      <c r="B230" s="112"/>
      <c r="C230" s="116">
        <f>C47</f>
        <v>0</v>
      </c>
      <c r="D230" s="112">
        <v>4.5600000000000003E-4</v>
      </c>
      <c r="E230" s="114"/>
      <c r="F230" s="115" t="str">
        <f>IF(C47&lt;=A230," ",IF(C47&lt;C230,(C47-C229)*D230,(C230-A230)*D230))</f>
        <v xml:space="preserve"> </v>
      </c>
      <c r="G230" s="112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5" hidden="1">
      <c r="A231" s="112">
        <v>10075000</v>
      </c>
      <c r="B231" s="112"/>
      <c r="C231" s="112">
        <v>0</v>
      </c>
      <c r="D231" s="112">
        <v>4.5600000000000003E-4</v>
      </c>
      <c r="E231" s="117" t="str">
        <f>IF($C$131&lt;=A231," E90",IF($C$131&lt;C231,($C$131-C230)*D231,(C231-A231)*D231))</f>
        <v xml:space="preserve"> E90</v>
      </c>
      <c r="F231" s="118"/>
      <c r="G231" s="112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5" hidden="1">
      <c r="A232" s="112"/>
      <c r="B232" s="112"/>
      <c r="C232" s="112"/>
      <c r="D232" s="112"/>
      <c r="E232" s="119"/>
      <c r="F232" s="118"/>
      <c r="G232" s="112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t="14.25" hidden="1">
      <c r="A233" s="112" t="s">
        <v>12</v>
      </c>
      <c r="B233" s="112"/>
      <c r="C233" s="112"/>
      <c r="D233" s="112"/>
      <c r="E233" s="120">
        <f>SUM(F224:F231)</f>
        <v>0</v>
      </c>
      <c r="F233" s="118"/>
      <c r="G233" s="112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idden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idden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idden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idden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idden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idden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idden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idden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idden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idden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idden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idden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idden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idden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idden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idden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idden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idden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idden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idden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idden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idden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idden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idden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idden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idden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idden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idden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idden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idden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idden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idden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idden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idden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idden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idden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idden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idden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idden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idden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idden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idden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idden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idden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idden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idden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1:23" hidden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1:23" hidden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1:23" hidden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1:23" hidden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1:23" hidden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1:23" hidden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1:23" hidden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1:23" hidden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1:23" hidden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1:23" hidden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1:23" hidden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1:23" hidden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1:23" hidden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1:23" hidden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1:23" hidden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1:23" hidden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1:23" hidden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1:23" hidden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1:23" hidden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1:23" hidden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1:23" hidden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1:23" hidden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1:23" hidden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1:2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1:2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1:2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1:2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1:2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1:2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1:2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1:2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1:23">
      <c r="A311" s="7"/>
      <c r="B311" s="7"/>
      <c r="C311" s="7"/>
      <c r="D311" s="7"/>
      <c r="E311" s="7"/>
      <c r="F311" s="7"/>
      <c r="G311" s="7"/>
    </row>
  </sheetData>
  <sheetProtection algorithmName="SHA-512" hashValue="c/2PYG2qwctPG4EQr0cYvQxCOO3Qdn08LR6ObpX9YnWhQbed89gSkwZ2MFEYOLMYN+uOIhZ1qR0lc2jy7CSirw==" saltValue="wxImzOIlq6vHy0gOVKrfQw==" spinCount="100000" sheet="1" objects="1" scenarios="1"/>
  <phoneticPr fontId="0" type="noConversion"/>
  <dataValidations count="6">
    <dataValidation type="list" allowBlank="1" showInputMessage="1" showErrorMessage="1" sqref="B7">
      <formula1>$K$199:$K$200</formula1>
    </dataValidation>
    <dataValidation type="list" allowBlank="1" showInputMessage="1" showErrorMessage="1" sqref="B12">
      <formula1>C127:C128</formula1>
    </dataValidation>
    <dataValidation type="list" allowBlank="1" showInputMessage="1" showErrorMessage="1" sqref="B13">
      <formula1>A127:A165</formula1>
    </dataValidation>
    <dataValidation type="list" allowBlank="1" showInputMessage="1" showErrorMessage="1" sqref="B15">
      <formula1>E127:E128</formula1>
    </dataValidation>
    <dataValidation type="list" allowBlank="1" showInputMessage="1" showErrorMessage="1" sqref="B14">
      <formula1>D127:D128</formula1>
    </dataValidation>
    <dataValidation type="list" allowBlank="1" showInputMessage="1" showErrorMessage="1" sqref="C49">
      <formula1>$F$192:$F$193</formula1>
    </dataValidation>
  </dataValidations>
  <hyperlinks>
    <hyperlink ref="D97" r:id="rId1"/>
    <hyperlink ref="D99" r:id="rId2"/>
    <hyperlink ref="B99" r:id="rId3"/>
    <hyperlink ref="C101" r:id="rId4"/>
    <hyperlink ref="B97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VBIWTVABREYNECRMH</vt:lpstr>
      <vt:lpstr>VBIWTVABREYNECRMH!_1._Zegels_Minuut_Brevet</vt:lpstr>
      <vt:lpstr>VBIWTVABREYNECRMH!_2._Registratie_Minuut_Brevet</vt:lpstr>
      <vt:lpstr>VBIWTVABREYNECRMH!_3._Registratie_aanhangsel</vt:lpstr>
      <vt:lpstr>VBIWTVABREYNECRMH!Aard</vt:lpstr>
      <vt:lpstr>VBIWTVABREYNECRMH!Afdrukbereik</vt:lpstr>
      <vt:lpstr>VBIWTVABREYNECRMH!Datum</vt:lpstr>
      <vt:lpstr>VBIWTVABREYNECRMH!KOSTENFICHE</vt:lpstr>
      <vt:lpstr>VBIWTVABREYNECRMH!Rep.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2014-12-07T14:40:42Z</dcterms:modified>
</cp:coreProperties>
</file>