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PH" sheetId="1" r:id="rId1"/>
  </sheets>
  <definedNames>
    <definedName name="_1._Zegels_Minuut_Brevet" localSheetId="0">VBIFTVABREYNEPH!$A$19:$F$19</definedName>
    <definedName name="_1._Zegels_Minuut_Brevet">#REF!</definedName>
    <definedName name="_10._Tweede_getuigschrift" localSheetId="0">VBIFTVABREYNEPH!#REF!</definedName>
    <definedName name="_10._Tweede_getuigschrift">#REF!</definedName>
    <definedName name="_11._Kadaster_uittreksel" localSheetId="0">VBIFTVABREYNEPH!#REF!</definedName>
    <definedName name="_11._Kadaster_uittreksel">#REF!</definedName>
    <definedName name="_12._Getuigen" localSheetId="0">VBIFTVABREYNEPH!#REF!</definedName>
    <definedName name="_12._Getuigen">#REF!</definedName>
    <definedName name="_13._Allerlei_uitgaven" localSheetId="0">VBIFTVABREYNEPH!#REF!</definedName>
    <definedName name="_13._Allerlei_uitgaven">#REF!</definedName>
    <definedName name="_14." localSheetId="0">VBIFTVABREYNEPH!#REF!</definedName>
    <definedName name="_14.">#REF!</definedName>
    <definedName name="_15." localSheetId="0">VBIFTVABREYNEPH!#REF!</definedName>
    <definedName name="_15.">#REF!</definedName>
    <definedName name="_2._Registratie_Minuut_Brevet" localSheetId="0">VBIFTVABREYNEPH!$B$26:$G$26</definedName>
    <definedName name="_2._Registratie_Minuut_Brevet">#REF!</definedName>
    <definedName name="_3._Registratie_aanhangsel" localSheetId="0">VBIFTVABREYNEPH!$E$27:$G$27</definedName>
    <definedName name="_3._Registratie_aanhangsel">#REF!</definedName>
    <definedName name="_4.Zegels_afschrift_grosse" localSheetId="0">VBIFTVABREYNEPH!#REF!</definedName>
    <definedName name="_4.Zegels_afschrift_grosse">#REF!</definedName>
    <definedName name="_5._Hypotheek__inschr._overschr._doorh." localSheetId="0">VBIFTVABREYNEPH!#REF!</definedName>
    <definedName name="_5._Hypotheek__inschr._overschr._doorh.">#REF!</definedName>
    <definedName name="_6._Loon_pandbewaarder" localSheetId="0">VBIFTVABREYNEPH!#REF!</definedName>
    <definedName name="_6._Loon_pandbewaarder">#REF!</definedName>
    <definedName name="_7._Zegels__bord._aanh." localSheetId="0">VBIFTVABREYNEPH!#REF!</definedName>
    <definedName name="_7._Zegels__bord._aanh.">#REF!</definedName>
    <definedName name="_8._Opzoekingen" localSheetId="0">VBIFTVABREYNEPH!#REF!</definedName>
    <definedName name="_8._Opzoekingen">#REF!</definedName>
    <definedName name="_9._Hypothecair_getuigschrift" localSheetId="0">VBIFTVABREYNEPH!#REF!</definedName>
    <definedName name="_9._Hypothecair_getuigschrift">#REF!</definedName>
    <definedName name="Aard" localSheetId="0">VBIFTVABREYNEPH!$B$4:$F$4</definedName>
    <definedName name="Aard">#REF!</definedName>
    <definedName name="_xlnm.Print_Area" localSheetId="0">VBIFTVABREYNEPH!$A$1:$E$81</definedName>
    <definedName name="Datum" localSheetId="0">VBIFTVABREYNEPH!$B$4:$G$43</definedName>
    <definedName name="Datum">#REF!</definedName>
    <definedName name="gemeentelijke_info">#REF!</definedName>
    <definedName name="Kantoor_van_Notaris_J._SIMONART_te_Leuven" localSheetId="0">VBIFTVABREYNEPH!#REF!</definedName>
    <definedName name="Kantoor_van_Notaris_J._SIMONART_te_Leuven">#REF!</definedName>
    <definedName name="KOSTENFICHE" localSheetId="0">VBIFTVABREYNEPH!$A$1:$G$43</definedName>
    <definedName name="KOSTENFICHE">#REF!</definedName>
    <definedName name="Last_Row">IF(Values_Entered,Header_Row+Number_of_Payments,Header_Row)</definedName>
    <definedName name="Naam" localSheetId="0">VBIFTVABREYNEPH!#REF!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VBIFTVABREYNEPH!$F$4:$F$45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VBIFTVABREYNEPH!#REF!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VBIFTVABREYNEPH!$A$3:$G$43</definedName>
  </definedNames>
  <calcPr calcId="152511"/>
</workbook>
</file>

<file path=xl/calcChain.xml><?xml version="1.0" encoding="utf-8"?>
<calcChain xmlns="http://schemas.openxmlformats.org/spreadsheetml/2006/main">
  <c r="D40" i="1" l="1"/>
  <c r="B10" i="1"/>
  <c r="F158" i="1" s="1"/>
  <c r="D20" i="1"/>
  <c r="D21" i="1"/>
  <c r="D25" i="1"/>
  <c r="D27" i="1"/>
  <c r="E42" i="1"/>
  <c r="E43" i="1"/>
  <c r="C51" i="1"/>
  <c r="D59" i="1" s="1"/>
  <c r="C62" i="1"/>
  <c r="D67" i="1"/>
  <c r="D70" i="1"/>
  <c r="D73" i="1"/>
  <c r="H89" i="1"/>
  <c r="H91" i="1" s="1"/>
  <c r="I89" i="1"/>
  <c r="J89" i="1"/>
  <c r="B95" i="1"/>
  <c r="D97" i="1"/>
  <c r="D98" i="1"/>
  <c r="D99" i="1"/>
  <c r="D100" i="1"/>
  <c r="D101" i="1"/>
  <c r="D102" i="1"/>
  <c r="D103" i="1"/>
  <c r="I105" i="1"/>
  <c r="I106" i="1" s="1"/>
  <c r="C109" i="1"/>
  <c r="E245" i="1"/>
  <c r="E109" i="1"/>
  <c r="A110" i="1"/>
  <c r="C63" i="1" s="1"/>
  <c r="D205" i="1" s="1"/>
  <c r="D64" i="1" s="1"/>
  <c r="E110" i="1"/>
  <c r="B138" i="1"/>
  <c r="C138" i="1"/>
  <c r="C140" i="1" s="1"/>
  <c r="C142" i="1" s="1"/>
  <c r="D140" i="1" s="1"/>
  <c r="E140" i="1" s="1"/>
  <c r="F138" i="1"/>
  <c r="F139" i="1" s="1"/>
  <c r="G139" i="1" s="1"/>
  <c r="H139" i="1" s="1"/>
  <c r="D24" i="1" s="1"/>
  <c r="B139" i="1"/>
  <c r="C139" i="1"/>
  <c r="F157" i="1"/>
  <c r="C161" i="1"/>
  <c r="F210" i="1"/>
  <c r="F211" i="1"/>
  <c r="F212" i="1"/>
  <c r="F213" i="1"/>
  <c r="F214" i="1"/>
  <c r="E219" i="1" s="1"/>
  <c r="F215" i="1"/>
  <c r="C216" i="1"/>
  <c r="F216" i="1"/>
  <c r="E217" i="1"/>
  <c r="G226" i="1"/>
  <c r="C228" i="1"/>
  <c r="D228" i="1"/>
  <c r="C237" i="1"/>
  <c r="F242" i="1" s="1"/>
  <c r="C245" i="1"/>
  <c r="D22" i="1"/>
  <c r="F156" i="1"/>
  <c r="F160" i="1"/>
  <c r="F159" i="1"/>
  <c r="F155" i="1"/>
  <c r="F161" i="1"/>
  <c r="D23" i="1"/>
  <c r="E30" i="1" l="1"/>
  <c r="F163" i="1"/>
  <c r="E19" i="1" s="1"/>
  <c r="E45" i="1"/>
  <c r="F239" i="1"/>
  <c r="F241" i="1"/>
  <c r="F244" i="1"/>
  <c r="F240" i="1"/>
  <c r="F238" i="1"/>
  <c r="F243" i="1"/>
  <c r="A232" i="1"/>
  <c r="D75" i="1" s="1"/>
  <c r="C231" i="1"/>
  <c r="E31" i="1" l="1"/>
  <c r="E33" i="1" s="1"/>
  <c r="E247" i="1"/>
  <c r="G58" i="1" s="1"/>
  <c r="G76" i="1"/>
  <c r="G59" i="1" l="1"/>
  <c r="G79" i="1" s="1"/>
  <c r="G75" i="1"/>
  <c r="G77" i="1" s="1"/>
  <c r="G81" i="1" l="1"/>
</calcChain>
</file>

<file path=xl/sharedStrings.xml><?xml version="1.0" encoding="utf-8"?>
<sst xmlns="http://schemas.openxmlformats.org/spreadsheetml/2006/main" count="128" uniqueCount="81">
  <si>
    <t>Dossier</t>
  </si>
  <si>
    <t>Prijs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</si>
  <si>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</si>
  <si>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</si>
  <si>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</si>
  <si>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</si>
  <si>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</si>
  <si>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</si>
  <si>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</si>
  <si>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</si>
  <si>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</si>
  <si>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</si>
  <si>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</si>
  <si>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</si>
  <si>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</si>
  <si>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</si>
  <si>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</si>
  <si>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</si>
  <si>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</si>
  <si>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</si>
  <si>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</si>
  <si>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art.53?</t>
  </si>
  <si>
    <t>Reportabilité? (montant)</t>
  </si>
  <si>
    <t>Abattement ordinaire?</t>
  </si>
  <si>
    <t>Abattement majoré?</t>
  </si>
  <si>
    <t>Frais à charge de l'acquéreur</t>
  </si>
  <si>
    <t>Honoraire</t>
  </si>
  <si>
    <t>Enregistrement</t>
  </si>
  <si>
    <t>Réduction art. 53</t>
  </si>
  <si>
    <t>Reportabilité</t>
  </si>
  <si>
    <t>Abattement majoré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</si>
  <si>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</si>
  <si>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</si>
  <si>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</si>
  <si>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</si>
  <si>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</si>
  <si>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</si>
  <si>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Total acquéreur:</t>
  </si>
  <si>
    <t>Frais à charge du vendeur</t>
  </si>
  <si>
    <t>Renseignements urbanistiques</t>
  </si>
  <si>
    <t>Mesurage</t>
  </si>
  <si>
    <t>Commission agence immobilière</t>
  </si>
  <si>
    <t>Attestation(s) du sol</t>
  </si>
  <si>
    <t>Autres (vacations …)</t>
  </si>
  <si>
    <t>Total frais vendeur</t>
  </si>
  <si>
    <t>Total vendeur:</t>
  </si>
  <si>
    <t>oui</t>
  </si>
  <si>
    <t>non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</si>
  <si>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</si>
  <si>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</si>
  <si>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</si>
  <si>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</si>
  <si>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</si>
  <si>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</si>
  <si>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</si>
  <si>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</si>
  <si>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Base enregistrement</t>
  </si>
  <si>
    <t>Principal</t>
  </si>
  <si>
    <t>Accessoires</t>
  </si>
  <si>
    <t>Base</t>
  </si>
  <si>
    <t>Base honoraire</t>
  </si>
  <si>
    <t>------------------------------------------------------------------------------------------------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</si>
  <si>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</si>
  <si>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</si>
  <si>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</si>
  <si>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</si>
  <si>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</si>
  <si>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</si>
  <si>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</si>
  <si>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</si>
  <si>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</si>
  <si>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</si>
  <si>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Tarief</t>
  </si>
  <si>
    <t>Ereloon G</t>
  </si>
  <si>
    <t>Lening</t>
  </si>
  <si>
    <t>Hypothecaire volmacht</t>
  </si>
  <si>
    <t>PRÊT HYPOTHÉCAIRE</t>
  </si>
  <si>
    <t>Prêt tarif social?</t>
  </si>
  <si>
    <t>Inscription à combien de bureaux d'hypothèques?</t>
  </si>
  <si>
    <t>Livret</t>
  </si>
  <si>
    <t>VENTE BIEN IMMOBILIER AVEC TVA - FLANDRE + PRET HYPOTHECAIRE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</si>
</sst>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</numFmts>
  <fonts count="18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1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6" fillId="0" borderId="0"/>
    <xf numFmtId="0" fontId="1" fillId="0" borderId="0"/>
    <xf numFmtId="0" fontId="16" fillId="0" borderId="0"/>
    <xf numFmtId="176" fontId="8" fillId="0" borderId="1">
      <protection locked="0"/>
    </xf>
    <xf numFmtId="0" fontId="17" fillId="0" borderId="18" applyNumberFormat="0" applyFill="0" applyAlignment="0" applyProtection="0"/>
  </cellStyleXfs>
  <cellXfs count="148">
    <xf numFmtId="0" fontId="0" fillId="0" borderId="0" xfId="0"/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ont="1" applyFill="1" applyBorder="1" applyProtection="1">
      <protection hidden="1"/>
    </xf>
    <xf numFmtId="0" fontId="1" fillId="2" borderId="7" xfId="13" applyFill="1" applyBorder="1" applyAlignment="1" applyProtection="1">
      <alignment horizontal="left"/>
      <protection hidden="1"/>
    </xf>
    <xf numFmtId="165" fontId="1" fillId="2" borderId="3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8" xfId="13" applyNumberFormat="1" applyFont="1" applyFill="1" applyBorder="1" applyProtection="1">
      <protection hidden="1"/>
    </xf>
    <xf numFmtId="168" fontId="5" fillId="2" borderId="9" xfId="13" applyNumberFormat="1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0" fontId="5" fillId="2" borderId="10" xfId="13" applyFont="1" applyFill="1" applyBorder="1" applyAlignment="1" applyProtection="1">
      <alignment horizontal="center"/>
      <protection hidden="1"/>
    </xf>
    <xf numFmtId="167" fontId="6" fillId="2" borderId="9" xfId="13" applyNumberFormat="1" applyFont="1" applyFill="1" applyBorder="1" applyProtection="1">
      <protection hidden="1"/>
    </xf>
    <xf numFmtId="168" fontId="6" fillId="2" borderId="9" xfId="13" applyNumberFormat="1" applyFont="1" applyFill="1" applyBorder="1" applyProtection="1">
      <protection hidden="1"/>
    </xf>
    <xf numFmtId="169" fontId="6" fillId="2" borderId="9" xfId="13" applyNumberFormat="1" applyFont="1" applyFill="1" applyBorder="1" applyProtection="1">
      <protection hidden="1"/>
    </xf>
    <xf numFmtId="169" fontId="6" fillId="2" borderId="10" xfId="13" applyNumberFormat="1" applyFont="1" applyFill="1" applyBorder="1" applyProtection="1">
      <protection hidden="1"/>
    </xf>
    <xf numFmtId="0" fontId="6" fillId="2" borderId="11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2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2" xfId="13" applyFont="1" applyFill="1" applyBorder="1" applyProtection="1">
      <protection hidden="1"/>
    </xf>
    <xf numFmtId="167" fontId="5" fillId="2" borderId="9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2" fillId="5" borderId="13" xfId="13" applyFont="1" applyFill="1" applyBorder="1" applyAlignment="1" applyProtection="1">
      <alignment horizontal="left"/>
      <protection hidden="1"/>
    </xf>
    <xf numFmtId="165" fontId="1" fillId="6" borderId="14" xfId="13" applyNumberFormat="1" applyFont="1" applyFill="1" applyBorder="1" applyAlignment="1" applyProtection="1">
      <alignment horizontal="left"/>
      <protection hidden="1"/>
    </xf>
    <xf numFmtId="0" fontId="1" fillId="7" borderId="14" xfId="13" applyFont="1" applyFill="1" applyBorder="1" applyProtection="1">
      <protection hidden="1"/>
    </xf>
    <xf numFmtId="0" fontId="1" fillId="5" borderId="15" xfId="13" applyFont="1" applyFill="1" applyBorder="1" applyAlignment="1" applyProtection="1">
      <alignment horizontal="left"/>
      <protection hidden="1"/>
    </xf>
    <xf numFmtId="0" fontId="2" fillId="8" borderId="13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Alignment="1" applyProtection="1">
      <alignment horizontal="left"/>
      <protection hidden="1"/>
    </xf>
    <xf numFmtId="0" fontId="1" fillId="8" borderId="13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165" fontId="1" fillId="2" borderId="16" xfId="13" applyNumberFormat="1" applyFont="1" applyFill="1" applyBorder="1" applyAlignment="1" applyProtection="1">
      <protection hidden="1"/>
    </xf>
    <xf numFmtId="0" fontId="1" fillId="6" borderId="14" xfId="0" applyFont="1" applyFill="1" applyBorder="1" applyAlignment="1" applyProtection="1">
      <alignment horizontal="left"/>
      <protection hidden="1"/>
    </xf>
    <xf numFmtId="164" fontId="2" fillId="4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left"/>
      <protection locked="0" hidden="1"/>
    </xf>
    <xf numFmtId="164" fontId="1" fillId="10" borderId="0" xfId="13" applyNumberFormat="1" applyFont="1" applyFill="1" applyBorder="1" applyAlignment="1" applyProtection="1">
      <alignment horizontal="right"/>
      <protection locked="0" hidden="1"/>
    </xf>
    <xf numFmtId="164" fontId="1" fillId="11" borderId="0" xfId="13" applyNumberFormat="1" applyFont="1" applyFill="1" applyBorder="1" applyAlignment="1" applyProtection="1">
      <alignment horizontal="center"/>
      <protection locked="0" hidden="1"/>
    </xf>
    <xf numFmtId="164" fontId="1" fillId="7" borderId="0" xfId="13" applyNumberFormat="1" applyFill="1" applyBorder="1" applyAlignment="1" applyProtection="1">
      <protection locked="0" hidden="1"/>
    </xf>
    <xf numFmtId="164" fontId="1" fillId="12" borderId="0" xfId="13" applyNumberFormat="1" applyFill="1" applyBorder="1" applyAlignment="1" applyProtection="1">
      <protection locked="0" hidden="1"/>
    </xf>
    <xf numFmtId="164" fontId="1" fillId="6" borderId="0" xfId="13" applyNumberFormat="1" applyFont="1" applyFill="1" applyBorder="1" applyAlignment="1" applyProtection="1">
      <alignment horizontal="right"/>
      <protection hidden="1"/>
    </xf>
    <xf numFmtId="164" fontId="1" fillId="7" borderId="0" xfId="13" applyNumberFormat="1" applyFill="1" applyBorder="1" applyAlignment="1" applyProtection="1">
      <alignment horizontal="center"/>
      <protection locked="0" hidden="1"/>
    </xf>
    <xf numFmtId="164" fontId="1" fillId="13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center"/>
      <protection locked="0" hidden="1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/>
    <xf numFmtId="164" fontId="1" fillId="4" borderId="0" xfId="13" applyNumberFormat="1" applyFill="1" applyBorder="1" applyAlignment="1" applyProtection="1">
      <alignment horizontal="left"/>
      <protection locked="0" hidden="1"/>
    </xf>
    <xf numFmtId="164" fontId="1" fillId="4" borderId="0" xfId="13" applyNumberFormat="1" applyFill="1" applyBorder="1" applyAlignment="1" applyProtection="1">
      <alignment horizontal="left"/>
      <protection locked="0"/>
    </xf>
    <xf numFmtId="164" fontId="11" fillId="4" borderId="0" xfId="0" applyNumberFormat="1" applyFont="1" applyFill="1" applyBorder="1" applyAlignment="1" applyProtection="1">
      <alignment horizontal="left"/>
      <protection locked="0"/>
    </xf>
    <xf numFmtId="164" fontId="1" fillId="6" borderId="14" xfId="13" applyNumberFormat="1" applyFill="1" applyBorder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6" borderId="14" xfId="13" applyNumberFormat="1" applyFill="1" applyBorder="1" applyAlignment="1" applyProtection="1">
      <alignment horizontal="left"/>
      <protection hidden="1"/>
    </xf>
    <xf numFmtId="164" fontId="1" fillId="7" borderId="14" xfId="13" applyNumberFormat="1" applyFill="1" applyBorder="1" applyProtection="1">
      <protection hidden="1"/>
    </xf>
    <xf numFmtId="164" fontId="1" fillId="2" borderId="0" xfId="13" applyNumberFormat="1" applyFill="1" applyBorder="1" applyProtection="1">
      <protection hidden="1"/>
    </xf>
    <xf numFmtId="164" fontId="1" fillId="5" borderId="13" xfId="13" applyNumberFormat="1" applyFill="1" applyBorder="1" applyProtection="1">
      <protection hidden="1"/>
    </xf>
    <xf numFmtId="164" fontId="1" fillId="2" borderId="0" xfId="13" applyNumberFormat="1" applyFill="1" applyProtection="1">
      <protection hidden="1"/>
    </xf>
    <xf numFmtId="164" fontId="1" fillId="9" borderId="17" xfId="13" applyNumberFormat="1" applyFill="1" applyBorder="1" applyAlignment="1" applyProtection="1">
      <alignment horizontal="left"/>
      <protection hidden="1"/>
    </xf>
    <xf numFmtId="164" fontId="1" fillId="8" borderId="13" xfId="13" applyNumberFormat="1" applyFill="1" applyBorder="1" applyAlignment="1" applyProtection="1">
      <protection hidden="1"/>
    </xf>
    <xf numFmtId="0" fontId="1" fillId="0" borderId="0" xfId="13" applyProtection="1">
      <protection hidden="1"/>
    </xf>
    <xf numFmtId="3" fontId="1" fillId="14" borderId="0" xfId="0" applyNumberFormat="1" applyFont="1" applyFill="1" applyProtection="1">
      <protection hidden="1"/>
    </xf>
    <xf numFmtId="0" fontId="1" fillId="0" borderId="0" xfId="13" applyFont="1" applyProtection="1">
      <protection hidden="1"/>
    </xf>
    <xf numFmtId="166" fontId="1" fillId="0" borderId="0" xfId="13" applyNumberFormat="1" applyProtection="1">
      <protection hidden="1"/>
    </xf>
    <xf numFmtId="169" fontId="6" fillId="15" borderId="0" xfId="13" applyNumberFormat="1" applyFont="1" applyFill="1" applyBorder="1" applyProtection="1">
      <protection hidden="1"/>
    </xf>
    <xf numFmtId="178" fontId="6" fillId="15" borderId="0" xfId="13" applyNumberFormat="1" applyFont="1" applyFill="1" applyBorder="1" applyProtection="1">
      <protection hidden="1"/>
    </xf>
    <xf numFmtId="179" fontId="6" fillId="15" borderId="0" xfId="13" applyNumberFormat="1" applyFont="1" applyFill="1" applyBorder="1" applyProtection="1">
      <protection hidden="1"/>
    </xf>
    <xf numFmtId="0" fontId="1" fillId="14" borderId="0" xfId="13" applyFill="1" applyBorder="1" applyProtection="1">
      <protection hidden="1"/>
    </xf>
    <xf numFmtId="0" fontId="6" fillId="15" borderId="0" xfId="13" applyFont="1" applyFill="1" applyBorder="1" applyProtection="1">
      <protection hidden="1"/>
    </xf>
    <xf numFmtId="167" fontId="5" fillId="15" borderId="0" xfId="13" applyNumberFormat="1" applyFont="1" applyFill="1" applyBorder="1" applyProtection="1">
      <protection hidden="1"/>
    </xf>
    <xf numFmtId="3" fontId="1" fillId="14" borderId="8" xfId="0" applyNumberFormat="1" applyFont="1" applyFill="1" applyBorder="1" applyProtection="1">
      <protection hidden="1"/>
    </xf>
    <xf numFmtId="3" fontId="3" fillId="14" borderId="0" xfId="9" applyNumberFormat="1" applyFill="1" applyAlignment="1" applyProtection="1">
      <protection hidden="1"/>
    </xf>
    <xf numFmtId="0" fontId="0" fillId="14" borderId="0" xfId="0" applyFill="1" applyProtection="1">
      <protection hidden="1"/>
    </xf>
    <xf numFmtId="166" fontId="1" fillId="14" borderId="0" xfId="0" applyNumberFormat="1" applyFont="1" applyFill="1" applyProtection="1">
      <protection hidden="1"/>
    </xf>
    <xf numFmtId="4" fontId="1" fillId="14" borderId="0" xfId="0" applyNumberFormat="1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6" fontId="2" fillId="2" borderId="0" xfId="0" applyNumberFormat="1" applyFont="1" applyFill="1" applyBorder="1" applyAlignment="1" applyProtection="1">
      <protection hidden="1"/>
    </xf>
    <xf numFmtId="164" fontId="0" fillId="2" borderId="0" xfId="0" applyNumberFormat="1" applyFill="1" applyBorder="1" applyAlignment="1" applyProtection="1">
      <protection hidden="1"/>
    </xf>
    <xf numFmtId="0" fontId="1" fillId="3" borderId="2" xfId="13" applyNumberFormat="1" applyFill="1" applyBorder="1" applyAlignment="1" applyProtection="1">
      <protection hidden="1"/>
    </xf>
    <xf numFmtId="165" fontId="1" fillId="3" borderId="2" xfId="13" applyNumberFormat="1" applyFill="1" applyBorder="1" applyAlignment="1" applyProtection="1">
      <protection hidden="1"/>
    </xf>
    <xf numFmtId="165" fontId="0" fillId="2" borderId="0" xfId="0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166" fontId="2" fillId="4" borderId="0" xfId="0" applyNumberFormat="1" applyFont="1" applyFill="1" applyBorder="1" applyAlignment="1" applyProtection="1">
      <protection hidden="1"/>
    </xf>
    <xf numFmtId="165" fontId="0" fillId="4" borderId="0" xfId="0" applyNumberFormat="1" applyFill="1" applyBorder="1" applyAlignment="1" applyProtection="1">
      <protection hidden="1"/>
    </xf>
    <xf numFmtId="166" fontId="0" fillId="4" borderId="0" xfId="0" applyNumberFormat="1" applyFill="1" applyBorder="1" applyAlignment="1" applyProtection="1">
      <protection hidden="1"/>
    </xf>
    <xf numFmtId="164" fontId="2" fillId="4" borderId="0" xfId="0" applyNumberFormat="1" applyFont="1" applyFill="1" applyBorder="1" applyAlignment="1" applyProtection="1">
      <alignment horizontal="left"/>
      <protection hidden="1"/>
    </xf>
    <xf numFmtId="0" fontId="1" fillId="4" borderId="0" xfId="13" applyFill="1" applyProtection="1">
      <protection hidden="1"/>
    </xf>
    <xf numFmtId="164" fontId="0" fillId="4" borderId="0" xfId="0" applyNumberFormat="1" applyFill="1" applyBorder="1" applyAlignment="1" applyProtection="1">
      <alignment horizontal="left"/>
      <protection hidden="1"/>
    </xf>
    <xf numFmtId="0" fontId="15" fillId="3" borderId="0" xfId="0" applyFont="1" applyFill="1" applyBorder="1" applyAlignment="1" applyProtection="1">
      <alignment horizontal="left"/>
      <protection hidden="1"/>
    </xf>
    <xf numFmtId="164" fontId="2" fillId="2" borderId="0" xfId="0" applyNumberFormat="1" applyFont="1" applyFill="1" applyProtection="1">
      <protection hidden="1"/>
    </xf>
    <xf numFmtId="178" fontId="0" fillId="4" borderId="0" xfId="0" applyNumberFormat="1" applyFill="1" applyBorder="1" applyAlignment="1" applyProtection="1">
      <alignment horizontal="left"/>
      <protection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0" fontId="11" fillId="2" borderId="0" xfId="0" applyFont="1" applyFill="1" applyBorder="1" applyAlignment="1" applyProtection="1">
      <alignment horizontal="left"/>
      <protection hidden="1"/>
    </xf>
    <xf numFmtId="164" fontId="11" fillId="2" borderId="0" xfId="0" applyNumberFormat="1" applyFont="1" applyFill="1" applyBorder="1" applyAlignment="1" applyProtection="1">
      <alignment horizontal="left"/>
      <protection hidden="1"/>
    </xf>
    <xf numFmtId="165" fontId="11" fillId="2" borderId="0" xfId="0" applyNumberFormat="1" applyFont="1" applyFill="1" applyBorder="1" applyAlignment="1" applyProtection="1">
      <protection hidden="1"/>
    </xf>
    <xf numFmtId="166" fontId="11" fillId="2" borderId="0" xfId="0" applyNumberFormat="1" applyFont="1" applyFill="1" applyBorder="1" applyAlignment="1" applyProtection="1">
      <protection hidden="1"/>
    </xf>
    <xf numFmtId="0" fontId="11" fillId="2" borderId="0" xfId="0" applyFont="1" applyFill="1" applyProtection="1">
      <protection hidden="1"/>
    </xf>
    <xf numFmtId="166" fontId="11" fillId="2" borderId="0" xfId="0" applyNumberFormat="1" applyFont="1" applyFill="1" applyBorder="1" applyAlignment="1" applyProtection="1">
      <alignment horizontal="right"/>
      <protection hidden="1"/>
    </xf>
    <xf numFmtId="178" fontId="11" fillId="2" borderId="0" xfId="0" applyNumberFormat="1" applyFont="1" applyFill="1" applyBorder="1" applyAlignment="1" applyProtection="1">
      <alignment horizontal="right"/>
      <protection hidden="1"/>
    </xf>
    <xf numFmtId="164" fontId="11" fillId="4" borderId="0" xfId="0" applyNumberFormat="1" applyFont="1" applyFill="1" applyBorder="1" applyAlignment="1" applyProtection="1">
      <alignment horizontal="left"/>
      <protection hidden="1"/>
    </xf>
    <xf numFmtId="164" fontId="1" fillId="2" borderId="0" xfId="0" applyNumberFormat="1" applyFont="1" applyFill="1" applyBorder="1" applyAlignment="1" applyProtection="1">
      <protection hidden="1"/>
    </xf>
    <xf numFmtId="164" fontId="1" fillId="2" borderId="0" xfId="0" applyNumberFormat="1" applyFont="1" applyFill="1" applyProtection="1">
      <protection hidden="1"/>
    </xf>
    <xf numFmtId="164" fontId="1" fillId="12" borderId="0" xfId="0" applyNumberFormat="1" applyFont="1" applyFill="1" applyBorder="1" applyAlignment="1" applyProtection="1">
      <protection hidden="1"/>
    </xf>
    <xf numFmtId="178" fontId="11" fillId="12" borderId="0" xfId="0" applyNumberFormat="1" applyFont="1" applyFill="1" applyBorder="1" applyAlignment="1" applyProtection="1">
      <alignment horizontal="right"/>
      <protection hidden="1"/>
    </xf>
    <xf numFmtId="0" fontId="1" fillId="16" borderId="14" xfId="13" applyFont="1" applyFill="1" applyBorder="1" applyProtection="1">
      <protection hidden="1"/>
    </xf>
    <xf numFmtId="164" fontId="1" fillId="16" borderId="14" xfId="13" applyNumberFormat="1" applyFill="1" applyBorder="1" applyAlignment="1" applyProtection="1">
      <protection hidden="1"/>
    </xf>
    <xf numFmtId="164" fontId="1" fillId="17" borderId="0" xfId="0" applyNumberFormat="1" applyFont="1" applyFill="1" applyBorder="1" applyAlignment="1" applyProtection="1">
      <protection hidden="1"/>
    </xf>
    <xf numFmtId="164" fontId="1" fillId="12" borderId="0" xfId="0" applyNumberFormat="1" applyFont="1" applyFill="1" applyProtection="1">
      <protection hidden="1"/>
    </xf>
    <xf numFmtId="164" fontId="1" fillId="17" borderId="0" xfId="0" applyNumberFormat="1" applyFont="1" applyFill="1" applyProtection="1">
      <protection hidden="1"/>
    </xf>
    <xf numFmtId="164" fontId="1" fillId="18" borderId="0" xfId="0" applyNumberFormat="1" applyFont="1" applyFill="1" applyBorder="1" applyAlignment="1" applyProtection="1">
      <protection hidden="1"/>
    </xf>
    <xf numFmtId="164" fontId="1" fillId="18" borderId="0" xfId="0" applyNumberFormat="1" applyFont="1" applyFill="1" applyProtection="1">
      <protection hidden="1"/>
    </xf>
    <xf numFmtId="164" fontId="1" fillId="10" borderId="0" xfId="0" applyNumberFormat="1" applyFont="1" applyFill="1" applyProtection="1">
      <protection hidden="1"/>
    </xf>
    <xf numFmtId="164" fontId="1" fillId="19" borderId="0" xfId="0" applyNumberFormat="1" applyFont="1" applyFill="1" applyProtection="1">
      <protection hidden="1"/>
    </xf>
    <xf numFmtId="164" fontId="2" fillId="6" borderId="13" xfId="0" applyNumberFormat="1" applyFont="1" applyFill="1" applyBorder="1" applyProtection="1">
      <protection hidden="1"/>
    </xf>
    <xf numFmtId="164" fontId="11" fillId="12" borderId="0" xfId="0" applyNumberFormat="1" applyFont="1" applyFill="1" applyBorder="1" applyAlignment="1" applyProtection="1">
      <alignment horizontal="left"/>
      <protection locked="0" hidden="1"/>
    </xf>
    <xf numFmtId="164" fontId="11" fillId="17" borderId="0" xfId="0" applyNumberFormat="1" applyFont="1" applyFill="1" applyBorder="1" applyAlignment="1" applyProtection="1">
      <alignment horizontal="left"/>
      <protection locked="0" hidden="1"/>
    </xf>
    <xf numFmtId="0" fontId="11" fillId="12" borderId="0" xfId="0" applyFont="1" applyFill="1" applyBorder="1" applyAlignment="1" applyProtection="1">
      <alignment horizontal="center"/>
      <protection locked="0" hidden="1"/>
    </xf>
    <xf numFmtId="164" fontId="1" fillId="4" borderId="0" xfId="0" applyNumberFormat="1" applyFont="1" applyFill="1" applyBorder="1" applyAlignment="1" applyProtection="1"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PHAK.xlsx" TargetMode="External"/><Relationship Id="rId2" Type="http://schemas.openxmlformats.org/officeDocument/2006/relationships/hyperlink" Target="VBIFTVABREYNEPHAV.xlsx" TargetMode="External"/><Relationship Id="rId1" Type="http://schemas.openxmlformats.org/officeDocument/2006/relationships/hyperlink" Target="VBIFTVABREYNEP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P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7"/>
  <sheetViews>
    <sheetView tabSelected="1" zoomScaleNormal="100" workbookViewId="0">
      <selection activeCell="B3" sqref="B3"/>
    </sheetView>
  </sheetViews>
  <sheetFormatPr defaultRowHeight="12.75"/>
  <cols>
    <col min="1" max="1" width="46.28515625" style="2" customWidth="1"/>
    <col min="2" max="2" width="16.85546875" style="2" customWidth="1"/>
    <col min="3" max="3" width="17" style="2" customWidth="1"/>
    <col min="4" max="4" width="14.28515625" style="2" customWidth="1"/>
    <col min="5" max="5" width="16.7109375" style="2" customWidth="1"/>
    <col min="6" max="6" width="16.85546875" style="2" customWidth="1"/>
    <col min="7" max="7" width="15" style="2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51" t="s">
        <v>80</v>
      </c>
      <c r="B1" s="52"/>
      <c r="C1" s="52"/>
      <c r="D1" s="52"/>
      <c r="E1" s="106"/>
      <c r="F1" s="107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64"/>
      <c r="C3" s="3"/>
      <c r="D3" s="3"/>
      <c r="E3" s="4"/>
      <c r="F3" s="4"/>
      <c r="G3" s="5"/>
    </row>
    <row r="4" spans="1:7">
      <c r="A4" s="3" t="s">
        <v>13</v>
      </c>
      <c r="B4" s="65"/>
      <c r="C4" s="6"/>
      <c r="E4" s="7"/>
      <c r="F4" s="4"/>
    </row>
    <row r="5" spans="1:7">
      <c r="A5" s="3" t="s">
        <v>14</v>
      </c>
      <c r="B5" s="66">
        <v>0</v>
      </c>
      <c r="C5" s="6"/>
      <c r="E5" s="7"/>
      <c r="F5" s="4"/>
    </row>
    <row r="6" spans="1:7">
      <c r="A6" s="3" t="s">
        <v>15</v>
      </c>
      <c r="B6" s="66">
        <v>0</v>
      </c>
      <c r="C6" s="6"/>
      <c r="E6" s="7"/>
      <c r="F6" s="4"/>
    </row>
    <row r="7" spans="1:7">
      <c r="A7" s="3" t="s">
        <v>16</v>
      </c>
      <c r="B7" s="67" t="s">
        <v>47</v>
      </c>
      <c r="C7" s="6"/>
      <c r="E7" s="7"/>
      <c r="F7" s="4"/>
    </row>
    <row r="8" spans="1:7">
      <c r="A8" s="10" t="s">
        <v>17</v>
      </c>
      <c r="B8" s="68">
        <v>0</v>
      </c>
      <c r="C8" s="6"/>
      <c r="D8" s="4"/>
      <c r="E8" s="8"/>
      <c r="F8" s="4"/>
    </row>
    <row r="9" spans="1:7">
      <c r="A9" s="10" t="s">
        <v>18</v>
      </c>
      <c r="B9" s="69">
        <v>0</v>
      </c>
      <c r="C9" s="6"/>
      <c r="D9" s="4"/>
      <c r="E9" s="8"/>
      <c r="F9" s="4"/>
    </row>
    <row r="10" spans="1:7">
      <c r="A10" s="62" t="s">
        <v>19</v>
      </c>
      <c r="B10" s="70">
        <f>IF(B8&lt;B6,B6/2+B5+B9,B6+B5+B9)</f>
        <v>0</v>
      </c>
      <c r="C10" s="9"/>
      <c r="D10" s="4"/>
      <c r="E10" s="8"/>
      <c r="F10" s="4"/>
    </row>
    <row r="11" spans="1:7">
      <c r="A11" s="9" t="s">
        <v>20</v>
      </c>
      <c r="B11" s="68">
        <v>0</v>
      </c>
      <c r="C11" s="6"/>
      <c r="D11" s="4"/>
      <c r="E11" s="8"/>
      <c r="F11" s="4"/>
    </row>
    <row r="12" spans="1:7">
      <c r="A12" s="9" t="s">
        <v>21</v>
      </c>
      <c r="B12" s="71" t="s">
        <v>47</v>
      </c>
      <c r="C12" s="6"/>
      <c r="D12" s="4"/>
      <c r="E12" s="8"/>
      <c r="F12" s="4"/>
    </row>
    <row r="13" spans="1:7">
      <c r="A13" s="9" t="s">
        <v>22</v>
      </c>
      <c r="B13" s="72">
        <v>0</v>
      </c>
      <c r="C13" s="6"/>
      <c r="E13" s="7"/>
      <c r="F13" s="4"/>
    </row>
    <row r="14" spans="1:7">
      <c r="A14" s="9" t="s">
        <v>23</v>
      </c>
      <c r="B14" s="73" t="s">
        <v>47</v>
      </c>
      <c r="C14" s="6"/>
      <c r="D14" s="6"/>
      <c r="E14" s="10"/>
      <c r="F14" s="4"/>
      <c r="G14" s="8"/>
    </row>
    <row r="15" spans="1:7">
      <c r="A15" s="9" t="s">
        <v>24</v>
      </c>
      <c r="B15" s="73" t="s">
        <v>47</v>
      </c>
      <c r="C15" s="9"/>
      <c r="E15" s="7"/>
      <c r="F15" s="4"/>
      <c r="G15" s="4"/>
    </row>
    <row r="16" spans="1:7" ht="13.5" thickBot="1">
      <c r="A16" s="9"/>
      <c r="B16" s="3"/>
      <c r="C16" s="3"/>
      <c r="D16" s="3"/>
      <c r="E16" s="4"/>
      <c r="F16" s="4"/>
      <c r="G16" s="4"/>
    </row>
    <row r="17" spans="1:7" ht="14.25" thickTop="1" thickBot="1">
      <c r="A17" s="54" t="s">
        <v>25</v>
      </c>
      <c r="B17" s="11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55" t="s">
        <v>26</v>
      </c>
      <c r="B19" s="3"/>
      <c r="C19" s="3"/>
      <c r="E19" s="79">
        <f>F163</f>
        <v>0</v>
      </c>
      <c r="F19" s="7"/>
    </row>
    <row r="20" spans="1:7" ht="13.5" thickTop="1">
      <c r="A20" s="9" t="s">
        <v>27</v>
      </c>
      <c r="B20" s="6"/>
      <c r="C20" s="6"/>
      <c r="D20" s="74">
        <f>IF(B7="oui",50,B5*10/100)</f>
        <v>0</v>
      </c>
      <c r="E20" s="80"/>
      <c r="F20" s="10"/>
      <c r="G20" s="8"/>
    </row>
    <row r="21" spans="1:7">
      <c r="A21" s="9"/>
      <c r="B21" s="9" t="s">
        <v>28</v>
      </c>
      <c r="C21" s="6"/>
      <c r="D21" s="74">
        <f>IF(AND(B7="non",B12="oui"),-B5*5/100,0)</f>
        <v>0</v>
      </c>
      <c r="E21" s="80"/>
      <c r="F21" s="10"/>
      <c r="G21" s="8"/>
    </row>
    <row r="22" spans="1:7">
      <c r="A22" s="9"/>
      <c r="B22" s="9" t="s">
        <v>29</v>
      </c>
      <c r="C22" s="6"/>
      <c r="D22" s="74">
        <f>IF(B13&gt;(D20+D21),-(D20+D21),-B13)</f>
        <v>0</v>
      </c>
      <c r="E22" s="80"/>
      <c r="F22" s="10"/>
      <c r="G22" s="8"/>
    </row>
    <row r="23" spans="1:7">
      <c r="A23" s="9"/>
      <c r="B23" s="9" t="s">
        <v>3</v>
      </c>
      <c r="C23" s="6"/>
      <c r="D23" s="75">
        <f>IF(B14="non",0,E140)</f>
        <v>0</v>
      </c>
      <c r="E23" s="80"/>
      <c r="F23" s="10"/>
      <c r="G23" s="8"/>
    </row>
    <row r="24" spans="1:7">
      <c r="A24" s="9"/>
      <c r="B24" s="9" t="s">
        <v>30</v>
      </c>
      <c r="C24" s="6"/>
      <c r="D24" s="74">
        <f>H139</f>
        <v>0</v>
      </c>
      <c r="E24" s="80"/>
      <c r="F24" s="10"/>
      <c r="G24" s="8"/>
    </row>
    <row r="25" spans="1:7">
      <c r="A25" s="9" t="s">
        <v>31</v>
      </c>
      <c r="B25" s="9"/>
      <c r="C25" s="6"/>
      <c r="D25" s="74">
        <f>IF(B7="oui",(B5+B8)*21%,B8*21%)</f>
        <v>0</v>
      </c>
      <c r="E25" s="80"/>
      <c r="F25" s="10"/>
      <c r="G25" s="8"/>
    </row>
    <row r="26" spans="1:7">
      <c r="A26" s="9" t="s">
        <v>32</v>
      </c>
      <c r="B26" s="6"/>
      <c r="C26" s="6"/>
      <c r="D26" s="76">
        <v>0</v>
      </c>
      <c r="E26" s="80"/>
      <c r="F26" s="4"/>
      <c r="G26" s="4"/>
    </row>
    <row r="27" spans="1:7">
      <c r="A27" s="9" t="s">
        <v>33</v>
      </c>
      <c r="B27" s="53">
        <v>0</v>
      </c>
      <c r="C27" s="6"/>
      <c r="D27" s="74">
        <f>B27*30</f>
        <v>0</v>
      </c>
      <c r="E27" s="80"/>
      <c r="F27" s="4"/>
      <c r="G27" s="4"/>
    </row>
    <row r="28" spans="1:7">
      <c r="A28" s="9" t="s">
        <v>34</v>
      </c>
      <c r="B28" s="6"/>
      <c r="C28" s="6"/>
      <c r="D28" s="77">
        <v>770</v>
      </c>
      <c r="E28" s="80"/>
      <c r="F28" s="4"/>
      <c r="G28" s="4"/>
    </row>
    <row r="29" spans="1:7" ht="15.75" thickBot="1">
      <c r="A29" s="13" t="s">
        <v>35</v>
      </c>
      <c r="B29" s="14"/>
      <c r="C29" s="14"/>
      <c r="D29" s="78">
        <v>0</v>
      </c>
      <c r="E29" s="80"/>
      <c r="F29" s="4"/>
      <c r="G29" s="4"/>
    </row>
    <row r="30" spans="1:7" ht="14.25" thickTop="1" thickBot="1">
      <c r="A30" s="63" t="s">
        <v>36</v>
      </c>
      <c r="B30" s="6"/>
      <c r="C30" s="6"/>
      <c r="E30" s="81">
        <f>SUM(D20:D29)</f>
        <v>770</v>
      </c>
      <c r="F30" s="4"/>
      <c r="G30" s="4"/>
    </row>
    <row r="31" spans="1:7" ht="14.25" thickTop="1" thickBot="1">
      <c r="B31" s="6"/>
      <c r="C31" s="6"/>
      <c r="D31" s="56" t="s">
        <v>31</v>
      </c>
      <c r="E31" s="82">
        <f>(E19+D28)*21%</f>
        <v>161.69999999999999</v>
      </c>
      <c r="F31" s="4"/>
      <c r="G31" s="4"/>
    </row>
    <row r="32" spans="1:7" ht="14.25" thickTop="1" thickBot="1">
      <c r="A32" s="15"/>
      <c r="B32" s="6"/>
      <c r="C32" s="6"/>
      <c r="D32" s="16"/>
      <c r="E32" s="83"/>
      <c r="F32" s="4"/>
      <c r="G32" s="4"/>
    </row>
    <row r="33" spans="1:7" ht="14.25" thickTop="1" thickBot="1">
      <c r="A33" s="57" t="s">
        <v>37</v>
      </c>
      <c r="B33" s="18"/>
      <c r="C33" s="6"/>
      <c r="D33" s="19"/>
      <c r="E33" s="84">
        <f>SUM(E19:E31)</f>
        <v>931.7</v>
      </c>
      <c r="F33" s="4"/>
      <c r="G33" s="4"/>
    </row>
    <row r="34" spans="1:7" ht="14.25" thickTop="1" thickBot="1">
      <c r="A34" s="9"/>
      <c r="B34" s="6"/>
      <c r="C34" s="6"/>
      <c r="D34" s="19"/>
      <c r="E34" s="85"/>
      <c r="F34" s="4"/>
      <c r="G34" s="4"/>
    </row>
    <row r="35" spans="1:7" ht="14.25" thickTop="1" thickBot="1">
      <c r="A35" s="58" t="s">
        <v>38</v>
      </c>
      <c r="B35" s="18"/>
      <c r="C35" s="6"/>
      <c r="D35" s="12"/>
      <c r="E35" s="80"/>
      <c r="F35" s="4"/>
      <c r="G35" s="4"/>
    </row>
    <row r="36" spans="1:7" ht="13.5" thickTop="1">
      <c r="A36" s="9"/>
      <c r="B36" s="6"/>
      <c r="C36" s="6"/>
      <c r="D36" s="12"/>
      <c r="E36" s="80"/>
      <c r="F36" s="4"/>
      <c r="G36" s="4"/>
    </row>
    <row r="37" spans="1:7">
      <c r="A37" s="9" t="s">
        <v>39</v>
      </c>
      <c r="B37" s="6"/>
      <c r="C37" s="6"/>
      <c r="D37" s="76">
        <v>0</v>
      </c>
      <c r="E37" s="80"/>
      <c r="F37" s="4"/>
      <c r="G37" s="4"/>
    </row>
    <row r="38" spans="1:7">
      <c r="A38" s="9" t="s">
        <v>41</v>
      </c>
      <c r="B38" s="6"/>
      <c r="C38" s="6"/>
      <c r="D38" s="76">
        <v>0</v>
      </c>
      <c r="E38" s="80"/>
      <c r="F38" s="4"/>
      <c r="G38" s="4"/>
    </row>
    <row r="39" spans="1:7">
      <c r="A39" s="9" t="s">
        <v>40</v>
      </c>
      <c r="B39" s="6"/>
      <c r="C39" s="6"/>
      <c r="D39" s="76">
        <v>0</v>
      </c>
      <c r="E39" s="80"/>
      <c r="F39" s="4"/>
      <c r="G39" s="4"/>
    </row>
    <row r="40" spans="1:7">
      <c r="A40" s="9" t="s">
        <v>42</v>
      </c>
      <c r="B40" s="53">
        <v>0</v>
      </c>
      <c r="C40" s="6"/>
      <c r="D40" s="74">
        <f>B40*50</f>
        <v>0</v>
      </c>
      <c r="E40" s="80"/>
      <c r="F40" s="4"/>
      <c r="G40" s="4"/>
    </row>
    <row r="41" spans="1:7" ht="13.5" thickBot="1">
      <c r="A41" s="9" t="s">
        <v>43</v>
      </c>
      <c r="B41" s="6"/>
      <c r="C41" s="6"/>
      <c r="D41" s="76">
        <v>0</v>
      </c>
      <c r="E41" s="80"/>
      <c r="F41" s="4"/>
      <c r="G41" s="4"/>
    </row>
    <row r="42" spans="1:7" ht="14.25" thickTop="1" thickBot="1">
      <c r="A42" s="59" t="s">
        <v>44</v>
      </c>
      <c r="B42" s="6"/>
      <c r="C42" s="6"/>
      <c r="E42" s="86">
        <f>SUM(D37:D41)</f>
        <v>0</v>
      </c>
      <c r="F42" s="4"/>
      <c r="G42" s="8"/>
    </row>
    <row r="43" spans="1:7" ht="14.25" thickTop="1" thickBot="1">
      <c r="A43" s="21"/>
      <c r="B43" s="6"/>
      <c r="C43" s="6"/>
      <c r="D43" s="134" t="s">
        <v>31</v>
      </c>
      <c r="E43" s="135">
        <f>(D37+D40+D41)*21%</f>
        <v>0</v>
      </c>
      <c r="F43" s="4"/>
      <c r="G43" s="8"/>
    </row>
    <row r="44" spans="1:7" ht="14.25" thickTop="1" thickBot="1">
      <c r="A44" s="22"/>
      <c r="B44" s="6"/>
      <c r="C44" s="6"/>
      <c r="D44" s="23"/>
      <c r="E44" s="80"/>
      <c r="F44" s="4"/>
      <c r="G44" s="8"/>
    </row>
    <row r="45" spans="1:7" ht="14.25" thickTop="1" thickBot="1">
      <c r="A45" s="60" t="s">
        <v>45</v>
      </c>
      <c r="B45" s="18"/>
      <c r="C45" s="6"/>
      <c r="D45" s="24"/>
      <c r="E45" s="87">
        <f>SUM(E42:E43)</f>
        <v>0</v>
      </c>
      <c r="F45" s="25"/>
      <c r="G45" s="8"/>
    </row>
    <row r="46" spans="1:7" ht="13.5" thickTop="1">
      <c r="A46" s="9"/>
      <c r="B46" s="6"/>
      <c r="C46" s="6"/>
      <c r="D46" s="6"/>
      <c r="E46" s="80"/>
      <c r="F46" s="4"/>
      <c r="G46" s="8"/>
    </row>
    <row r="47" spans="1:7" ht="18">
      <c r="A47" s="118" t="s">
        <v>76</v>
      </c>
      <c r="B47" s="14"/>
      <c r="C47" s="14"/>
      <c r="D47" s="14"/>
      <c r="E47" s="104"/>
      <c r="F47" s="108"/>
      <c r="G47" s="109"/>
    </row>
    <row r="48" spans="1:7" ht="15">
      <c r="A48" s="103"/>
      <c r="B48" s="14"/>
      <c r="C48" s="14"/>
      <c r="D48" s="14"/>
      <c r="E48" s="104"/>
      <c r="F48" s="108"/>
      <c r="G48" s="109"/>
    </row>
    <row r="49" spans="1:7">
      <c r="A49" s="13" t="s">
        <v>56</v>
      </c>
      <c r="B49" s="122" t="s">
        <v>57</v>
      </c>
      <c r="C49" s="144">
        <v>0</v>
      </c>
      <c r="D49" s="104"/>
      <c r="E49" s="124"/>
      <c r="F49" s="125"/>
      <c r="G49" s="126"/>
    </row>
    <row r="50" spans="1:7">
      <c r="A50" s="13"/>
      <c r="B50" s="122" t="s">
        <v>58</v>
      </c>
      <c r="C50" s="144">
        <v>0</v>
      </c>
      <c r="D50" s="104"/>
      <c r="E50" s="124"/>
      <c r="F50" s="125"/>
      <c r="G50" s="126"/>
    </row>
    <row r="51" spans="1:7">
      <c r="A51" s="13"/>
      <c r="B51" s="122" t="s">
        <v>59</v>
      </c>
      <c r="C51" s="129">
        <f>SUM(C49:C50)</f>
        <v>0</v>
      </c>
      <c r="D51" s="104"/>
      <c r="E51" s="124"/>
      <c r="F51" s="125"/>
      <c r="G51" s="126"/>
    </row>
    <row r="52" spans="1:7">
      <c r="A52" s="13"/>
      <c r="B52" s="122"/>
      <c r="C52" s="123"/>
      <c r="D52" s="104"/>
      <c r="E52" s="124"/>
      <c r="F52" s="125"/>
      <c r="G52" s="126"/>
    </row>
    <row r="53" spans="1:7">
      <c r="A53" s="13" t="s">
        <v>60</v>
      </c>
      <c r="B53" s="122"/>
      <c r="C53" s="145">
        <v>0</v>
      </c>
      <c r="D53" s="104"/>
      <c r="E53" s="124"/>
      <c r="F53" s="125"/>
      <c r="G53" s="126"/>
    </row>
    <row r="54" spans="1:7">
      <c r="A54" s="13"/>
      <c r="B54" s="122"/>
      <c r="C54" s="122"/>
      <c r="D54" s="104"/>
      <c r="E54" s="124"/>
      <c r="F54" s="125"/>
      <c r="G54" s="126"/>
    </row>
    <row r="55" spans="1:7">
      <c r="A55" s="13" t="s">
        <v>77</v>
      </c>
      <c r="B55" s="146" t="s">
        <v>47</v>
      </c>
      <c r="C55" s="122"/>
      <c r="D55" s="104"/>
      <c r="E55" s="124"/>
      <c r="F55" s="125"/>
      <c r="G55" s="126"/>
    </row>
    <row r="56" spans="1:7">
      <c r="A56" s="13" t="s">
        <v>78</v>
      </c>
      <c r="B56" s="121">
        <v>1</v>
      </c>
      <c r="C56" s="122"/>
      <c r="D56" s="104"/>
      <c r="E56" s="124"/>
      <c r="F56" s="125"/>
      <c r="G56" s="126"/>
    </row>
    <row r="57" spans="1:7">
      <c r="A57" s="13" t="s">
        <v>61</v>
      </c>
      <c r="B57" s="122"/>
      <c r="C57" s="122"/>
      <c r="D57" s="104"/>
      <c r="E57" s="124"/>
      <c r="F57" s="125"/>
      <c r="G57" s="126"/>
    </row>
    <row r="58" spans="1:7">
      <c r="A58" s="13"/>
      <c r="B58" s="122"/>
      <c r="C58" s="122"/>
      <c r="D58" s="104"/>
      <c r="E58" s="124"/>
      <c r="F58" s="127" t="s">
        <v>26</v>
      </c>
      <c r="G58" s="137">
        <f>IF(B55="oui",E247/2+4.239,E247)</f>
        <v>0</v>
      </c>
    </row>
    <row r="59" spans="1:7">
      <c r="A59" s="13" t="s">
        <v>62</v>
      </c>
      <c r="B59" s="122"/>
      <c r="C59" s="122"/>
      <c r="D59" s="132">
        <f>C51/100</f>
        <v>0</v>
      </c>
      <c r="E59" s="124"/>
      <c r="F59" s="127" t="s">
        <v>63</v>
      </c>
      <c r="G59" s="138">
        <f>G58*21/100</f>
        <v>0</v>
      </c>
    </row>
    <row r="60" spans="1:7">
      <c r="A60" s="13" t="s">
        <v>64</v>
      </c>
      <c r="B60" s="122"/>
      <c r="C60" s="122"/>
      <c r="D60" s="147">
        <v>0</v>
      </c>
      <c r="E60" s="124"/>
      <c r="F60" s="127"/>
      <c r="G60" s="131"/>
    </row>
    <row r="61" spans="1:7">
      <c r="A61" s="13"/>
      <c r="B61" s="122"/>
      <c r="C61" s="122"/>
      <c r="D61" s="130"/>
      <c r="E61" s="124"/>
      <c r="F61" s="127"/>
      <c r="G61" s="131"/>
    </row>
    <row r="62" spans="1:7">
      <c r="A62" s="13" t="s">
        <v>65</v>
      </c>
      <c r="B62" s="122"/>
      <c r="C62" s="133">
        <f>C51*0.3%</f>
        <v>0</v>
      </c>
      <c r="D62" s="130"/>
      <c r="E62" s="124"/>
      <c r="F62" s="127"/>
      <c r="G62" s="131"/>
    </row>
    <row r="63" spans="1:7">
      <c r="A63" s="13" t="s">
        <v>66</v>
      </c>
      <c r="B63" s="122"/>
      <c r="C63" s="133">
        <f>A110*B56</f>
        <v>87.31</v>
      </c>
      <c r="D63" s="130"/>
      <c r="E63" s="124"/>
      <c r="F63" s="127"/>
      <c r="G63" s="131"/>
    </row>
    <row r="64" spans="1:7">
      <c r="A64" s="13" t="s">
        <v>67</v>
      </c>
      <c r="B64" s="122"/>
      <c r="C64" s="128"/>
      <c r="D64" s="132">
        <f>IF((D205-C62-C63)&lt;22,D205+50,D205)</f>
        <v>150</v>
      </c>
      <c r="E64" s="124"/>
      <c r="F64" s="127"/>
      <c r="G64" s="131"/>
    </row>
    <row r="65" spans="1:7">
      <c r="A65" s="13"/>
      <c r="B65" s="122"/>
      <c r="C65" s="128"/>
      <c r="D65" s="132"/>
      <c r="E65" s="124"/>
      <c r="F65" s="127"/>
      <c r="G65" s="131"/>
    </row>
    <row r="66" spans="1:7">
      <c r="A66" s="13" t="s">
        <v>68</v>
      </c>
      <c r="B66" s="122"/>
      <c r="C66" s="128"/>
      <c r="D66" s="132">
        <v>50</v>
      </c>
      <c r="E66" s="124"/>
      <c r="F66" s="127"/>
      <c r="G66" s="131"/>
    </row>
    <row r="67" spans="1:7">
      <c r="A67" s="13"/>
      <c r="B67" s="122"/>
      <c r="C67" s="128" t="s">
        <v>63</v>
      </c>
      <c r="D67" s="136">
        <f>D66*21%</f>
        <v>10.5</v>
      </c>
      <c r="E67" s="124"/>
      <c r="F67" s="127"/>
      <c r="G67" s="131"/>
    </row>
    <row r="68" spans="1:7">
      <c r="A68" s="13"/>
      <c r="B68" s="122"/>
      <c r="C68" s="128"/>
      <c r="D68" s="130"/>
      <c r="E68" s="124"/>
      <c r="F68" s="127"/>
      <c r="G68" s="131"/>
    </row>
    <row r="69" spans="1:7">
      <c r="A69" s="13" t="s">
        <v>34</v>
      </c>
      <c r="B69" s="122"/>
      <c r="C69" s="128"/>
      <c r="D69" s="147">
        <v>660</v>
      </c>
      <c r="E69" s="124"/>
      <c r="F69" s="127"/>
      <c r="G69" s="131"/>
    </row>
    <row r="70" spans="1:7">
      <c r="A70" s="13"/>
      <c r="B70" s="122"/>
      <c r="C70" s="128" t="s">
        <v>63</v>
      </c>
      <c r="D70" s="136">
        <f>D69*21%</f>
        <v>138.6</v>
      </c>
      <c r="E70" s="124"/>
      <c r="F70" s="127"/>
      <c r="G70" s="131"/>
    </row>
    <row r="71" spans="1:7">
      <c r="A71" s="13"/>
      <c r="B71" s="122"/>
      <c r="C71" s="128"/>
      <c r="D71" s="130"/>
      <c r="E71" s="124"/>
      <c r="F71" s="127"/>
      <c r="G71" s="131"/>
    </row>
    <row r="72" spans="1:7">
      <c r="A72" s="13" t="s">
        <v>39</v>
      </c>
      <c r="B72" s="122"/>
      <c r="C72" s="128"/>
      <c r="D72" s="147">
        <v>0</v>
      </c>
      <c r="E72" s="124"/>
      <c r="F72" s="127"/>
      <c r="G72" s="131"/>
    </row>
    <row r="73" spans="1:7">
      <c r="A73" s="103"/>
      <c r="B73" s="122"/>
      <c r="C73" s="128" t="s">
        <v>63</v>
      </c>
      <c r="D73" s="136">
        <f>D72*21%</f>
        <v>0</v>
      </c>
      <c r="E73" s="124"/>
      <c r="F73" s="127"/>
      <c r="G73" s="131"/>
    </row>
    <row r="74" spans="1:7">
      <c r="A74" s="103"/>
      <c r="B74" s="122"/>
      <c r="C74" s="128"/>
      <c r="D74" s="130"/>
      <c r="E74" s="124"/>
      <c r="F74" s="127"/>
      <c r="G74" s="131"/>
    </row>
    <row r="75" spans="1:7">
      <c r="A75" s="103"/>
      <c r="B75" s="122"/>
      <c r="C75" s="128" t="s">
        <v>69</v>
      </c>
      <c r="D75" s="139">
        <f>A232</f>
        <v>860</v>
      </c>
      <c r="E75" s="124"/>
      <c r="F75" s="127" t="s">
        <v>70</v>
      </c>
      <c r="G75" s="140">
        <f>G58</f>
        <v>0</v>
      </c>
    </row>
    <row r="76" spans="1:7">
      <c r="A76" s="103"/>
      <c r="B76" s="122"/>
      <c r="C76" s="122"/>
      <c r="D76" s="104"/>
      <c r="E76" s="124"/>
      <c r="F76" s="127" t="s">
        <v>69</v>
      </c>
      <c r="G76" s="140">
        <f>D75</f>
        <v>860</v>
      </c>
    </row>
    <row r="77" spans="1:7">
      <c r="A77" s="103"/>
      <c r="B77" s="122"/>
      <c r="C77" s="122"/>
      <c r="D77" s="104"/>
      <c r="E77" s="124"/>
      <c r="F77" s="127" t="s">
        <v>71</v>
      </c>
      <c r="G77" s="141">
        <f>SUM(G75+D75)</f>
        <v>860</v>
      </c>
    </row>
    <row r="78" spans="1:7">
      <c r="A78" s="103"/>
      <c r="B78" s="122"/>
      <c r="C78" s="122"/>
      <c r="D78" s="104"/>
      <c r="E78" s="124"/>
      <c r="F78" s="127"/>
      <c r="G78" s="131"/>
    </row>
    <row r="79" spans="1:7">
      <c r="A79" s="103"/>
      <c r="B79" s="122"/>
      <c r="C79" s="122"/>
      <c r="D79" s="104"/>
      <c r="E79" s="124"/>
      <c r="F79" s="127" t="s">
        <v>31</v>
      </c>
      <c r="G79" s="142">
        <f>SUM(D67,D70,D73,G59)</f>
        <v>149.1</v>
      </c>
    </row>
    <row r="80" spans="1:7" ht="13.5" thickBot="1">
      <c r="A80" s="103"/>
      <c r="B80" s="122"/>
      <c r="C80" s="122"/>
      <c r="D80" s="104"/>
      <c r="E80" s="124"/>
      <c r="F80" s="127"/>
      <c r="G80" s="119"/>
    </row>
    <row r="81" spans="1:23" ht="14.25" thickTop="1" thickBot="1">
      <c r="A81" s="103"/>
      <c r="B81" s="122"/>
      <c r="C81" s="122"/>
      <c r="D81" s="104"/>
      <c r="E81" s="124"/>
      <c r="F81" s="127" t="s">
        <v>70</v>
      </c>
      <c r="G81" s="143">
        <f>SUM(G77:G79)</f>
        <v>1009.1</v>
      </c>
    </row>
    <row r="82" spans="1:23" ht="15.75" thickTop="1">
      <c r="A82" s="103"/>
      <c r="B82" s="14"/>
      <c r="C82" s="14"/>
      <c r="D82" s="104"/>
      <c r="E82" s="15"/>
      <c r="F82" s="105"/>
      <c r="G82" s="7"/>
    </row>
    <row r="83" spans="1:23">
      <c r="A83" s="7"/>
      <c r="B83" s="27" t="s">
        <v>6</v>
      </c>
      <c r="D83" s="61" t="s">
        <v>7</v>
      </c>
      <c r="E83" s="7"/>
    </row>
    <row r="84" spans="1:23">
      <c r="A84" s="7"/>
      <c r="B84" s="7"/>
      <c r="C84" s="7"/>
      <c r="E84" s="7"/>
      <c r="F84" s="20"/>
      <c r="G84" s="7"/>
    </row>
    <row r="85" spans="1:23">
      <c r="A85" s="7"/>
      <c r="B85" s="26" t="s">
        <v>4</v>
      </c>
      <c r="D85" s="26" t="s">
        <v>5</v>
      </c>
      <c r="E85" s="7"/>
      <c r="F85" s="19"/>
      <c r="G85" s="17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</row>
    <row r="86" spans="1:23">
      <c r="A86" s="7"/>
      <c r="B86" s="29"/>
      <c r="C86" s="29"/>
      <c r="D86" s="29"/>
      <c r="E86" s="7"/>
      <c r="F86" s="30"/>
      <c r="G86" s="29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</row>
    <row r="87" spans="1:23" ht="14.25">
      <c r="B87" s="28"/>
      <c r="C87" s="26" t="s">
        <v>79</v>
      </c>
      <c r="D87" s="31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</row>
    <row r="88" spans="1:23" ht="14.25" hidden="1">
      <c r="B88" s="28"/>
      <c r="C88" s="26"/>
      <c r="D88" s="31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</row>
    <row r="89" spans="1:23" ht="15" hidden="1">
      <c r="A89" s="89"/>
      <c r="B89" s="99"/>
      <c r="C89" s="99"/>
      <c r="D89" s="100"/>
      <c r="E89" s="101"/>
      <c r="F89" s="89"/>
      <c r="G89" s="89"/>
      <c r="H89" s="89" t="e">
        <f>IF(#REF!=1,185,0)</f>
        <v>#REF!</v>
      </c>
      <c r="I89" s="89" t="e">
        <f>IF(#REF!=2,385,0)</f>
        <v>#REF!</v>
      </c>
      <c r="J89" s="89" t="e">
        <f>IF(#REF!&gt;2,(385+(#REF!-2)*200),0)</f>
        <v>#REF!</v>
      </c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</row>
    <row r="90" spans="1:23" ht="15" hidden="1">
      <c r="A90" s="89"/>
      <c r="B90" s="99"/>
      <c r="C90" s="99"/>
      <c r="D90" s="100"/>
      <c r="E90" s="101"/>
      <c r="F90" s="89"/>
      <c r="G90" s="89"/>
      <c r="H90" s="89"/>
      <c r="I90" s="89"/>
      <c r="J90" s="89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</row>
    <row r="91" spans="1:23" ht="15" hidden="1">
      <c r="A91" s="89"/>
      <c r="B91" s="99"/>
      <c r="C91" s="99"/>
      <c r="D91" s="100"/>
      <c r="E91" s="101"/>
      <c r="F91" s="89"/>
      <c r="G91" s="89"/>
      <c r="H91" s="89" t="e">
        <f>SUM(H89:J89)</f>
        <v>#REF!</v>
      </c>
      <c r="I91" s="89"/>
      <c r="J91" s="89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</row>
    <row r="92" spans="1:23" ht="15" hidden="1">
      <c r="A92" s="89"/>
      <c r="B92" s="99"/>
      <c r="C92" s="99"/>
      <c r="D92" s="100"/>
      <c r="E92" s="101"/>
      <c r="F92" s="89"/>
      <c r="G92" s="89"/>
      <c r="H92" s="89"/>
      <c r="I92" s="89"/>
      <c r="J92" s="89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</row>
    <row r="93" spans="1:23" ht="15" hidden="1">
      <c r="A93" s="89"/>
      <c r="B93" s="99"/>
      <c r="C93" s="99"/>
      <c r="D93" s="100"/>
      <c r="E93" s="101"/>
      <c r="F93" s="89"/>
      <c r="G93" s="89"/>
      <c r="H93" s="89"/>
      <c r="I93" s="89"/>
      <c r="J93" s="89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</row>
    <row r="94" spans="1:23" ht="15" hidden="1">
      <c r="A94" s="89"/>
      <c r="B94" s="99"/>
      <c r="C94" s="99"/>
      <c r="D94" s="100"/>
      <c r="E94" s="101"/>
      <c r="F94" s="89"/>
      <c r="G94" s="89"/>
      <c r="H94" s="89"/>
      <c r="I94" s="89"/>
      <c r="J94" s="89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</row>
    <row r="95" spans="1:23" hidden="1">
      <c r="A95" s="89" t="s">
        <v>55</v>
      </c>
      <c r="B95" s="89" t="e">
        <f>#REF!</f>
        <v>#REF!</v>
      </c>
      <c r="C95" s="89"/>
      <c r="D95" s="89"/>
      <c r="F95" s="89"/>
      <c r="G95" s="89"/>
      <c r="H95" s="89"/>
      <c r="I95" s="89"/>
      <c r="J95" s="89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</row>
    <row r="96" spans="1:23" hidden="1">
      <c r="A96" s="89" t="s">
        <v>10</v>
      </c>
      <c r="B96" s="89" t="s">
        <v>10</v>
      </c>
      <c r="C96" s="89" t="s">
        <v>72</v>
      </c>
      <c r="D96" s="89" t="s">
        <v>73</v>
      </c>
      <c r="F96" s="89"/>
      <c r="G96" s="89"/>
      <c r="H96" s="89"/>
      <c r="I96" s="89"/>
      <c r="J96" s="89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</row>
    <row r="97" spans="1:23" hidden="1">
      <c r="A97" s="89">
        <v>0</v>
      </c>
      <c r="B97" s="89">
        <v>7500</v>
      </c>
      <c r="C97" s="89">
        <v>1.4250000000000001E-2</v>
      </c>
      <c r="D97" s="102" t="e">
        <f>IF(#REF!&lt;B97,#REF!*C97,B97*C97)</f>
        <v>#REF!</v>
      </c>
      <c r="F97" s="89"/>
      <c r="G97" s="89"/>
      <c r="H97" s="89"/>
      <c r="I97" s="89"/>
      <c r="J97" s="89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</row>
    <row r="98" spans="1:23" hidden="1">
      <c r="A98" s="89">
        <v>7500</v>
      </c>
      <c r="B98" s="89">
        <v>17500</v>
      </c>
      <c r="C98" s="89">
        <v>1.14E-2</v>
      </c>
      <c r="D98" s="102" t="e">
        <f>IF(#REF!&lt;=A98," ",IF(#REF!&lt;B98,(#REF!-B97)*C98,(B98-A98)*C98))</f>
        <v>#REF!</v>
      </c>
      <c r="F98" s="89"/>
      <c r="G98" s="89"/>
      <c r="H98" s="89"/>
      <c r="I98" s="89"/>
      <c r="J98" s="89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</row>
    <row r="99" spans="1:23" hidden="1">
      <c r="A99" s="89">
        <v>17500</v>
      </c>
      <c r="B99" s="89">
        <v>30000</v>
      </c>
      <c r="C99" s="89">
        <v>6.8399999999999997E-3</v>
      </c>
      <c r="D99" s="102" t="e">
        <f>IF(#REF!&lt;=A99," ",IF(#REF!&lt;B99,(#REF!-B98)*C99,(B99-A99)*C99))</f>
        <v>#REF!</v>
      </c>
      <c r="F99" s="89"/>
      <c r="G99" s="89"/>
      <c r="H99" s="89"/>
      <c r="I99" s="89"/>
      <c r="J99" s="89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</row>
    <row r="100" spans="1:23" hidden="1">
      <c r="A100" s="89">
        <v>30000</v>
      </c>
      <c r="B100" s="89">
        <v>45495</v>
      </c>
      <c r="C100" s="89">
        <v>5.7000000000000002E-3</v>
      </c>
      <c r="D100" s="102" t="e">
        <f>IF(#REF!&lt;=A100," ",IF(#REF!&lt;B100,(#REF!-B99)*C100,(B100-A100)*C100))</f>
        <v>#REF!</v>
      </c>
      <c r="F100" s="89"/>
      <c r="G100" s="89"/>
      <c r="H100" s="89"/>
      <c r="I100" s="89"/>
      <c r="J100" s="89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</row>
    <row r="101" spans="1:23" hidden="1">
      <c r="A101" s="89">
        <v>45495</v>
      </c>
      <c r="B101" s="89">
        <v>64095</v>
      </c>
      <c r="C101" s="89">
        <v>4.5599999999999998E-3</v>
      </c>
      <c r="D101" s="102" t="e">
        <f>IF(#REF!&lt;=A101," ",IF(#REF!&lt;B101,(#REF!-B100)*C101,(B101-A101)*C101))</f>
        <v>#REF!</v>
      </c>
      <c r="F101" s="89"/>
      <c r="G101" s="89"/>
      <c r="H101" s="89"/>
      <c r="I101" s="89"/>
      <c r="J101" s="89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</row>
    <row r="102" spans="1:23" hidden="1">
      <c r="A102" s="89">
        <v>64095</v>
      </c>
      <c r="B102" s="89">
        <v>250095</v>
      </c>
      <c r="C102" s="89">
        <v>2.2799999999999999E-3</v>
      </c>
      <c r="D102" s="102" t="e">
        <f>IF(#REF!&lt;=A102," ",IF(#REF!&lt;B102,(#REF!-B101)*C102,(B102-A102)*C102))</f>
        <v>#REF!</v>
      </c>
      <c r="F102" s="89"/>
      <c r="G102" s="89"/>
      <c r="H102" s="89"/>
      <c r="I102" s="89"/>
      <c r="J102" s="89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</row>
    <row r="103" spans="1:23" hidden="1">
      <c r="A103" s="89">
        <v>250095</v>
      </c>
      <c r="B103" s="89">
        <v>99999999999</v>
      </c>
      <c r="C103" s="89">
        <v>4.5600000000000003E-4</v>
      </c>
      <c r="D103" s="102" t="e">
        <f>IF(#REF!&lt;=A103," ",IF(#REF!&lt;B103,(#REF!-B102)*C103,(B103-A103)*C103))</f>
        <v>#REF!</v>
      </c>
      <c r="F103" s="89"/>
      <c r="G103" s="89"/>
      <c r="H103" s="89"/>
      <c r="I103" s="89"/>
      <c r="J103" s="89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</row>
    <row r="104" spans="1:23" hidden="1">
      <c r="A104" s="89"/>
      <c r="B104" s="89"/>
      <c r="C104" s="89"/>
      <c r="D104" s="89"/>
      <c r="E104" s="89"/>
      <c r="F104" s="89"/>
      <c r="G104" s="89"/>
      <c r="H104" s="89"/>
      <c r="I104" s="89"/>
      <c r="J104" s="89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</row>
    <row r="105" spans="1:23" hidden="1">
      <c r="A105" s="89" t="s">
        <v>12</v>
      </c>
      <c r="B105" s="89"/>
      <c r="C105" s="89"/>
      <c r="D105" s="89"/>
      <c r="E105" s="89"/>
      <c r="F105" s="89"/>
      <c r="G105" s="89"/>
      <c r="H105" s="89" t="s">
        <v>74</v>
      </c>
      <c r="I105" s="102" t="e">
        <f>SUM(D97:D104)</f>
        <v>#REF!</v>
      </c>
      <c r="J105" s="89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</row>
    <row r="106" spans="1:23" hidden="1">
      <c r="A106" s="89"/>
      <c r="B106" s="89"/>
      <c r="C106" s="89"/>
      <c r="D106" s="89"/>
      <c r="E106" s="89"/>
      <c r="F106" s="89"/>
      <c r="G106" s="89"/>
      <c r="H106" s="89" t="s">
        <v>75</v>
      </c>
      <c r="I106" s="102" t="e">
        <f>I105/4</f>
        <v>#REF!</v>
      </c>
      <c r="J106" s="89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</row>
    <row r="107" spans="1:23" ht="14.25" hidden="1">
      <c r="B107" s="28"/>
      <c r="D107" s="31"/>
      <c r="E107" s="26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</row>
    <row r="108" spans="1:23" ht="14.25" hidden="1">
      <c r="B108" s="28"/>
      <c r="C108" s="31"/>
      <c r="D108" s="31"/>
      <c r="E108" s="31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</row>
    <row r="109" spans="1:23" ht="14.25" hidden="1">
      <c r="B109" s="28"/>
      <c r="C109" s="2">
        <f>IF(B7="oui",50,B5*10/100)</f>
        <v>0</v>
      </c>
      <c r="D109" s="31"/>
      <c r="E109" s="31">
        <f>IF(B13&gt;0,B13,0)</f>
        <v>0</v>
      </c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</row>
    <row r="110" spans="1:23" hidden="1">
      <c r="A110" s="2">
        <f>(A166+ROUNDDOWN((C49+C50-1)/C167,0)*A167)+20</f>
        <v>87.31</v>
      </c>
      <c r="B110" s="28"/>
      <c r="C110" s="28"/>
      <c r="D110" s="28"/>
      <c r="E110" s="28">
        <f>IF(B13&gt;E20,-E20,-B13)</f>
        <v>0</v>
      </c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</row>
    <row r="111" spans="1:23" hidden="1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</row>
    <row r="112" spans="1:23" hidden="1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</row>
    <row r="113" spans="2:23" hidden="1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</row>
    <row r="114" spans="2:23" hidden="1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</row>
    <row r="115" spans="2:23" hidden="1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</row>
    <row r="116" spans="2:23" hidden="1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</row>
    <row r="117" spans="2:23" hidden="1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</row>
    <row r="118" spans="2:23" hidden="1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</row>
    <row r="119" spans="2:23" hidden="1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</row>
    <row r="120" spans="2:23" hidden="1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</row>
    <row r="121" spans="2:23" hidden="1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</row>
    <row r="122" spans="2:23" hidden="1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</row>
    <row r="123" spans="2:23" hidden="1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</row>
    <row r="124" spans="2:23" hidden="1"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</row>
    <row r="125" spans="2:23" hidden="1"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</row>
    <row r="126" spans="2:23" hidden="1"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</row>
    <row r="127" spans="2:23" hidden="1"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</row>
    <row r="128" spans="2:23" hidden="1"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</row>
    <row r="129" spans="1:23" hidden="1"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</row>
    <row r="130" spans="1:23" hidden="1"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</row>
    <row r="131" spans="1:23" hidden="1"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</row>
    <row r="132" spans="1:23" hidden="1"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</row>
    <row r="133" spans="1:23" hidden="1"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</row>
    <row r="134" spans="1:23" hidden="1"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</row>
    <row r="135" spans="1:23" hidden="1">
      <c r="A135" s="32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</row>
    <row r="136" spans="1:23" hidden="1">
      <c r="B136" s="28"/>
      <c r="C136" s="28"/>
      <c r="D136" s="28"/>
      <c r="E136" s="28"/>
      <c r="F136" s="28"/>
      <c r="G136" s="28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28"/>
      <c r="V136" s="28"/>
      <c r="W136" s="28"/>
    </row>
    <row r="137" spans="1:23" hidden="1">
      <c r="A137" s="34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28"/>
      <c r="V137" s="28"/>
      <c r="W137" s="28"/>
    </row>
    <row r="138" spans="1:23" hidden="1">
      <c r="A138" s="34"/>
      <c r="B138" s="12">
        <f>IF(B14="oui",-1500,0)</f>
        <v>0</v>
      </c>
      <c r="C138" s="33">
        <f>IF(AND(B12="oui",B14="oui"),-750,0)</f>
        <v>0</v>
      </c>
      <c r="D138" s="33"/>
      <c r="E138" s="33"/>
      <c r="F138" s="33">
        <f>IF(AND(B14="oui",B15="oui"),-1000,0)</f>
        <v>0</v>
      </c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28"/>
      <c r="V138" s="28"/>
      <c r="W138" s="28"/>
    </row>
    <row r="139" spans="1:23" hidden="1">
      <c r="A139" s="34"/>
      <c r="B139" s="12">
        <f>IF(B14="oui",-750,0)</f>
        <v>0</v>
      </c>
      <c r="C139" s="33">
        <f>IF(AND(B12="non",B14="oui"),-1500,0)</f>
        <v>0</v>
      </c>
      <c r="D139" s="33"/>
      <c r="E139" s="33"/>
      <c r="F139" s="33">
        <f>-F138</f>
        <v>0</v>
      </c>
      <c r="G139" s="33">
        <f>IF(F139&gt;(D20+D21+D23-50),-(D20+D21+D23-50),F138)</f>
        <v>50</v>
      </c>
      <c r="H139" s="33">
        <f>IF(G139=50,0,G139)</f>
        <v>0</v>
      </c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28"/>
      <c r="V139" s="28"/>
      <c r="W139" s="28"/>
    </row>
    <row r="140" spans="1:23" hidden="1">
      <c r="A140" s="34"/>
      <c r="B140" s="33"/>
      <c r="C140" s="33">
        <f>SUM(C138:C139)</f>
        <v>0</v>
      </c>
      <c r="D140" s="33">
        <f>IF(C142&gt;(D20+D21-50),-(D20+D21-50),C140)</f>
        <v>50</v>
      </c>
      <c r="E140" s="33">
        <f>IF(D140=50,0,D140)</f>
        <v>0</v>
      </c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28"/>
      <c r="V140" s="28"/>
      <c r="W140" s="28"/>
    </row>
    <row r="141" spans="1:23" hidden="1">
      <c r="A141" s="34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28"/>
      <c r="V141" s="28"/>
      <c r="W141" s="28"/>
    </row>
    <row r="142" spans="1:23" ht="13.5" hidden="1" thickBot="1">
      <c r="A142" s="34"/>
      <c r="B142" s="33"/>
      <c r="C142" s="33">
        <f>-C140</f>
        <v>0</v>
      </c>
      <c r="D142" s="33"/>
      <c r="E142" s="33"/>
      <c r="F142" s="33"/>
      <c r="G142" s="33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</row>
    <row r="143" spans="1:23" ht="13.5" hidden="1" thickBot="1">
      <c r="A143" s="7"/>
      <c r="B143" s="35"/>
      <c r="C143" s="29"/>
      <c r="D143" s="29"/>
      <c r="E143" s="29"/>
      <c r="F143" s="29"/>
      <c r="G143" s="29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</row>
    <row r="144" spans="1:23" ht="13.5" hidden="1" thickBot="1">
      <c r="A144" s="7"/>
      <c r="B144" s="7"/>
      <c r="C144" s="7"/>
      <c r="D144" s="7"/>
      <c r="E144" s="36"/>
      <c r="F144" s="36"/>
      <c r="G144" s="36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spans="1:23" hidden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spans="1:23" hidden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spans="1:23" hidden="1">
      <c r="A147" s="7" t="s">
        <v>1</v>
      </c>
      <c r="B147" s="7"/>
      <c r="C147" s="7" t="s">
        <v>8</v>
      </c>
      <c r="D147" s="7" t="s">
        <v>9</v>
      </c>
      <c r="E147" s="7"/>
      <c r="F147" s="19" t="s">
        <v>46</v>
      </c>
      <c r="G147" s="19" t="s">
        <v>46</v>
      </c>
      <c r="H147" s="19" t="s">
        <v>46</v>
      </c>
      <c r="I147" s="19" t="s">
        <v>46</v>
      </c>
      <c r="J147" s="19" t="s">
        <v>46</v>
      </c>
      <c r="K147" s="19" t="s">
        <v>46</v>
      </c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spans="1:23" hidden="1">
      <c r="A148" s="7"/>
      <c r="B148" s="7"/>
      <c r="C148" s="7"/>
      <c r="D148" s="7">
        <v>525</v>
      </c>
      <c r="E148" s="7"/>
      <c r="F148" s="19" t="s">
        <v>47</v>
      </c>
      <c r="G148" s="19" t="s">
        <v>47</v>
      </c>
      <c r="H148" s="19" t="s">
        <v>47</v>
      </c>
      <c r="I148" s="19" t="s">
        <v>47</v>
      </c>
      <c r="J148" s="19" t="s">
        <v>47</v>
      </c>
      <c r="K148" s="19" t="s">
        <v>47</v>
      </c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spans="1:23" hidden="1">
      <c r="A149" s="7"/>
      <c r="B149" s="7"/>
      <c r="C149" s="7"/>
      <c r="D149" s="7">
        <v>100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spans="1:23" hidden="1">
      <c r="A150" s="7"/>
      <c r="B150" s="7"/>
      <c r="C150" s="7"/>
      <c r="D150" s="7">
        <v>675</v>
      </c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spans="1:23" hidden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spans="1:23" hidden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1:23" hidden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1:23" ht="14.25" hidden="1">
      <c r="A154" s="37" t="s">
        <v>10</v>
      </c>
      <c r="B154" s="37"/>
      <c r="C154" s="37" t="s">
        <v>10</v>
      </c>
      <c r="D154" s="38" t="s">
        <v>11</v>
      </c>
      <c r="E154" s="39"/>
      <c r="F154" s="37" t="s">
        <v>2</v>
      </c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1:23" ht="15" hidden="1">
      <c r="A155" s="40">
        <v>0</v>
      </c>
      <c r="B155" s="41"/>
      <c r="C155" s="40">
        <v>7500</v>
      </c>
      <c r="D155" s="42">
        <v>4.5600000000000002E-2</v>
      </c>
      <c r="E155" s="43"/>
      <c r="F155" s="40">
        <f>IF($B$10&lt;C155,$B$10*D155,C155*D155)</f>
        <v>0</v>
      </c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1:23" ht="15" hidden="1">
      <c r="A156" s="40">
        <v>7500</v>
      </c>
      <c r="B156" s="41"/>
      <c r="C156" s="40">
        <v>17500</v>
      </c>
      <c r="D156" s="42">
        <v>2.8500000000000001E-2</v>
      </c>
      <c r="E156" s="43"/>
      <c r="F156" s="41" t="str">
        <f t="shared" ref="F156:F161" si="0">IF($B$10&lt;=A156," ",IF($B$10&lt;C156,($B$10-C155)*D156,(C156-A156)*D156))</f>
        <v xml:space="preserve"> </v>
      </c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1:23" ht="15" hidden="1">
      <c r="A157" s="40">
        <v>17500</v>
      </c>
      <c r="B157" s="41"/>
      <c r="C157" s="40">
        <v>30000</v>
      </c>
      <c r="D157" s="42">
        <v>2.2800000000000001E-2</v>
      </c>
      <c r="E157" s="43"/>
      <c r="F157" s="41" t="str">
        <f t="shared" si="0"/>
        <v xml:space="preserve"> </v>
      </c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1:23" ht="15" hidden="1">
      <c r="A158" s="40">
        <v>30000</v>
      </c>
      <c r="B158" s="41"/>
      <c r="C158" s="40">
        <v>45495</v>
      </c>
      <c r="D158" s="42">
        <v>1.7100000000000001E-2</v>
      </c>
      <c r="E158" s="43"/>
      <c r="F158" s="41" t="str">
        <f t="shared" si="0"/>
        <v xml:space="preserve"> </v>
      </c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1:23" ht="15" hidden="1">
      <c r="A159" s="40">
        <v>45495</v>
      </c>
      <c r="B159" s="41"/>
      <c r="C159" s="40">
        <v>64095</v>
      </c>
      <c r="D159" s="42">
        <v>1.14E-2</v>
      </c>
      <c r="E159" s="43"/>
      <c r="F159" s="41" t="str">
        <f t="shared" si="0"/>
        <v xml:space="preserve"> </v>
      </c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1:23" ht="15" hidden="1">
      <c r="A160" s="40">
        <v>64095</v>
      </c>
      <c r="B160" s="41"/>
      <c r="C160" s="40">
        <v>250095</v>
      </c>
      <c r="D160" s="42">
        <v>5.7000000000000002E-3</v>
      </c>
      <c r="E160" s="43"/>
      <c r="F160" s="41" t="str">
        <f t="shared" si="0"/>
        <v xml:space="preserve"> </v>
      </c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1:23" ht="15" hidden="1">
      <c r="A161" s="40">
        <v>250095</v>
      </c>
      <c r="B161" s="41"/>
      <c r="C161" s="40">
        <f>$B$10</f>
        <v>0</v>
      </c>
      <c r="D161" s="42">
        <v>5.6999999999999998E-4</v>
      </c>
      <c r="E161" s="43"/>
      <c r="F161" s="41" t="str">
        <f t="shared" si="0"/>
        <v xml:space="preserve"> </v>
      </c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1:23" ht="15" hidden="1">
      <c r="A162" s="44"/>
      <c r="B162" s="45"/>
      <c r="C162" s="45"/>
      <c r="D162" s="46"/>
      <c r="E162" s="47"/>
      <c r="F162" s="4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1:23" ht="15" hidden="1">
      <c r="A163" s="37" t="s">
        <v>12</v>
      </c>
      <c r="B163" s="48"/>
      <c r="C163" s="45"/>
      <c r="D163" s="49"/>
      <c r="E163" s="47"/>
      <c r="F163" s="50">
        <f>SUM(F155:F162)</f>
        <v>0</v>
      </c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1:23" hidden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 hidden="1">
      <c r="A165" s="88" t="s">
        <v>48</v>
      </c>
      <c r="B165" s="88"/>
      <c r="C165" s="88"/>
      <c r="D165" s="88"/>
      <c r="E165" s="88"/>
      <c r="F165" s="88" t="s">
        <v>49</v>
      </c>
      <c r="G165" s="88"/>
      <c r="H165" s="88"/>
      <c r="I165" s="89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idden="1">
      <c r="A166" s="88">
        <v>67.31</v>
      </c>
      <c r="B166" s="88" t="s">
        <v>50</v>
      </c>
      <c r="C166" s="88">
        <v>25000</v>
      </c>
      <c r="D166" s="88"/>
      <c r="E166" s="88"/>
      <c r="F166" s="88"/>
      <c r="G166" s="88"/>
      <c r="H166" s="88"/>
      <c r="I166" s="89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 hidden="1">
      <c r="A167" s="88">
        <v>23.56</v>
      </c>
      <c r="B167" s="88" t="s">
        <v>51</v>
      </c>
      <c r="C167" s="88">
        <v>25000</v>
      </c>
      <c r="D167" s="88" t="s">
        <v>52</v>
      </c>
      <c r="E167" s="88"/>
      <c r="F167" s="88"/>
      <c r="G167" s="88"/>
      <c r="H167" s="88"/>
      <c r="I167" s="89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 hidden="1">
      <c r="A168" s="88"/>
      <c r="B168" s="88"/>
      <c r="C168" s="88"/>
      <c r="D168" s="88"/>
      <c r="E168" s="88"/>
      <c r="F168" s="88"/>
      <c r="G168" s="88"/>
      <c r="H168" s="88"/>
      <c r="I168" s="89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 hidden="1">
      <c r="A169" s="88"/>
      <c r="B169" s="88"/>
      <c r="C169" s="88"/>
      <c r="D169" s="88"/>
      <c r="E169" s="88"/>
      <c r="F169" s="88"/>
      <c r="G169" s="88"/>
      <c r="H169" s="88"/>
      <c r="I169" s="89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 hidden="1">
      <c r="A170" s="88"/>
      <c r="B170" s="88"/>
      <c r="C170" s="88"/>
      <c r="D170" s="88"/>
      <c r="E170" s="88"/>
      <c r="F170" s="88"/>
      <c r="G170" s="88">
        <v>720</v>
      </c>
      <c r="H170" s="88"/>
      <c r="I170" s="89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 hidden="1">
      <c r="A171" s="88" t="s">
        <v>53</v>
      </c>
      <c r="B171" s="88"/>
      <c r="C171" s="88" t="s">
        <v>10</v>
      </c>
      <c r="D171" s="88" t="s">
        <v>54</v>
      </c>
      <c r="E171" s="88"/>
      <c r="F171" s="88"/>
      <c r="G171" s="88"/>
      <c r="H171" s="88"/>
      <c r="I171" s="89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 hidden="1">
      <c r="A172" s="88"/>
      <c r="B172" s="88"/>
      <c r="C172" s="88">
        <v>0</v>
      </c>
      <c r="D172" s="88">
        <v>575</v>
      </c>
      <c r="E172" s="88"/>
      <c r="F172" s="88"/>
      <c r="G172" s="88"/>
      <c r="H172" s="88"/>
      <c r="I172" s="89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idden="1">
      <c r="A173" s="88"/>
      <c r="B173" s="88"/>
      <c r="C173" s="88"/>
      <c r="D173" s="88"/>
      <c r="E173" s="88"/>
      <c r="F173" s="88"/>
      <c r="G173" s="88"/>
      <c r="H173" s="88"/>
      <c r="I173" s="89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 hidden="1">
      <c r="A174" s="88"/>
      <c r="B174" s="88"/>
      <c r="C174" s="88"/>
      <c r="D174" s="88"/>
      <c r="E174" s="88"/>
      <c r="F174" s="90" t="s">
        <v>46</v>
      </c>
      <c r="G174" s="88"/>
      <c r="H174" s="88"/>
      <c r="I174" s="89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 hidden="1">
      <c r="A175" s="88"/>
      <c r="B175" s="88"/>
      <c r="C175" s="88"/>
      <c r="D175" s="88"/>
      <c r="E175" s="88"/>
      <c r="F175" s="90" t="s">
        <v>47</v>
      </c>
      <c r="G175" s="88"/>
      <c r="H175" s="88"/>
      <c r="I175" s="89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 hidden="1">
      <c r="A176" s="88">
        <v>920</v>
      </c>
      <c r="B176" s="88"/>
      <c r="C176" s="88"/>
      <c r="D176" s="88"/>
      <c r="E176" s="88"/>
      <c r="F176" s="88"/>
      <c r="G176" s="88"/>
      <c r="H176" s="88"/>
      <c r="I176" s="89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 hidden="1">
      <c r="A177" s="88"/>
      <c r="B177" s="88"/>
      <c r="C177" s="88"/>
      <c r="D177" s="88"/>
      <c r="E177" s="88"/>
      <c r="F177" s="88"/>
      <c r="G177" s="88"/>
      <c r="H177" s="88"/>
      <c r="I177" s="89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 hidden="1">
      <c r="A178" s="88"/>
      <c r="B178" s="88"/>
      <c r="C178" s="88"/>
      <c r="D178" s="88"/>
      <c r="E178" s="88"/>
      <c r="F178" s="88"/>
      <c r="G178" s="88"/>
      <c r="H178" s="88"/>
      <c r="I178" s="89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 hidden="1">
      <c r="A179" s="88"/>
      <c r="B179" s="88"/>
      <c r="C179" s="88"/>
      <c r="D179" s="88"/>
      <c r="E179" s="88"/>
      <c r="F179" s="88"/>
      <c r="G179" s="88"/>
      <c r="H179" s="88"/>
      <c r="I179" s="89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 hidden="1">
      <c r="A180" s="88"/>
      <c r="B180" s="88"/>
      <c r="C180" s="88"/>
      <c r="D180" s="88"/>
      <c r="E180" s="88"/>
      <c r="F180" s="88"/>
      <c r="G180" s="88"/>
      <c r="H180" s="88"/>
      <c r="I180" s="89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 hidden="1">
      <c r="A181" s="88"/>
      <c r="B181" s="88"/>
      <c r="C181" s="88"/>
      <c r="D181" s="88"/>
      <c r="E181" s="88"/>
      <c r="F181" s="88"/>
      <c r="G181" s="88"/>
      <c r="H181" s="88"/>
      <c r="I181" s="89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 hidden="1">
      <c r="A182" s="88"/>
      <c r="B182" s="88"/>
      <c r="C182" s="88"/>
      <c r="D182" s="88"/>
      <c r="E182" s="88"/>
      <c r="F182" s="88"/>
      <c r="G182" s="88"/>
      <c r="H182" s="88"/>
      <c r="I182" s="89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 hidden="1">
      <c r="A183" s="88"/>
      <c r="B183" s="88"/>
      <c r="C183" s="88"/>
      <c r="D183" s="88"/>
      <c r="E183" s="88"/>
      <c r="F183" s="88"/>
      <c r="G183" s="88"/>
      <c r="H183" s="88"/>
      <c r="I183" s="89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 hidden="1">
      <c r="A184" s="88"/>
      <c r="B184" s="88"/>
      <c r="C184" s="88"/>
      <c r="D184" s="88"/>
      <c r="E184" s="88"/>
      <c r="F184" s="88"/>
      <c r="G184" s="88"/>
      <c r="H184" s="88"/>
      <c r="I184" s="89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 hidden="1">
      <c r="A185" s="88"/>
      <c r="B185" s="88"/>
      <c r="C185" s="88"/>
      <c r="D185" s="88"/>
      <c r="E185" s="88"/>
      <c r="F185" s="88"/>
      <c r="G185" s="88"/>
      <c r="H185" s="88"/>
      <c r="I185" s="89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idden="1">
      <c r="A186" s="88"/>
      <c r="B186" s="88"/>
      <c r="C186" s="88"/>
      <c r="D186" s="88"/>
      <c r="E186" s="88"/>
      <c r="F186" s="88"/>
      <c r="G186" s="88"/>
      <c r="H186" s="88"/>
      <c r="I186" s="89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 hidden="1">
      <c r="A187" s="88"/>
      <c r="B187" s="88"/>
      <c r="C187" s="88"/>
      <c r="D187" s="88"/>
      <c r="E187" s="88"/>
      <c r="F187" s="88"/>
      <c r="G187" s="88"/>
      <c r="H187" s="88"/>
      <c r="I187" s="89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1:23" hidden="1">
      <c r="A188" s="88"/>
      <c r="B188" s="88"/>
      <c r="C188" s="88"/>
      <c r="D188" s="88"/>
      <c r="E188" s="88"/>
      <c r="F188" s="88"/>
      <c r="G188" s="88"/>
      <c r="H188" s="88"/>
      <c r="I188" s="89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1:23" hidden="1">
      <c r="A189" s="88"/>
      <c r="B189" s="88"/>
      <c r="C189" s="88"/>
      <c r="D189" s="88"/>
      <c r="E189" s="88"/>
      <c r="F189" s="88"/>
      <c r="G189" s="88"/>
      <c r="H189" s="88"/>
      <c r="I189" s="89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1:23" hidden="1">
      <c r="A190" s="88"/>
      <c r="B190" s="88"/>
      <c r="C190" s="88"/>
      <c r="D190" s="88"/>
      <c r="E190" s="88"/>
      <c r="F190" s="88"/>
      <c r="G190" s="88"/>
      <c r="H190" s="88"/>
      <c r="I190" s="89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1:23" hidden="1">
      <c r="A191" s="88"/>
      <c r="B191" s="88"/>
      <c r="C191" s="88"/>
      <c r="D191" s="88"/>
      <c r="E191" s="88"/>
      <c r="F191" s="88"/>
      <c r="G191" s="88"/>
      <c r="H191" s="88"/>
      <c r="I191" s="89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1:23" hidden="1">
      <c r="A192" s="88"/>
      <c r="B192" s="88"/>
      <c r="C192" s="88"/>
      <c r="D192" s="88"/>
      <c r="E192" s="88"/>
      <c r="F192" s="88"/>
      <c r="G192" s="88"/>
      <c r="H192" s="88"/>
      <c r="I192" s="89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1:23" hidden="1">
      <c r="A193" s="88"/>
      <c r="B193" s="88"/>
      <c r="C193" s="88"/>
      <c r="D193" s="88"/>
      <c r="E193" s="88"/>
      <c r="F193" s="88"/>
      <c r="G193" s="88"/>
      <c r="H193" s="88"/>
      <c r="I193" s="89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1:23" hidden="1">
      <c r="A194" s="88"/>
      <c r="B194" s="88"/>
      <c r="C194" s="88"/>
      <c r="D194" s="88"/>
      <c r="E194" s="88"/>
      <c r="F194" s="88"/>
      <c r="G194" s="88"/>
      <c r="H194" s="88"/>
      <c r="I194" s="89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1:23" hidden="1">
      <c r="A195" s="88"/>
      <c r="B195" s="88"/>
      <c r="C195" s="88"/>
      <c r="D195" s="88"/>
      <c r="E195" s="88"/>
      <c r="F195" s="88"/>
      <c r="G195" s="88"/>
      <c r="H195" s="88"/>
      <c r="I195" s="89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hidden="1">
      <c r="A196" s="88"/>
      <c r="B196" s="88"/>
      <c r="C196" s="88"/>
      <c r="D196" s="88"/>
      <c r="E196" s="88"/>
      <c r="F196" s="88"/>
      <c r="G196" s="88"/>
      <c r="H196" s="88"/>
      <c r="I196" s="89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idden="1">
      <c r="A197" s="88"/>
      <c r="B197" s="88"/>
      <c r="C197" s="88"/>
      <c r="D197" s="88"/>
      <c r="E197" s="88"/>
      <c r="F197" s="88"/>
      <c r="G197" s="88"/>
      <c r="H197" s="88"/>
      <c r="I197" s="89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idden="1">
      <c r="A198" s="88"/>
      <c r="B198" s="88"/>
      <c r="C198" s="88"/>
      <c r="D198" s="88"/>
      <c r="E198" s="88"/>
      <c r="F198" s="88"/>
      <c r="G198" s="88"/>
      <c r="H198" s="88"/>
      <c r="I198" s="89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idden="1">
      <c r="A199" s="88"/>
      <c r="B199" s="88"/>
      <c r="C199" s="88"/>
      <c r="D199" s="88"/>
      <c r="E199" s="88"/>
      <c r="F199" s="88"/>
      <c r="G199" s="88"/>
      <c r="H199" s="88"/>
      <c r="I199" s="89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idden="1">
      <c r="A200" s="88"/>
      <c r="B200" s="88"/>
      <c r="C200" s="88"/>
      <c r="D200" s="88"/>
      <c r="E200" s="88"/>
      <c r="F200" s="88"/>
      <c r="G200" s="88"/>
      <c r="H200" s="88"/>
      <c r="I200" s="89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idden="1">
      <c r="A201" s="88"/>
      <c r="B201" s="88"/>
      <c r="C201" s="88"/>
      <c r="D201" s="88"/>
      <c r="E201" s="88"/>
      <c r="F201" s="88"/>
      <c r="G201" s="88"/>
      <c r="H201" s="88"/>
      <c r="I201" s="89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idden="1">
      <c r="A202" s="88"/>
      <c r="B202" s="88"/>
      <c r="C202" s="88"/>
      <c r="D202" s="88"/>
      <c r="E202" s="88"/>
      <c r="F202" s="88"/>
      <c r="G202" s="88"/>
      <c r="H202" s="88"/>
      <c r="I202" s="89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idden="1">
      <c r="A203" s="88"/>
      <c r="B203" s="88"/>
      <c r="C203" s="88"/>
      <c r="D203" s="88"/>
      <c r="E203" s="88"/>
      <c r="F203" s="88"/>
      <c r="G203" s="88"/>
      <c r="H203" s="88"/>
      <c r="I203" s="89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idden="1">
      <c r="A204" s="88"/>
      <c r="B204" s="88"/>
      <c r="C204" s="88"/>
      <c r="D204" s="88"/>
      <c r="E204" s="88"/>
      <c r="F204" s="88"/>
      <c r="G204" s="88"/>
      <c r="H204" s="88"/>
      <c r="I204" s="89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idden="1">
      <c r="A205" s="88"/>
      <c r="B205" s="88"/>
      <c r="C205" s="88"/>
      <c r="D205" s="91">
        <f>ROUNDUP(C62+C63,-2)</f>
        <v>100</v>
      </c>
      <c r="E205" s="88"/>
      <c r="F205" s="88"/>
      <c r="G205" s="88"/>
      <c r="H205" s="88"/>
      <c r="I205" s="89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idden="1">
      <c r="A206" s="88"/>
      <c r="B206" s="88"/>
      <c r="C206" s="88"/>
      <c r="D206" s="88"/>
      <c r="E206" s="88"/>
      <c r="F206" s="88"/>
      <c r="G206" s="88"/>
      <c r="H206" s="88"/>
      <c r="I206" s="89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idden="1">
      <c r="A207" s="88"/>
      <c r="B207" s="88"/>
      <c r="C207" s="88"/>
      <c r="D207" s="88"/>
      <c r="E207" s="88"/>
      <c r="F207" s="88"/>
      <c r="G207" s="88"/>
      <c r="H207" s="88"/>
      <c r="I207" s="89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idden="1">
      <c r="A208" s="88"/>
      <c r="B208" s="88"/>
      <c r="C208" s="88"/>
      <c r="D208" s="88"/>
      <c r="E208" s="88"/>
      <c r="F208" s="88"/>
      <c r="G208" s="88"/>
      <c r="H208" s="88"/>
      <c r="I208" s="89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idden="1">
      <c r="A209" s="88" t="s">
        <v>55</v>
      </c>
      <c r="B209" s="88"/>
      <c r="C209" s="88">
        <v>0</v>
      </c>
      <c r="D209" s="88"/>
      <c r="E209" s="88"/>
      <c r="F209" s="88"/>
      <c r="G209" s="88"/>
      <c r="H209" s="88"/>
      <c r="I209" s="89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t="15" hidden="1">
      <c r="A210" s="88">
        <v>0</v>
      </c>
      <c r="B210" s="88"/>
      <c r="C210" s="88">
        <v>7500</v>
      </c>
      <c r="D210" s="88">
        <v>1.7100000000000001E-2</v>
      </c>
      <c r="E210" s="92"/>
      <c r="F210" s="93">
        <f>IF(C53&lt;C210,C53*D210,C210*D210)</f>
        <v>0</v>
      </c>
      <c r="G210" s="88"/>
      <c r="H210" s="88"/>
      <c r="I210" s="89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t="15" hidden="1">
      <c r="A211" s="88">
        <v>7500</v>
      </c>
      <c r="B211" s="88"/>
      <c r="C211" s="88">
        <v>17500</v>
      </c>
      <c r="D211" s="88">
        <v>1.3679999999999999E-2</v>
      </c>
      <c r="E211" s="92"/>
      <c r="F211" s="93" t="str">
        <f>IF(C53&lt;=A211," ",IF(C53&lt;C211,(C53-C210)*D211,(C211-A211)*D211))</f>
        <v xml:space="preserve"> </v>
      </c>
      <c r="G211" s="88"/>
      <c r="H211" s="88"/>
      <c r="I211" s="89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t="15" hidden="1">
      <c r="A212" s="88">
        <v>17500</v>
      </c>
      <c r="B212" s="88"/>
      <c r="C212" s="88">
        <v>30000</v>
      </c>
      <c r="D212" s="88">
        <v>9.1199999999999996E-3</v>
      </c>
      <c r="E212" s="92"/>
      <c r="F212" s="93" t="str">
        <f>IF(C53&lt;=A212," ",IF(C53&lt;C212,(C53-C211)*D212,(C212-A212)*D212))</f>
        <v xml:space="preserve"> </v>
      </c>
      <c r="G212" s="88"/>
      <c r="H212" s="88"/>
      <c r="I212" s="89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t="15" hidden="1">
      <c r="A213" s="88">
        <v>30000</v>
      </c>
      <c r="B213" s="88"/>
      <c r="C213" s="88">
        <v>45495</v>
      </c>
      <c r="D213" s="88">
        <v>6.8399999999999997E-3</v>
      </c>
      <c r="E213" s="92"/>
      <c r="F213" s="93" t="str">
        <f>IF(C53&lt;=A213," ",IF(C53&lt;C213,(C53-C212)*D213,(C213-A213)*D213))</f>
        <v xml:space="preserve"> </v>
      </c>
      <c r="G213" s="88"/>
      <c r="H213" s="88"/>
      <c r="I213" s="89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t="15" hidden="1">
      <c r="A214" s="88">
        <v>45495</v>
      </c>
      <c r="B214" s="88"/>
      <c r="C214" s="88">
        <v>64095</v>
      </c>
      <c r="D214" s="88">
        <v>4.5599999999999998E-3</v>
      </c>
      <c r="E214" s="92"/>
      <c r="F214" s="93" t="str">
        <f>IF(C53&lt;=A214," ",IF(C53&lt;C214,(C53-C213)*D214,(C214-A214)*D214))</f>
        <v xml:space="preserve"> </v>
      </c>
      <c r="G214" s="88"/>
      <c r="H214" s="88"/>
      <c r="I214" s="89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t="15" hidden="1">
      <c r="A215" s="88">
        <v>64095</v>
      </c>
      <c r="B215" s="88"/>
      <c r="C215" s="88">
        <v>250095</v>
      </c>
      <c r="D215" s="88">
        <v>2.2799999999999999E-3</v>
      </c>
      <c r="E215" s="92"/>
      <c r="F215" s="93" t="str">
        <f>IF(C53&lt;=A215," ",IF(C53&lt;C215,(C53-C214)*D215,(C215-A215)*D215))</f>
        <v xml:space="preserve"> </v>
      </c>
      <c r="G215" s="88"/>
      <c r="H215" s="88"/>
      <c r="I215" s="89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t="15" hidden="1">
      <c r="A216" s="88">
        <v>250095</v>
      </c>
      <c r="B216" s="88"/>
      <c r="C216" s="91">
        <f>C53</f>
        <v>0</v>
      </c>
      <c r="D216" s="88">
        <v>4.5600000000000003E-4</v>
      </c>
      <c r="E216" s="92"/>
      <c r="F216" s="93" t="str">
        <f>IF(C53&lt;=A216," ",IF(C53&lt;C216,(C53-C215)*D216,(C216-A216)*D216))</f>
        <v xml:space="preserve"> </v>
      </c>
      <c r="G216" s="88"/>
      <c r="H216" s="88"/>
      <c r="I216" s="89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t="15" hidden="1">
      <c r="A217" s="88">
        <v>10075000</v>
      </c>
      <c r="B217" s="88"/>
      <c r="C217" s="88">
        <v>0</v>
      </c>
      <c r="D217" s="88">
        <v>4.5600000000000003E-4</v>
      </c>
      <c r="E217" s="94" t="str">
        <f>IF($C$113&lt;=A217," E90",IF($C$113&lt;C217,($C$113-C216)*D217,(C217-A217)*D217))</f>
        <v xml:space="preserve"> E90</v>
      </c>
      <c r="F217" s="95"/>
      <c r="G217" s="88"/>
      <c r="H217" s="88"/>
      <c r="I217" s="89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t="15.75" hidden="1" thickBot="1">
      <c r="A218" s="88"/>
      <c r="B218" s="88"/>
      <c r="C218" s="88"/>
      <c r="D218" s="88"/>
      <c r="E218" s="96"/>
      <c r="F218" s="95"/>
      <c r="G218" s="88"/>
      <c r="H218" s="88"/>
      <c r="I218" s="89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t="15" hidden="1" thickBot="1">
      <c r="A219" s="88" t="s">
        <v>12</v>
      </c>
      <c r="B219" s="88"/>
      <c r="C219" s="88"/>
      <c r="D219" s="88"/>
      <c r="E219" s="97">
        <f>SUM(F210:F217)</f>
        <v>0</v>
      </c>
      <c r="F219" s="95"/>
      <c r="G219" s="88"/>
      <c r="H219" s="88"/>
      <c r="I219" s="98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idden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t="15" hidden="1">
      <c r="A221" s="110" t="s">
        <v>48</v>
      </c>
      <c r="B221" s="111"/>
      <c r="C221" s="111"/>
      <c r="D221" s="111"/>
      <c r="E221" s="112"/>
      <c r="F221" s="113" t="s">
        <v>49</v>
      </c>
      <c r="G221" s="114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t="15" hidden="1">
      <c r="A222" s="110">
        <v>67.31</v>
      </c>
      <c r="B222" s="111" t="s">
        <v>50</v>
      </c>
      <c r="C222" s="111">
        <v>25000</v>
      </c>
      <c r="D222" s="111"/>
      <c r="E222" s="112"/>
      <c r="F222" s="113"/>
      <c r="G222" s="114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t="15" hidden="1">
      <c r="A223" s="110">
        <v>23.56</v>
      </c>
      <c r="B223" s="111" t="s">
        <v>51</v>
      </c>
      <c r="C223" s="111">
        <v>25000</v>
      </c>
      <c r="D223" s="111" t="s">
        <v>52</v>
      </c>
      <c r="E223" s="112"/>
      <c r="F223" s="113"/>
      <c r="G223" s="114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t="15" hidden="1">
      <c r="A224" s="110"/>
      <c r="B224" s="111"/>
      <c r="C224" s="111"/>
      <c r="D224" s="111"/>
      <c r="E224" s="112"/>
      <c r="F224" s="113"/>
      <c r="G224" s="114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t="15" hidden="1">
      <c r="A225" s="110"/>
      <c r="B225" s="111"/>
      <c r="C225" s="111"/>
      <c r="D225" s="111"/>
      <c r="E225" s="112"/>
      <c r="F225" s="113"/>
      <c r="G225" s="114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 ht="15" hidden="1">
      <c r="A226" s="110"/>
      <c r="B226" s="111"/>
      <c r="C226" s="111"/>
      <c r="D226" s="111"/>
      <c r="E226" s="112"/>
      <c r="F226" s="113"/>
      <c r="G226" s="114">
        <f>SUM(D160,D163)</f>
        <v>5.7000000000000002E-3</v>
      </c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 ht="15" hidden="1">
      <c r="A227" s="110" t="s">
        <v>53</v>
      </c>
      <c r="B227" s="111"/>
      <c r="C227" s="111" t="s">
        <v>10</v>
      </c>
      <c r="D227" s="111" t="s">
        <v>54</v>
      </c>
      <c r="E227" s="112"/>
      <c r="F227" s="113"/>
      <c r="G227" s="114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 ht="15" hidden="1">
      <c r="A228" s="110"/>
      <c r="B228" s="111"/>
      <c r="C228" s="111">
        <f>D151</f>
        <v>0</v>
      </c>
      <c r="D228" s="111">
        <f>IF(D151=0,575,550)</f>
        <v>575</v>
      </c>
      <c r="E228" s="112"/>
      <c r="F228" s="113"/>
      <c r="G228" s="114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 ht="15" hidden="1">
      <c r="A229" s="110"/>
      <c r="B229" s="111"/>
      <c r="C229" s="111"/>
      <c r="D229" s="111"/>
      <c r="E229" s="112"/>
      <c r="F229" s="113"/>
      <c r="G229" s="114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 ht="15" hidden="1">
      <c r="A230" s="110"/>
      <c r="B230" s="111"/>
      <c r="C230" s="111"/>
      <c r="D230" s="111"/>
      <c r="E230" s="112"/>
      <c r="F230" s="113"/>
      <c r="G230" s="114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 ht="15" hidden="1">
      <c r="A231" s="110"/>
      <c r="B231" s="111"/>
      <c r="C231" s="120">
        <f>ROUNDUP(C62+C63,-2)</f>
        <v>100</v>
      </c>
      <c r="D231" s="111"/>
      <c r="E231" s="112"/>
      <c r="F231" s="113"/>
      <c r="G231" s="114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 ht="15" hidden="1">
      <c r="A232" s="115">
        <f>D59+D60+D64+D66+D69+D72</f>
        <v>860</v>
      </c>
      <c r="B232" s="111"/>
      <c r="C232" s="111"/>
      <c r="D232" s="111"/>
      <c r="E232" s="112" t="s">
        <v>46</v>
      </c>
      <c r="F232" s="113"/>
      <c r="G232" s="114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 ht="15" hidden="1">
      <c r="A233" s="110"/>
      <c r="B233" s="111"/>
      <c r="C233" s="111"/>
      <c r="D233" s="111"/>
      <c r="E233" s="112" t="s">
        <v>47</v>
      </c>
      <c r="F233" s="113"/>
      <c r="G233" s="114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 ht="15" hidden="1">
      <c r="A234" s="110"/>
      <c r="B234" s="111"/>
      <c r="C234" s="111"/>
      <c r="D234" s="111"/>
      <c r="E234" s="112"/>
      <c r="F234" s="113"/>
      <c r="G234" s="116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 ht="15" hidden="1">
      <c r="A235" s="110"/>
      <c r="B235" s="111"/>
      <c r="C235" s="111"/>
      <c r="D235" s="111"/>
      <c r="E235" s="112"/>
      <c r="F235" s="113"/>
      <c r="G235" s="116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 ht="15" hidden="1">
      <c r="A236" s="110"/>
      <c r="B236" s="111"/>
      <c r="C236" s="111"/>
      <c r="D236" s="111"/>
      <c r="E236" s="112"/>
      <c r="F236" s="113"/>
      <c r="G236" s="116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 ht="15" hidden="1">
      <c r="A237" s="110" t="s">
        <v>55</v>
      </c>
      <c r="B237" s="111"/>
      <c r="C237" s="117">
        <f>C53</f>
        <v>0</v>
      </c>
      <c r="D237" s="111"/>
      <c r="E237" s="112"/>
      <c r="F237" s="113"/>
      <c r="G237" s="116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 ht="15" hidden="1">
      <c r="A238" s="110">
        <v>0</v>
      </c>
      <c r="B238" s="111"/>
      <c r="C238" s="111">
        <v>7500</v>
      </c>
      <c r="D238" s="111">
        <v>1.4250000000000001E-2</v>
      </c>
      <c r="E238" s="112"/>
      <c r="F238" s="113">
        <f>IF(C237&lt;C238,C237*D238,C238*D238)</f>
        <v>0</v>
      </c>
      <c r="G238" s="116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 ht="15" hidden="1">
      <c r="A239" s="110">
        <v>7500</v>
      </c>
      <c r="B239" s="111"/>
      <c r="C239" s="111">
        <v>17500</v>
      </c>
      <c r="D239" s="111">
        <v>1.14E-2</v>
      </c>
      <c r="E239" s="112"/>
      <c r="F239" s="113" t="str">
        <f>IF(C237&lt;=A239," ",IF(C237&lt;C239,(C237-C238)*D239,(C239-A239)*D239))</f>
        <v xml:space="preserve"> </v>
      </c>
      <c r="G239" s="116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 ht="15" hidden="1">
      <c r="A240" s="110">
        <v>17500</v>
      </c>
      <c r="B240" s="111"/>
      <c r="C240" s="111">
        <v>30000</v>
      </c>
      <c r="D240" s="111">
        <v>6.8399999999999997E-3</v>
      </c>
      <c r="E240" s="112"/>
      <c r="F240" s="113" t="str">
        <f>IF(C237&lt;=A240," ",IF(C237&lt;C240,(C237-C239)*D240,(C240-A240)*D240))</f>
        <v xml:space="preserve"> </v>
      </c>
      <c r="G240" s="116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 ht="15" hidden="1">
      <c r="A241" s="110">
        <v>30000</v>
      </c>
      <c r="B241" s="111"/>
      <c r="C241" s="111">
        <v>45495</v>
      </c>
      <c r="D241" s="111">
        <v>5.7000000000000002E-3</v>
      </c>
      <c r="E241" s="112"/>
      <c r="F241" s="113" t="str">
        <f>IF(C237&lt;=A241," ",IF(C237&lt;C241,(C237-C240)*D241,(C241-A241)*D241))</f>
        <v xml:space="preserve"> </v>
      </c>
      <c r="G241" s="116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 ht="15" hidden="1">
      <c r="A242" s="110">
        <v>45495</v>
      </c>
      <c r="B242" s="111"/>
      <c r="C242" s="111">
        <v>64095</v>
      </c>
      <c r="D242" s="111">
        <v>4.5599999999999998E-3</v>
      </c>
      <c r="E242" s="112"/>
      <c r="F242" s="113" t="str">
        <f>IF(C237&lt;=A242," ",IF(C237&lt;C242,(C237-C241)*D242,(C242-A242)*D242))</f>
        <v xml:space="preserve"> </v>
      </c>
      <c r="G242" s="116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 ht="15" hidden="1">
      <c r="A243" s="110">
        <v>64095</v>
      </c>
      <c r="B243" s="111"/>
      <c r="C243" s="111">
        <v>250095</v>
      </c>
      <c r="D243" s="111">
        <v>2.2799999999999999E-3</v>
      </c>
      <c r="E243" s="112"/>
      <c r="F243" s="113" t="str">
        <f>IF(C237&lt;=A243," ",IF(C237&lt;C243,(C237-C242)*D243,(C243-A243)*D243))</f>
        <v xml:space="preserve"> </v>
      </c>
      <c r="G243" s="116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 ht="15" hidden="1">
      <c r="A244" s="110">
        <v>250095</v>
      </c>
      <c r="B244" s="111"/>
      <c r="C244" s="111">
        <v>999999999</v>
      </c>
      <c r="D244" s="111">
        <v>4.5600000000000003E-4</v>
      </c>
      <c r="E244" s="112"/>
      <c r="F244" s="113" t="str">
        <f>IF(C237&lt;=A244," ",IF(C237&lt;C244,(C237-C243)*D244,(C244-A244)*D244))</f>
        <v xml:space="preserve"> </v>
      </c>
      <c r="G244" s="116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1:23" ht="15" hidden="1">
      <c r="A245" s="110">
        <v>10075000</v>
      </c>
      <c r="B245" s="111"/>
      <c r="C245" s="111" t="e">
        <f>#REF!</f>
        <v>#REF!</v>
      </c>
      <c r="D245" s="111">
        <v>4.5600000000000003E-4</v>
      </c>
      <c r="E245" s="112" t="str">
        <f>IF(C109&lt;=A245,"E90",IF(C109&lt;C245,(C109-C244)*D245,(C245-A245)*D245))</f>
        <v>E90</v>
      </c>
      <c r="F245" s="113"/>
      <c r="G245" s="116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1:23" ht="15" hidden="1">
      <c r="A246" s="110"/>
      <c r="B246" s="111"/>
      <c r="C246" s="111"/>
      <c r="D246" s="111"/>
      <c r="E246" s="112"/>
      <c r="F246" s="113"/>
      <c r="G246" s="116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1:23" ht="15" hidden="1">
      <c r="A247" s="110" t="s">
        <v>12</v>
      </c>
      <c r="B247" s="111"/>
      <c r="C247" s="111"/>
      <c r="D247" s="111"/>
      <c r="E247" s="112">
        <f>SUM(F238:F245)</f>
        <v>0</v>
      </c>
      <c r="F247" s="113"/>
      <c r="G247" s="116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1:23" hidden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1:23" hidden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1:23" hidden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23" hidden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1:23" hidden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1:23" hidden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1:23" hidden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1:23" hidden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1:23" hidden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1:23" hidden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1:23" hidden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1:23" hidden="1">
      <c r="A259" s="7"/>
      <c r="B259" s="7"/>
      <c r="C259" s="7"/>
      <c r="D259" s="7"/>
      <c r="E259" s="7"/>
      <c r="F259" s="7"/>
      <c r="G259" s="7"/>
    </row>
    <row r="260" spans="1:23" hidden="1"/>
    <row r="261" spans="1:23" hidden="1"/>
    <row r="262" spans="1:23" hidden="1"/>
    <row r="263" spans="1:23" hidden="1"/>
    <row r="264" spans="1:23" hidden="1"/>
    <row r="265" spans="1:23" hidden="1"/>
    <row r="266" spans="1:23" hidden="1"/>
    <row r="267" spans="1:23" hidden="1"/>
    <row r="268" spans="1:23" hidden="1"/>
    <row r="269" spans="1:23" hidden="1"/>
    <row r="270" spans="1:23" hidden="1"/>
    <row r="271" spans="1:23" hidden="1"/>
    <row r="272" spans="1:23" hidden="1"/>
    <row r="273" hidden="1"/>
    <row r="274" hidden="1"/>
    <row r="275" hidden="1"/>
    <row r="276" hidden="1"/>
    <row r="277" hidden="1"/>
  </sheetData>
  <sheetProtection algorithmName="SHA-512" hashValue="7dQdNjAPd5kD16g72rrURFHhd9olsT0RetwDHIhOB4v40nXtSxfxa5UzzuMdBPUdPuXV4/oaCpSEskQbnx/ZvQ==" saltValue="/K0JCU/rGKojIzyAeiWZow==" spinCount="100000" sheet="1" objects="1" scenarios="1"/>
  <phoneticPr fontId="0" type="noConversion"/>
  <dataValidations count="5">
    <dataValidation type="list" allowBlank="1" showInputMessage="1" showErrorMessage="1" sqref="B14">
      <formula1>$G$147:$G$148</formula1>
    </dataValidation>
    <dataValidation type="list" allowBlank="1" showInputMessage="1" showErrorMessage="1" sqref="B15">
      <formula1>$H$147:$H$148</formula1>
    </dataValidation>
    <dataValidation type="list" allowBlank="1" showInputMessage="1" showErrorMessage="1" sqref="B7">
      <formula1>$K$147:$K$148</formula1>
    </dataValidation>
    <dataValidation type="list" allowBlank="1" showInputMessage="1" showErrorMessage="1" sqref="B12">
      <formula1>$F$147:$F$148</formula1>
    </dataValidation>
    <dataValidation type="list" allowBlank="1" showInputMessage="1" showErrorMessage="1" sqref="B55">
      <formula1>$F$174:$F$175</formula1>
    </dataValidation>
  </dataValidations>
  <hyperlinks>
    <hyperlink ref="D83" r:id="rId1"/>
    <hyperlink ref="D85" r:id="rId2"/>
    <hyperlink ref="B85" r:id="rId3"/>
    <hyperlink ref="C87" r:id="rId4"/>
    <hyperlink ref="B83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VBIFTVABREYNEPH</vt:lpstr>
      <vt:lpstr>VBIFTVABREYNEPH!_1._Zegels_Minuut_Brevet</vt:lpstr>
      <vt:lpstr>VBIFTVABREYNEPH!_2._Registratie_Minuut_Brevet</vt:lpstr>
      <vt:lpstr>VBIFTVABREYNEPH!_3._Registratie_aanhangsel</vt:lpstr>
      <vt:lpstr>VBIFTVABREYNEPH!Aard</vt:lpstr>
      <vt:lpstr>VBIFTVABREYNEPH!Afdrukbereik</vt:lpstr>
      <vt:lpstr>VBIFTVABREYNEPH!Datum</vt:lpstr>
      <vt:lpstr>VBIFTVABREYNEPH!KOSTENFICHE</vt:lpstr>
      <vt:lpstr>VBIFTVABREYNEPH!Rep.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2014-11-23T22:19:19Z</dcterms:modified>
</cp:coreProperties>
</file>