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PHMH" sheetId="1" r:id="rId1"/>
  </sheets>
  <definedNames>
    <definedName name="_1._Zegels_Minuut_Brevet" localSheetId="0">VBIWTVABREYNEPHMH!$A$19:$F$19</definedName>
    <definedName name="_1._Zegels_Minuut_Brevet">#REF!</definedName>
    <definedName name="_10._Tweede_getuigschrift" localSheetId="0">VBIWTVABREYNEPHMH!#REF!</definedName>
    <definedName name="_10._Tweede_getuigschrift">#REF!</definedName>
    <definedName name="_11._Kadaster_uittreksel" localSheetId="0">VBIWTVABREYNEPHMH!#REF!</definedName>
    <definedName name="_11._Kadaster_uittreksel">#REF!</definedName>
    <definedName name="_12._Getuigen" localSheetId="0">VBIWTVABREYNEPHMH!#REF!</definedName>
    <definedName name="_12._Getuigen">#REF!</definedName>
    <definedName name="_13._Allerlei_uitgaven" localSheetId="0">VBIWTVABREYNEPHMH!#REF!</definedName>
    <definedName name="_13._Allerlei_uitgaven">#REF!</definedName>
    <definedName name="_14." localSheetId="0">VBIWTVABREYNEPHMH!#REF!</definedName>
    <definedName name="_14.">#REF!</definedName>
    <definedName name="_15." localSheetId="0">VBIWTVABREYNEPHMH!#REF!</definedName>
    <definedName name="_15.">#REF!</definedName>
    <definedName name="_2._Registratie_Minuut_Brevet" localSheetId="0">VBIWTVABREYNEPHMH!$B$22:$G$22</definedName>
    <definedName name="_2._Registratie_Minuut_Brevet">#REF!</definedName>
    <definedName name="_3._Registratie_aanhangsel" localSheetId="0">VBIWTVABREYNEPHMH!$E$23:$G$23</definedName>
    <definedName name="_3._Registratie_aanhangsel">#REF!</definedName>
    <definedName name="_4.Zegels_afschrift_grosse" localSheetId="0">VBIWTVABREYNEPHMH!#REF!</definedName>
    <definedName name="_4.Zegels_afschrift_grosse">#REF!</definedName>
    <definedName name="_5._Hypotheek__inschr._overschr._doorh." localSheetId="0">VBIWTVABREYNEPHMH!#REF!</definedName>
    <definedName name="_5._Hypotheek__inschr._overschr._doorh.">#REF!</definedName>
    <definedName name="_6._Loon_pandbewaarder" localSheetId="0">VBIWTVABREYNEPHMH!#REF!</definedName>
    <definedName name="_6._Loon_pandbewaarder">#REF!</definedName>
    <definedName name="_7._Zegels__bord._aanh." localSheetId="0">VBIWTVABREYNEPHMH!#REF!</definedName>
    <definedName name="_7._Zegels__bord._aanh.">#REF!</definedName>
    <definedName name="_8._Opzoekingen" localSheetId="0">VBIWTVABREYNEPHMH!#REF!</definedName>
    <definedName name="_8._Opzoekingen">#REF!</definedName>
    <definedName name="_9._Hypothecair_getuigschrift" localSheetId="0">VBIWTVABREYNEPHMH!#REF!</definedName>
    <definedName name="_9._Hypothecair_getuigschrift">#REF!</definedName>
    <definedName name="Aard" localSheetId="0">VBIWTVABREYNEPHMH!$B$4:$F$4</definedName>
    <definedName name="Aard">#REF!</definedName>
    <definedName name="_xlnm.Print_Area" localSheetId="0">VBIWTVABREYNEPHMH!$A$1:$E$95</definedName>
    <definedName name="Datum" localSheetId="0">VBIWTVABREYNEPHMH!$B$4:$G$36</definedName>
    <definedName name="Datum">#REF!</definedName>
    <definedName name="gemeentelijke_info">#REF!</definedName>
    <definedName name="Kantoor_van_Notaris_J._SIMONART_te_Leuven" localSheetId="0">VBIWTVABREYNEPHMH!#REF!</definedName>
    <definedName name="Kantoor_van_Notaris_J._SIMONART_te_Leuven">#REF!</definedName>
    <definedName name="KOSTENFICHE" localSheetId="0">VBIWTVABREYNEPHMH!$A$1:$G$36</definedName>
    <definedName name="KOSTENFICHE">#REF!</definedName>
    <definedName name="Last_Row">IF(Values_Entered,Header_Row+Number_of_Payments,Header_Row)</definedName>
    <definedName name="Naam" localSheetId="0">VBIWTVABREYNEPHMH!#REF!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VBIWTVABREYNEPHMH!$F$4:$F$38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VBIWTVABREYNEPHMH!#REF!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VBIWTVABREYNEPHMH!$A$3:$G$36</definedName>
  </definedNames>
  <calcPr calcId="152511"/>
</workbook>
</file>

<file path=xl/calcChain.xml><?xml version="1.0" encoding="utf-8"?>
<calcChain xmlns="http://schemas.openxmlformats.org/spreadsheetml/2006/main">
  <c r="A107" i="1" l="1"/>
  <c r="B56" i="1"/>
  <c r="B10" i="1"/>
  <c r="F169" i="1" s="1"/>
  <c r="D21" i="1"/>
  <c r="D23" i="1"/>
  <c r="E36" i="1"/>
  <c r="C44" i="1"/>
  <c r="C52" i="1" s="1"/>
  <c r="C60" i="1"/>
  <c r="C63" i="1"/>
  <c r="C66" i="1"/>
  <c r="B79" i="1"/>
  <c r="D116" i="1" s="1"/>
  <c r="H102" i="1"/>
  <c r="H104" i="1" s="1"/>
  <c r="C86" i="1" s="1"/>
  <c r="I102" i="1"/>
  <c r="J102" i="1"/>
  <c r="B108" i="1"/>
  <c r="C129" i="1"/>
  <c r="C130" i="1"/>
  <c r="E230" i="1" s="1"/>
  <c r="C131" i="1"/>
  <c r="F132" i="1"/>
  <c r="D131" i="1"/>
  <c r="F131" i="1"/>
  <c r="C132" i="1"/>
  <c r="D132" i="1"/>
  <c r="F133" i="1"/>
  <c r="F134" i="1"/>
  <c r="F135" i="1"/>
  <c r="F136" i="1"/>
  <c r="B189" i="1"/>
  <c r="C189" i="1"/>
  <c r="B190" i="1"/>
  <c r="C190" i="1"/>
  <c r="F207" i="1"/>
  <c r="F208" i="1"/>
  <c r="F223" i="1"/>
  <c r="F224" i="1"/>
  <c r="F225" i="1"/>
  <c r="F226" i="1"/>
  <c r="F227" i="1"/>
  <c r="F228" i="1"/>
  <c r="C229" i="1"/>
  <c r="F229" i="1"/>
  <c r="G239" i="1"/>
  <c r="C241" i="1"/>
  <c r="D241" i="1"/>
  <c r="C250" i="1"/>
  <c r="F257" i="1" s="1"/>
  <c r="C258" i="1"/>
  <c r="E258" i="1"/>
  <c r="D115" i="1"/>
  <c r="D111" i="1"/>
  <c r="F254" i="1"/>
  <c r="F255" i="1"/>
  <c r="F252" i="1"/>
  <c r="B55" i="1" l="1"/>
  <c r="C244" i="1" s="1"/>
  <c r="F251" i="1"/>
  <c r="D112" i="1"/>
  <c r="I118" i="1" s="1"/>
  <c r="I119" i="1" s="1"/>
  <c r="F83" i="1" s="1"/>
  <c r="D114" i="1"/>
  <c r="E232" i="1"/>
  <c r="F253" i="1"/>
  <c r="D110" i="1"/>
  <c r="F172" i="1"/>
  <c r="F138" i="1"/>
  <c r="D20" i="1" s="1"/>
  <c r="E26" i="1" s="1"/>
  <c r="F256" i="1"/>
  <c r="F170" i="1"/>
  <c r="C88" i="1"/>
  <c r="F89" i="1" s="1"/>
  <c r="F168" i="1"/>
  <c r="F212" i="1"/>
  <c r="C212" i="1"/>
  <c r="E260" i="1"/>
  <c r="F51" i="1" s="1"/>
  <c r="F211" i="1"/>
  <c r="F210" i="1"/>
  <c r="F174" i="1"/>
  <c r="D113" i="1"/>
  <c r="F209" i="1"/>
  <c r="F173" i="1"/>
  <c r="E38" i="1"/>
  <c r="F206" i="1"/>
  <c r="F171" i="1"/>
  <c r="F176" i="1" l="1"/>
  <c r="F214" i="1"/>
  <c r="E19" i="1" s="1"/>
  <c r="D218" i="1"/>
  <c r="C57" i="1" s="1"/>
  <c r="A245" i="1"/>
  <c r="C68" i="1" s="1"/>
  <c r="F69" i="1" s="1"/>
  <c r="F68" i="1"/>
  <c r="F52" i="1"/>
  <c r="F72" i="1" s="1"/>
  <c r="F88" i="1"/>
  <c r="F90" i="1" s="1"/>
  <c r="F92" i="1"/>
  <c r="E27" i="1" l="1"/>
  <c r="E29" i="1" s="1"/>
  <c r="F70" i="1"/>
  <c r="F74" i="1" s="1"/>
  <c r="F94" i="1"/>
</calcChain>
</file>

<file path=xl/sharedStrings.xml><?xml version="1.0" encoding="utf-8"?>
<sst xmlns="http://schemas.openxmlformats.org/spreadsheetml/2006/main" count="186" uniqueCount="119">
  <si>
    <t>Dossier</t>
  </si>
  <si>
    <t>Prijs</t>
  </si>
  <si>
    <t>------------------------------------------------------------------------------------------------</t>
  </si>
  <si>
    <t>Ereloon</t>
  </si>
  <si>
    <t>BTW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</si>
  <si>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</si>
  <si>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</si>
  <si>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</si>
  <si>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</si>
  <si>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</si>
  <si>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</si>
  <si>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</si>
  <si>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</si>
  <si>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</si>
  <si>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</si>
  <si>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</si>
  <si>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</si>
  <si>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</si>
  <si>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</si>
  <si>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</si>
  <si>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</si>
  <si>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</si>
  <si>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</si>
  <si>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</si>
  <si>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</si>
  <si>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</si>
  <si>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</si>
  <si>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</si>
  <si>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</si>
  <si>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</si>
  <si>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</si>
  <si>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</si>
  <si>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</si>
  <si>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</si>
  <si>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</si>
  <si>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</si>
  <si>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</si>
  <si>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</si>
  <si>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</si>
  <si>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</si>
  <si>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</si>
  <si>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</si>
  <si>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Waterloo</t>
  </si>
  <si>
    <t>Wavre</t>
  </si>
  <si>
    <t>Donceel</t>
  </si>
  <si>
    <t>Genappe</t>
  </si>
  <si>
    <t>Perwez</t>
  </si>
  <si>
    <t>Profondeville</t>
  </si>
  <si>
    <t>Sainte-Ode</t>
  </si>
  <si>
    <t>Silly</t>
  </si>
  <si>
    <t>Client</t>
  </si>
  <si>
    <t>Valeur terrain</t>
  </si>
  <si>
    <t>Constructions</t>
  </si>
  <si>
    <t>Même propriétaire?</t>
  </si>
  <si>
    <t>Prix des constructions finies à l'acte</t>
  </si>
  <si>
    <t>Charges:</t>
  </si>
  <si>
    <t>Base pour honoraires</t>
  </si>
  <si>
    <t>Acompte payé</t>
  </si>
  <si>
    <t>Réduction art. 53?</t>
  </si>
  <si>
    <t>Zone de pression immobilière?</t>
  </si>
  <si>
    <t xml:space="preserve">Crédit Soc. Wall. ou Fam. Nombr.? </t>
  </si>
  <si>
    <t>Crédit social pour au moins 50%?</t>
  </si>
  <si>
    <t>oui</t>
  </si>
  <si>
    <t>non</t>
  </si>
  <si>
    <t>Frais à charge de l'acquéreur</t>
  </si>
  <si>
    <t>Honoraire</t>
  </si>
  <si>
    <t>Enregistrement</t>
  </si>
  <si>
    <t>TVA</t>
  </si>
  <si>
    <t>Enregistrement annexe(s)</t>
  </si>
  <si>
    <t>Transcription (rôles)</t>
  </si>
  <si>
    <t>Frais divers</t>
  </si>
  <si>
    <t>Quote-part acte de base ou acte de lotissement</t>
  </si>
  <si>
    <t>Total frais acquéreur:</t>
  </si>
  <si>
    <t>Frais à charge du vendeur</t>
  </si>
  <si>
    <t>Renseignements urbanistiques</t>
  </si>
  <si>
    <t>Commission agence immobilière</t>
  </si>
  <si>
    <t>Mesurage</t>
  </si>
  <si>
    <t>Total frais vendeur</t>
  </si>
  <si>
    <t>Total général vendeur:</t>
  </si>
  <si>
    <t>Total général acquéreur:</t>
  </si>
  <si>
    <t>ouilhay</t>
  </si>
  <si>
    <t>Orp-ouiuche</t>
  </si>
  <si>
    <t>P.A.</t>
  </si>
  <si>
    <t>Basis</t>
  </si>
  <si>
    <t>Tarief</t>
  </si>
  <si>
    <t>Ereloon G</t>
  </si>
  <si>
    <t>Lening</t>
  </si>
  <si>
    <t>Hypothecaire volmacht</t>
  </si>
  <si>
    <t>Base enregistrement</t>
  </si>
  <si>
    <t>Principal</t>
  </si>
  <si>
    <t>Accessoires</t>
  </si>
  <si>
    <t>Base</t>
  </si>
  <si>
    <t>Base honoraire</t>
  </si>
  <si>
    <t>Droits d'enregistrement</t>
  </si>
  <si>
    <t>(TVA)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</si>
  <si>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</si>
  <si>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</si>
  <si>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</si>
  <si>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</si>
  <si>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</si>
  <si>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Total frais</t>
  </si>
  <si>
    <t>Total</t>
  </si>
  <si>
    <t>Ensemble</t>
  </si>
  <si>
    <t>MANDAT HYPOTHECAIRE ACQUEREUR</t>
  </si>
  <si>
    <t>Combien de bureaux d'hypothèques?</t>
  </si>
  <si>
    <t>Honoraires</t>
  </si>
  <si>
    <t>Frais</t>
  </si>
  <si>
    <t>Loon hypotheekbewaarder</t>
  </si>
  <si>
    <t>Berekening ereloon hypotheekbewaarder</t>
  </si>
  <si>
    <t xml:space="preserve">tot </t>
  </si>
  <si>
    <t>per</t>
  </si>
  <si>
    <t>supplementair</t>
  </si>
  <si>
    <t>PRÊT HYPOTHÉCAIRE</t>
  </si>
  <si>
    <t>Prêt tarif social?</t>
  </si>
  <si>
    <t>Bijlagen</t>
  </si>
  <si>
    <t>Diverse kosten</t>
  </si>
  <si>
    <t>VENTE BIEN IMMOBILIER AVEC TVA - WALLONIE + PRET + MANDAT HYPOTHECAIRE</t>
  </si>
  <si>
    <t>Inscription à combien de bureaux d'hypothèques?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</si>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</sst>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  <numFmt numFmtId="180" formatCode="#,##0.00_ ;\-#,##0.00\ "/>
    <numFmt numFmtId="181" formatCode="#,##0&quot; Fr&quot;;\-#,##0&quot; Fr&quot;"/>
  </numFmts>
  <fonts count="2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2"/>
      <name val="Times New Roman"/>
      <family val="1"/>
    </font>
    <font>
      <b/>
      <sz val="14"/>
      <color indexed="9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</patternFill>
    </fill>
    <fill>
      <patternFill patternType="solid">
        <fgColor theme="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double">
        <color indexed="64"/>
      </right>
      <top/>
      <bottom/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18" fillId="0" borderId="0"/>
    <xf numFmtId="0" fontId="1" fillId="0" borderId="0"/>
    <xf numFmtId="0" fontId="18" fillId="0" borderId="0"/>
    <xf numFmtId="177" fontId="8" fillId="0" borderId="1">
      <protection locked="0"/>
    </xf>
    <xf numFmtId="0" fontId="20" fillId="0" borderId="22" applyNumberFormat="0" applyFill="0" applyAlignment="0" applyProtection="0"/>
  </cellStyleXfs>
  <cellXfs count="203">
    <xf numFmtId="0" fontId="0" fillId="0" borderId="0" xfId="0"/>
    <xf numFmtId="166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7" fontId="1" fillId="2" borderId="0" xfId="13" applyNumberFormat="1" applyFill="1" applyBorder="1" applyAlignment="1" applyProtection="1">
      <protection hidden="1"/>
    </xf>
    <xf numFmtId="166" fontId="1" fillId="2" borderId="3" xfId="13" applyNumberFormat="1" applyFon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4" xfId="13" applyFont="1" applyFill="1" applyBorder="1" applyAlignment="1" applyProtection="1">
      <alignment horizontal="left"/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7" fontId="1" fillId="2" borderId="0" xfId="13" applyNumberFormat="1" applyFill="1" applyBorder="1" applyProtection="1"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7" fontId="1" fillId="2" borderId="0" xfId="13" applyNumberFormat="1" applyFill="1" applyProtection="1">
      <protection hidden="1"/>
    </xf>
    <xf numFmtId="0" fontId="1" fillId="2" borderId="5" xfId="13" applyFill="1" applyBorder="1" applyAlignment="1" applyProtection="1">
      <alignment horizontal="left"/>
      <protection hidden="1"/>
    </xf>
    <xf numFmtId="0" fontId="1" fillId="2" borderId="6" xfId="13" applyFill="1" applyBorder="1" applyAlignment="1" applyProtection="1">
      <alignment horizontal="left"/>
      <protection hidden="1"/>
    </xf>
    <xf numFmtId="166" fontId="1" fillId="2" borderId="4" xfId="13" applyNumberFormat="1" applyFill="1" applyBorder="1" applyAlignment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7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7" xfId="13" applyNumberFormat="1" applyFont="1" applyFill="1" applyBorder="1" applyProtection="1">
      <protection hidden="1"/>
    </xf>
    <xf numFmtId="169" fontId="5" fillId="2" borderId="8" xfId="13" applyNumberFormat="1" applyFont="1" applyFill="1" applyBorder="1" applyAlignment="1" applyProtection="1">
      <alignment horizontal="center"/>
      <protection hidden="1"/>
    </xf>
    <xf numFmtId="0" fontId="5" fillId="2" borderId="8" xfId="13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Alignment="1" applyProtection="1">
      <alignment horizontal="center"/>
      <protection hidden="1"/>
    </xf>
    <xf numFmtId="168" fontId="6" fillId="2" borderId="8" xfId="13" applyNumberFormat="1" applyFont="1" applyFill="1" applyBorder="1" applyProtection="1">
      <protection hidden="1"/>
    </xf>
    <xf numFmtId="169" fontId="6" fillId="2" borderId="8" xfId="13" applyNumberFormat="1" applyFont="1" applyFill="1" applyBorder="1" applyProtection="1">
      <protection hidden="1"/>
    </xf>
    <xf numFmtId="170" fontId="6" fillId="2" borderId="8" xfId="13" applyNumberFormat="1" applyFont="1" applyFill="1" applyBorder="1" applyProtection="1">
      <protection hidden="1"/>
    </xf>
    <xf numFmtId="170" fontId="6" fillId="2" borderId="9" xfId="13" applyNumberFormat="1" applyFont="1" applyFill="1" applyBorder="1" applyProtection="1">
      <protection hidden="1"/>
    </xf>
    <xf numFmtId="0" fontId="6" fillId="2" borderId="10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1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9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1" xfId="13" applyFont="1" applyFill="1" applyBorder="1" applyProtection="1">
      <protection hidden="1"/>
    </xf>
    <xf numFmtId="168" fontId="5" fillId="2" borderId="8" xfId="13" applyNumberFormat="1" applyFont="1" applyFill="1" applyBorder="1" applyProtection="1"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2" fillId="4" borderId="0" xfId="13" applyNumberFormat="1" applyFont="1" applyFill="1" applyBorder="1" applyAlignment="1" applyProtection="1">
      <alignment horizontal="left"/>
      <protection locked="0"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0" fontId="1" fillId="4" borderId="0" xfId="13" applyFill="1" applyBorder="1" applyAlignment="1" applyProtection="1">
      <alignment horizontal="center"/>
      <protection locked="0" hidden="1"/>
    </xf>
    <xf numFmtId="0" fontId="1" fillId="5" borderId="12" xfId="13" applyFont="1" applyFill="1" applyBorder="1" applyProtection="1">
      <protection hidden="1"/>
    </xf>
    <xf numFmtId="0" fontId="1" fillId="6" borderId="12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0" fillId="2" borderId="0" xfId="0" applyFill="1" applyProtection="1">
      <protection hidden="1"/>
    </xf>
    <xf numFmtId="3" fontId="1" fillId="2" borderId="0" xfId="0" applyNumberFormat="1" applyFont="1" applyFill="1" applyProtection="1">
      <protection hidden="1"/>
    </xf>
    <xf numFmtId="0" fontId="15" fillId="2" borderId="0" xfId="0" applyFont="1" applyFill="1" applyProtection="1">
      <protection hidden="1"/>
    </xf>
    <xf numFmtId="18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167" fontId="0" fillId="2" borderId="0" xfId="0" applyNumberFormat="1" applyFill="1" applyBorder="1" applyAlignment="1" applyProtection="1">
      <alignment horizontal="left"/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69" fontId="5" fillId="2" borderId="8" xfId="0" applyNumberFormat="1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168" fontId="6" fillId="2" borderId="8" xfId="0" applyNumberFormat="1" applyFont="1" applyFill="1" applyBorder="1" applyProtection="1">
      <protection hidden="1"/>
    </xf>
    <xf numFmtId="169" fontId="6" fillId="2" borderId="8" xfId="0" applyNumberFormat="1" applyFont="1" applyFill="1" applyBorder="1" applyProtection="1">
      <protection hidden="1"/>
    </xf>
    <xf numFmtId="170" fontId="6" fillId="2" borderId="8" xfId="0" applyNumberFormat="1" applyFont="1" applyFill="1" applyBorder="1" applyProtection="1">
      <protection hidden="1"/>
    </xf>
    <xf numFmtId="170" fontId="6" fillId="2" borderId="9" xfId="0" applyNumberFormat="1" applyFont="1" applyFill="1" applyBorder="1" applyProtection="1">
      <protection hidden="1"/>
    </xf>
    <xf numFmtId="0" fontId="6" fillId="2" borderId="10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11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69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11" xfId="0" applyFont="1" applyFill="1" applyBorder="1" applyProtection="1">
      <protection hidden="1"/>
    </xf>
    <xf numFmtId="168" fontId="5" fillId="2" borderId="8" xfId="0" applyNumberFormat="1" applyFont="1" applyFill="1" applyBorder="1" applyProtection="1">
      <protection hidden="1"/>
    </xf>
    <xf numFmtId="4" fontId="1" fillId="7" borderId="0" xfId="0" applyNumberFormat="1" applyFont="1" applyFill="1" applyProtection="1">
      <protection hidden="1"/>
    </xf>
    <xf numFmtId="0" fontId="0" fillId="7" borderId="0" xfId="0" applyFill="1" applyProtection="1">
      <protection hidden="1"/>
    </xf>
    <xf numFmtId="0" fontId="15" fillId="7" borderId="0" xfId="0" applyFont="1" applyFill="1" applyProtection="1">
      <protection hidden="1"/>
    </xf>
    <xf numFmtId="0" fontId="13" fillId="3" borderId="2" xfId="0" applyFont="1" applyFill="1" applyBorder="1" applyAlignment="1" applyProtection="1">
      <alignment horizontal="left"/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79" fontId="1" fillId="8" borderId="0" xfId="13" applyNumberFormat="1" applyFont="1" applyFill="1" applyBorder="1" applyAlignment="1" applyProtection="1">
      <alignment horizontal="right"/>
      <protection locked="0" hidden="1"/>
    </xf>
    <xf numFmtId="179" fontId="1" fillId="9" borderId="0" xfId="13" applyNumberFormat="1" applyFont="1" applyFill="1" applyBorder="1" applyAlignment="1" applyProtection="1">
      <alignment horizontal="center"/>
      <protection locked="0" hidden="1"/>
    </xf>
    <xf numFmtId="179" fontId="1" fillId="5" borderId="0" xfId="13" applyNumberFormat="1" applyFill="1" applyBorder="1" applyAlignment="1" applyProtection="1">
      <protection locked="0" hidden="1"/>
    </xf>
    <xf numFmtId="179" fontId="1" fillId="10" borderId="0" xfId="13" applyNumberFormat="1" applyFill="1" applyBorder="1" applyAlignment="1" applyProtection="1">
      <protection locked="0" hidden="1"/>
    </xf>
    <xf numFmtId="179" fontId="1" fillId="11" borderId="0" xfId="13" applyNumberFormat="1" applyFont="1" applyFill="1" applyBorder="1" applyAlignment="1" applyProtection="1">
      <alignment horizontal="right"/>
      <protection hidden="1"/>
    </xf>
    <xf numFmtId="0" fontId="0" fillId="12" borderId="0" xfId="0" applyFill="1" applyBorder="1" applyAlignment="1" applyProtection="1">
      <alignment horizontal="center"/>
      <protection locked="0" hidden="1"/>
    </xf>
    <xf numFmtId="0" fontId="1" fillId="12" borderId="0" xfId="13" applyFont="1" applyFill="1" applyBorder="1" applyAlignment="1" applyProtection="1">
      <alignment horizontal="center"/>
      <protection locked="0" hidden="1"/>
    </xf>
    <xf numFmtId="0" fontId="2" fillId="13" borderId="13" xfId="0" applyFont="1" applyFill="1" applyBorder="1" applyAlignment="1" applyProtection="1">
      <alignment horizontal="left"/>
      <protection hidden="1"/>
    </xf>
    <xf numFmtId="166" fontId="1" fillId="11" borderId="12" xfId="0" applyNumberFormat="1" applyFont="1" applyFill="1" applyBorder="1" applyAlignment="1" applyProtection="1">
      <alignment horizontal="left"/>
      <protection hidden="1"/>
    </xf>
    <xf numFmtId="0" fontId="11" fillId="2" borderId="0" xfId="0" applyFont="1" applyFill="1" applyBorder="1" applyAlignment="1" applyProtection="1">
      <alignment horizontal="left"/>
      <protection hidden="1"/>
    </xf>
    <xf numFmtId="0" fontId="1" fillId="11" borderId="12" xfId="0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164" fontId="1" fillId="4" borderId="0" xfId="13" applyNumberFormat="1" applyFill="1" applyBorder="1" applyAlignment="1" applyProtection="1">
      <alignment horizontal="right"/>
      <protection locked="0" hidden="1"/>
    </xf>
    <xf numFmtId="164" fontId="1" fillId="4" borderId="0" xfId="13" applyNumberFormat="1" applyFill="1" applyBorder="1" applyAlignment="1" applyProtection="1">
      <alignment horizontal="right"/>
      <protection locked="0"/>
    </xf>
    <xf numFmtId="164" fontId="11" fillId="4" borderId="0" xfId="0" applyNumberFormat="1" applyFont="1" applyFill="1" applyBorder="1" applyAlignment="1" applyProtection="1">
      <alignment horizontal="right"/>
      <protection locked="0"/>
    </xf>
    <xf numFmtId="179" fontId="1" fillId="11" borderId="12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Border="1" applyAlignment="1" applyProtection="1">
      <alignment horizontal="right"/>
      <protection hidden="1"/>
    </xf>
    <xf numFmtId="179" fontId="1" fillId="5" borderId="12" xfId="13" applyNumberFormat="1" applyFill="1" applyBorder="1" applyAlignment="1" applyProtection="1">
      <alignment horizontal="right"/>
      <protection hidden="1"/>
    </xf>
    <xf numFmtId="179" fontId="1" fillId="13" borderId="13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Alignment="1" applyProtection="1">
      <alignment horizontal="right"/>
      <protection hidden="1"/>
    </xf>
    <xf numFmtId="179" fontId="1" fillId="6" borderId="12" xfId="13" applyNumberFormat="1" applyFill="1" applyBorder="1" applyAlignment="1" applyProtection="1">
      <alignment horizontal="right"/>
      <protection hidden="1"/>
    </xf>
    <xf numFmtId="179" fontId="1" fillId="14" borderId="13" xfId="13" applyNumberFormat="1" applyFill="1" applyBorder="1" applyAlignment="1" applyProtection="1">
      <alignment horizontal="right"/>
      <protection hidden="1"/>
    </xf>
    <xf numFmtId="0" fontId="1" fillId="13" borderId="12" xfId="0" applyFont="1" applyFill="1" applyBorder="1" applyAlignment="1" applyProtection="1">
      <alignment horizontal="left"/>
      <protection hidden="1"/>
    </xf>
    <xf numFmtId="0" fontId="2" fillId="14" borderId="13" xfId="0" applyFont="1" applyFill="1" applyBorder="1" applyAlignment="1" applyProtection="1">
      <alignment horizontal="left"/>
      <protection hidden="1"/>
    </xf>
    <xf numFmtId="0" fontId="1" fillId="3" borderId="2" xfId="13" applyNumberFormat="1" applyFill="1" applyBorder="1" applyAlignment="1" applyProtection="1">
      <protection hidden="1"/>
    </xf>
    <xf numFmtId="166" fontId="1" fillId="3" borderId="2" xfId="13" applyNumberFormat="1" applyFill="1" applyBorder="1" applyAlignment="1" applyProtection="1">
      <protection hidden="1"/>
    </xf>
    <xf numFmtId="0" fontId="1" fillId="0" borderId="0" xfId="13" applyProtection="1">
      <protection hidden="1"/>
    </xf>
    <xf numFmtId="164" fontId="1" fillId="0" borderId="0" xfId="13" applyNumberFormat="1" applyProtection="1">
      <protection hidden="1"/>
    </xf>
    <xf numFmtId="170" fontId="6" fillId="15" borderId="0" xfId="13" applyNumberFormat="1" applyFont="1" applyFill="1" applyBorder="1" applyProtection="1">
      <protection hidden="1"/>
    </xf>
    <xf numFmtId="179" fontId="6" fillId="15" borderId="0" xfId="13" applyNumberFormat="1" applyFont="1" applyFill="1" applyBorder="1" applyProtection="1">
      <protection hidden="1"/>
    </xf>
    <xf numFmtId="167" fontId="1" fillId="0" borderId="0" xfId="13" applyNumberFormat="1" applyProtection="1">
      <protection hidden="1"/>
    </xf>
    <xf numFmtId="181" fontId="6" fillId="15" borderId="0" xfId="13" applyNumberFormat="1" applyFont="1" applyFill="1" applyBorder="1" applyProtection="1">
      <protection hidden="1"/>
    </xf>
    <xf numFmtId="0" fontId="1" fillId="7" borderId="0" xfId="13" applyFill="1" applyBorder="1" applyProtection="1">
      <protection hidden="1"/>
    </xf>
    <xf numFmtId="0" fontId="6" fillId="15" borderId="0" xfId="13" applyFont="1" applyFill="1" applyBorder="1" applyProtection="1">
      <protection hidden="1"/>
    </xf>
    <xf numFmtId="168" fontId="5" fillId="15" borderId="0" xfId="13" applyNumberFormat="1" applyFont="1" applyFill="1" applyBorder="1" applyProtection="1">
      <protection hidden="1"/>
    </xf>
    <xf numFmtId="3" fontId="1" fillId="7" borderId="0" xfId="0" applyNumberFormat="1" applyFont="1" applyFill="1" applyProtection="1">
      <protection hidden="1"/>
    </xf>
    <xf numFmtId="3" fontId="3" fillId="7" borderId="0" xfId="9" applyNumberFormat="1" applyFill="1" applyAlignment="1" applyProtection="1">
      <protection hidden="1"/>
    </xf>
    <xf numFmtId="167" fontId="1" fillId="7" borderId="0" xfId="0" applyNumberFormat="1" applyFont="1" applyFill="1" applyProtection="1">
      <protection hidden="1"/>
    </xf>
    <xf numFmtId="0" fontId="16" fillId="3" borderId="0" xfId="0" applyFont="1" applyFill="1" applyBorder="1" applyAlignment="1" applyProtection="1">
      <alignment horizontal="left"/>
      <protection hidden="1"/>
    </xf>
    <xf numFmtId="167" fontId="2" fillId="2" borderId="0" xfId="0" applyNumberFormat="1" applyFont="1" applyFill="1" applyBorder="1" applyAlignment="1" applyProtection="1">
      <protection hidden="1"/>
    </xf>
    <xf numFmtId="166" fontId="0" fillId="2" borderId="0" xfId="0" applyNumberFormat="1" applyFill="1" applyBorder="1" applyAlignment="1" applyProtection="1">
      <protection hidden="1"/>
    </xf>
    <xf numFmtId="0" fontId="2" fillId="4" borderId="0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hidden="1"/>
    </xf>
    <xf numFmtId="167" fontId="2" fillId="4" borderId="0" xfId="0" applyNumberFormat="1" applyFont="1" applyFill="1" applyBorder="1" applyAlignment="1" applyProtection="1">
      <protection hidden="1"/>
    </xf>
    <xf numFmtId="166" fontId="0" fillId="4" borderId="0" xfId="0" applyNumberFormat="1" applyFill="1" applyBorder="1" applyAlignment="1" applyProtection="1">
      <protection hidden="1"/>
    </xf>
    <xf numFmtId="167" fontId="0" fillId="4" borderId="0" xfId="0" applyNumberFormat="1" applyFill="1" applyBorder="1" applyAlignment="1" applyProtection="1">
      <protection hidden="1"/>
    </xf>
    <xf numFmtId="179" fontId="0" fillId="4" borderId="0" xfId="0" applyNumberFormat="1" applyFill="1" applyBorder="1" applyAlignment="1" applyProtection="1">
      <alignment horizontal="left"/>
      <protection hidden="1"/>
    </xf>
    <xf numFmtId="165" fontId="2" fillId="4" borderId="0" xfId="0" applyNumberFormat="1" applyFont="1" applyFill="1" applyBorder="1" applyAlignment="1" applyProtection="1">
      <alignment horizontal="left"/>
      <protection hidden="1"/>
    </xf>
    <xf numFmtId="0" fontId="1" fillId="4" borderId="0" xfId="13" applyFill="1" applyProtection="1">
      <protection hidden="1"/>
    </xf>
    <xf numFmtId="165" fontId="0" fillId="4" borderId="0" xfId="0" applyNumberFormat="1" applyFill="1" applyBorder="1" applyAlignment="1" applyProtection="1">
      <alignment horizontal="left"/>
      <protection hidden="1"/>
    </xf>
    <xf numFmtId="0" fontId="11" fillId="16" borderId="0" xfId="0" applyFont="1" applyFill="1" applyBorder="1" applyAlignment="1" applyProtection="1">
      <alignment horizontal="left"/>
      <protection hidden="1"/>
    </xf>
    <xf numFmtId="165" fontId="11" fillId="16" borderId="0" xfId="0" applyNumberFormat="1" applyFont="1" applyFill="1" applyBorder="1" applyAlignment="1" applyProtection="1">
      <alignment horizontal="left"/>
      <protection hidden="1"/>
    </xf>
    <xf numFmtId="167" fontId="2" fillId="16" borderId="0" xfId="0" applyNumberFormat="1" applyFont="1" applyFill="1" applyBorder="1" applyAlignment="1" applyProtection="1">
      <protection hidden="1"/>
    </xf>
    <xf numFmtId="166" fontId="11" fillId="16" borderId="0" xfId="0" applyNumberFormat="1" applyFont="1" applyFill="1" applyBorder="1" applyAlignment="1" applyProtection="1">
      <protection hidden="1"/>
    </xf>
    <xf numFmtId="0" fontId="1" fillId="16" borderId="0" xfId="13" applyNumberFormat="1" applyFont="1" applyFill="1" applyBorder="1" applyAlignment="1" applyProtection="1">
      <protection hidden="1"/>
    </xf>
    <xf numFmtId="166" fontId="1" fillId="16" borderId="0" xfId="13" applyNumberFormat="1" applyFont="1" applyFill="1" applyBorder="1" applyAlignment="1" applyProtection="1">
      <protection hidden="1"/>
    </xf>
    <xf numFmtId="0" fontId="1" fillId="16" borderId="0" xfId="13" applyFont="1" applyFill="1" applyBorder="1"/>
    <xf numFmtId="167" fontId="11" fillId="16" borderId="0" xfId="0" applyNumberFormat="1" applyFont="1" applyFill="1" applyBorder="1" applyAlignment="1" applyProtection="1">
      <alignment horizontal="right"/>
      <protection hidden="1"/>
    </xf>
    <xf numFmtId="0" fontId="1" fillId="16" borderId="0" xfId="13" applyFont="1" applyFill="1"/>
    <xf numFmtId="179" fontId="11" fillId="16" borderId="0" xfId="0" applyNumberFormat="1" applyFont="1" applyFill="1" applyBorder="1" applyAlignment="1" applyProtection="1">
      <alignment horizontal="right"/>
      <protection hidden="1"/>
    </xf>
    <xf numFmtId="0" fontId="1" fillId="16" borderId="0" xfId="13" applyFont="1" applyFill="1" applyProtection="1">
      <protection hidden="1"/>
    </xf>
    <xf numFmtId="166" fontId="1" fillId="16" borderId="0" xfId="13" applyNumberFormat="1" applyFont="1" applyFill="1" applyBorder="1" applyAlignment="1"/>
    <xf numFmtId="0" fontId="1" fillId="16" borderId="0" xfId="13" applyFont="1" applyFill="1" applyBorder="1" applyAlignment="1">
      <alignment horizontal="left"/>
    </xf>
    <xf numFmtId="0" fontId="11" fillId="17" borderId="0" xfId="0" applyFont="1" applyFill="1" applyBorder="1" applyAlignment="1" applyProtection="1">
      <alignment horizontal="left"/>
      <protection hidden="1"/>
    </xf>
    <xf numFmtId="0" fontId="19" fillId="17" borderId="0" xfId="0" applyFont="1" applyFill="1" applyBorder="1" applyAlignment="1" applyProtection="1">
      <alignment horizontal="left"/>
      <protection hidden="1"/>
    </xf>
    <xf numFmtId="165" fontId="1" fillId="16" borderId="0" xfId="0" applyNumberFormat="1" applyFont="1" applyFill="1" applyBorder="1" applyAlignment="1" applyProtection="1">
      <protection hidden="1"/>
    </xf>
    <xf numFmtId="167" fontId="1" fillId="16" borderId="0" xfId="0" applyNumberFormat="1" applyFont="1" applyFill="1" applyBorder="1" applyAlignment="1" applyProtection="1">
      <protection hidden="1"/>
    </xf>
    <xf numFmtId="0" fontId="1" fillId="16" borderId="14" xfId="0" applyFont="1" applyFill="1" applyBorder="1" applyAlignment="1" applyProtection="1">
      <alignment horizontal="left"/>
      <protection hidden="1"/>
    </xf>
    <xf numFmtId="0" fontId="11" fillId="16" borderId="15" xfId="0" applyFont="1" applyFill="1" applyBorder="1" applyAlignment="1" applyProtection="1">
      <alignment horizontal="left"/>
      <protection hidden="1"/>
    </xf>
    <xf numFmtId="167" fontId="2" fillId="16" borderId="15" xfId="0" applyNumberFormat="1" applyFont="1" applyFill="1" applyBorder="1" applyAlignment="1" applyProtection="1">
      <protection hidden="1"/>
    </xf>
    <xf numFmtId="166" fontId="11" fillId="16" borderId="15" xfId="0" applyNumberFormat="1" applyFont="1" applyFill="1" applyBorder="1" applyAlignment="1" applyProtection="1">
      <protection hidden="1"/>
    </xf>
    <xf numFmtId="167" fontId="11" fillId="16" borderId="16" xfId="0" applyNumberFormat="1" applyFont="1" applyFill="1" applyBorder="1" applyAlignment="1" applyProtection="1">
      <protection hidden="1"/>
    </xf>
    <xf numFmtId="0" fontId="1" fillId="16" borderId="17" xfId="0" applyFont="1" applyFill="1" applyBorder="1" applyAlignment="1" applyProtection="1">
      <alignment horizontal="left"/>
      <protection hidden="1"/>
    </xf>
    <xf numFmtId="167" fontId="11" fillId="16" borderId="18" xfId="0" applyNumberFormat="1" applyFont="1" applyFill="1" applyBorder="1" applyAlignment="1" applyProtection="1">
      <protection hidden="1"/>
    </xf>
    <xf numFmtId="165" fontId="1" fillId="16" borderId="18" xfId="0" applyNumberFormat="1" applyFont="1" applyFill="1" applyBorder="1" applyProtection="1">
      <protection hidden="1"/>
    </xf>
    <xf numFmtId="0" fontId="2" fillId="16" borderId="17" xfId="0" applyFont="1" applyFill="1" applyBorder="1" applyAlignment="1" applyProtection="1">
      <alignment horizontal="left"/>
      <protection hidden="1"/>
    </xf>
    <xf numFmtId="165" fontId="2" fillId="16" borderId="18" xfId="0" applyNumberFormat="1" applyFont="1" applyFill="1" applyBorder="1" applyProtection="1">
      <protection hidden="1"/>
    </xf>
    <xf numFmtId="0" fontId="2" fillId="16" borderId="19" xfId="0" applyFont="1" applyFill="1" applyBorder="1" applyAlignment="1" applyProtection="1">
      <alignment horizontal="left"/>
      <protection hidden="1"/>
    </xf>
    <xf numFmtId="0" fontId="11" fillId="16" borderId="20" xfId="0" applyFont="1" applyFill="1" applyBorder="1" applyAlignment="1" applyProtection="1">
      <alignment horizontal="left"/>
      <protection hidden="1"/>
    </xf>
    <xf numFmtId="167" fontId="2" fillId="16" borderId="20" xfId="0" applyNumberFormat="1" applyFont="1" applyFill="1" applyBorder="1" applyAlignment="1" applyProtection="1">
      <protection hidden="1"/>
    </xf>
    <xf numFmtId="166" fontId="11" fillId="16" borderId="20" xfId="0" applyNumberFormat="1" applyFont="1" applyFill="1" applyBorder="1" applyAlignment="1" applyProtection="1">
      <protection hidden="1"/>
    </xf>
    <xf numFmtId="167" fontId="11" fillId="16" borderId="20" xfId="0" applyNumberFormat="1" applyFont="1" applyFill="1" applyBorder="1" applyAlignment="1" applyProtection="1">
      <alignment horizontal="right"/>
      <protection hidden="1"/>
    </xf>
    <xf numFmtId="166" fontId="1" fillId="16" borderId="14" xfId="13" applyNumberFormat="1" applyFont="1" applyFill="1" applyBorder="1" applyAlignment="1"/>
    <xf numFmtId="166" fontId="1" fillId="16" borderId="17" xfId="13" applyNumberFormat="1" applyFont="1" applyFill="1" applyBorder="1" applyAlignment="1"/>
    <xf numFmtId="0" fontId="2" fillId="16" borderId="17" xfId="13" applyFont="1" applyFill="1" applyBorder="1" applyAlignment="1" applyProtection="1">
      <alignment horizontal="left"/>
      <protection hidden="1"/>
    </xf>
    <xf numFmtId="0" fontId="1" fillId="16" borderId="17" xfId="13" applyFont="1" applyFill="1" applyBorder="1" applyAlignment="1">
      <alignment horizontal="left"/>
    </xf>
    <xf numFmtId="0" fontId="2" fillId="16" borderId="17" xfId="13" quotePrefix="1" applyFont="1" applyFill="1" applyBorder="1" applyAlignment="1" applyProtection="1">
      <alignment horizontal="left"/>
      <protection hidden="1"/>
    </xf>
    <xf numFmtId="165" fontId="11" fillId="16" borderId="18" xfId="0" applyNumberFormat="1" applyFont="1" applyFill="1" applyBorder="1" applyAlignment="1" applyProtection="1">
      <protection hidden="1"/>
    </xf>
    <xf numFmtId="0" fontId="1" fillId="16" borderId="20" xfId="13" applyFont="1" applyFill="1" applyBorder="1"/>
    <xf numFmtId="165" fontId="11" fillId="18" borderId="0" xfId="0" applyNumberFormat="1" applyFont="1" applyFill="1" applyBorder="1" applyAlignment="1" applyProtection="1">
      <alignment horizontal="left"/>
      <protection hidden="1"/>
    </xf>
    <xf numFmtId="165" fontId="11" fillId="19" borderId="0" xfId="0" applyNumberFormat="1" applyFont="1" applyFill="1" applyBorder="1" applyAlignment="1" applyProtection="1">
      <alignment horizontal="left"/>
      <protection hidden="1"/>
    </xf>
    <xf numFmtId="0" fontId="1" fillId="18" borderId="0" xfId="13" applyFont="1" applyFill="1" applyBorder="1" applyAlignment="1" applyProtection="1">
      <alignment horizontal="center"/>
      <protection locked="0" hidden="1"/>
    </xf>
    <xf numFmtId="165" fontId="1" fillId="18" borderId="0" xfId="0" applyNumberFormat="1" applyFont="1" applyFill="1" applyBorder="1" applyAlignment="1" applyProtection="1">
      <protection hidden="1"/>
    </xf>
    <xf numFmtId="179" fontId="11" fillId="18" borderId="0" xfId="0" applyNumberFormat="1" applyFont="1" applyFill="1" applyBorder="1" applyAlignment="1" applyProtection="1">
      <alignment horizontal="right"/>
      <protection hidden="1"/>
    </xf>
    <xf numFmtId="165" fontId="1" fillId="18" borderId="18" xfId="0" applyNumberFormat="1" applyFont="1" applyFill="1" applyBorder="1" applyProtection="1">
      <protection hidden="1"/>
    </xf>
    <xf numFmtId="165" fontId="1" fillId="20" borderId="0" xfId="0" applyNumberFormat="1" applyFont="1" applyFill="1" applyBorder="1" applyAlignment="1" applyProtection="1">
      <protection hidden="1"/>
    </xf>
    <xf numFmtId="165" fontId="1" fillId="20" borderId="18" xfId="0" applyNumberFormat="1" applyFont="1" applyFill="1" applyBorder="1" applyProtection="1">
      <protection hidden="1"/>
    </xf>
    <xf numFmtId="165" fontId="1" fillId="21" borderId="0" xfId="0" applyNumberFormat="1" applyFont="1" applyFill="1" applyBorder="1" applyAlignment="1" applyProtection="1">
      <protection hidden="1"/>
    </xf>
    <xf numFmtId="165" fontId="1" fillId="21" borderId="18" xfId="0" applyNumberFormat="1" applyFont="1" applyFill="1" applyBorder="1" applyProtection="1">
      <protection hidden="1"/>
    </xf>
    <xf numFmtId="165" fontId="1" fillId="22" borderId="18" xfId="0" applyNumberFormat="1" applyFont="1" applyFill="1" applyBorder="1" applyProtection="1">
      <protection hidden="1"/>
    </xf>
    <xf numFmtId="165" fontId="1" fillId="23" borderId="18" xfId="0" applyNumberFormat="1" applyFont="1" applyFill="1" applyBorder="1" applyProtection="1">
      <protection hidden="1"/>
    </xf>
    <xf numFmtId="165" fontId="2" fillId="24" borderId="21" xfId="0" applyNumberFormat="1" applyFont="1" applyFill="1" applyBorder="1" applyProtection="1">
      <protection hidden="1"/>
    </xf>
    <xf numFmtId="165" fontId="11" fillId="21" borderId="0" xfId="0" applyNumberFormat="1" applyFont="1" applyFill="1" applyBorder="1" applyAlignment="1" applyProtection="1">
      <alignment horizontal="left"/>
      <protection hidden="1"/>
    </xf>
    <xf numFmtId="165" fontId="11" fillId="25" borderId="0" xfId="0" applyNumberFormat="1" applyFont="1" applyFill="1" applyBorder="1" applyAlignment="1" applyProtection="1">
      <alignment horizontal="left"/>
      <protection hidden="1"/>
    </xf>
    <xf numFmtId="165" fontId="11" fillId="18" borderId="18" xfId="0" applyNumberFormat="1" applyFont="1" applyFill="1" applyBorder="1" applyAlignment="1" applyProtection="1">
      <protection hidden="1"/>
    </xf>
    <xf numFmtId="165" fontId="11" fillId="21" borderId="18" xfId="0" applyNumberFormat="1" applyFont="1" applyFill="1" applyBorder="1" applyAlignment="1" applyProtection="1">
      <protection hidden="1"/>
    </xf>
    <xf numFmtId="165" fontId="11" fillId="23" borderId="18" xfId="0" applyNumberFormat="1" applyFont="1" applyFill="1" applyBorder="1" applyAlignment="1" applyProtection="1">
      <protection hidden="1"/>
    </xf>
    <xf numFmtId="165" fontId="11" fillId="22" borderId="18" xfId="0" applyNumberFormat="1" applyFont="1" applyFill="1" applyBorder="1" applyAlignment="1" applyProtection="1">
      <protection hidden="1"/>
    </xf>
    <xf numFmtId="165" fontId="17" fillId="24" borderId="21" xfId="0" applyNumberFormat="1" applyFont="1" applyFill="1" applyBorder="1" applyAlignment="1" applyProtection="1">
      <protection hidden="1"/>
    </xf>
    <xf numFmtId="165" fontId="11" fillId="18" borderId="15" xfId="0" applyNumberFormat="1" applyFont="1" applyFill="1" applyBorder="1" applyAlignment="1" applyProtection="1">
      <alignment horizontal="left"/>
      <protection locked="0" hidden="1"/>
    </xf>
    <xf numFmtId="165" fontId="11" fillId="18" borderId="0" xfId="0" applyNumberFormat="1" applyFont="1" applyFill="1" applyBorder="1" applyAlignment="1" applyProtection="1">
      <alignment horizontal="left"/>
      <protection locked="0" hidden="1"/>
    </xf>
    <xf numFmtId="165" fontId="11" fillId="26" borderId="0" xfId="0" applyNumberFormat="1" applyFont="1" applyFill="1" applyBorder="1" applyAlignment="1" applyProtection="1">
      <alignment horizontal="left"/>
      <protection locked="0" hidden="1"/>
    </xf>
    <xf numFmtId="0" fontId="11" fillId="18" borderId="0" xfId="0" applyFont="1" applyFill="1" applyBorder="1" applyAlignment="1" applyProtection="1">
      <alignment horizontal="center"/>
      <protection locked="0" hidden="1"/>
    </xf>
    <xf numFmtId="165" fontId="1" fillId="25" borderId="0" xfId="0" applyNumberFormat="1" applyFont="1" applyFill="1" applyBorder="1" applyAlignment="1" applyProtection="1">
      <protection locked="0" hidden="1"/>
    </xf>
    <xf numFmtId="0" fontId="11" fillId="25" borderId="0" xfId="0" applyFont="1" applyFill="1" applyBorder="1" applyAlignment="1" applyProtection="1">
      <alignment horizontal="center"/>
      <protection locked="0" hidden="1"/>
    </xf>
    <xf numFmtId="165" fontId="11" fillId="25" borderId="0" xfId="0" applyNumberFormat="1" applyFont="1" applyFill="1" applyBorder="1" applyAlignment="1" applyProtection="1">
      <alignment horizontal="left"/>
      <protection locked="0" hidden="1"/>
    </xf>
    <xf numFmtId="0" fontId="1" fillId="2" borderId="23" xfId="13" applyFill="1" applyBorder="1"/>
    <xf numFmtId="164" fontId="1" fillId="16" borderId="0" xfId="13" applyNumberFormat="1" applyFill="1" applyBorder="1" applyAlignment="1" applyProtection="1">
      <alignment horizontal="righ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PHMHAK.xlsx" TargetMode="External"/><Relationship Id="rId2" Type="http://schemas.openxmlformats.org/officeDocument/2006/relationships/hyperlink" Target="VBIWTVABREYNEPHMHAV.xlsx" TargetMode="External"/><Relationship Id="rId1" Type="http://schemas.openxmlformats.org/officeDocument/2006/relationships/hyperlink" Target="VBIWTVABREYNEPH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TVABREYNEPHM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9"/>
  <sheetViews>
    <sheetView tabSelected="1" zoomScaleNormal="100" workbookViewId="0">
      <selection activeCell="B3" sqref="B3"/>
    </sheetView>
  </sheetViews>
  <sheetFormatPr defaultRowHeight="12.75"/>
  <cols>
    <col min="1" max="1" width="43.7109375" style="2" customWidth="1"/>
    <col min="2" max="2" width="16.85546875" style="2" customWidth="1"/>
    <col min="3" max="3" width="18.28515625" style="2" customWidth="1"/>
    <col min="4" max="4" width="15.42578125" style="2" customWidth="1"/>
    <col min="5" max="5" width="16.7109375" style="2" customWidth="1"/>
    <col min="6" max="6" width="15" style="2" customWidth="1"/>
    <col min="7" max="7" width="15.85546875" style="2" bestFit="1" customWidth="1"/>
    <col min="8" max="16" width="9.140625" style="2"/>
    <col min="17" max="17" width="12.140625" style="2" bestFit="1" customWidth="1"/>
    <col min="18" max="16384" width="9.140625" style="2"/>
  </cols>
  <sheetData>
    <row r="1" spans="1:7" ht="27.75" customHeight="1" thickTop="1">
      <c r="A1" s="83" t="s">
        <v>116</v>
      </c>
      <c r="B1" s="51"/>
      <c r="C1" s="51"/>
      <c r="D1" s="51"/>
      <c r="E1" s="109"/>
      <c r="F1" s="110"/>
      <c r="G1" s="1"/>
    </row>
    <row r="2" spans="1:7">
      <c r="A2" s="3"/>
      <c r="B2" s="3"/>
      <c r="C2" s="3"/>
      <c r="D2" s="3"/>
      <c r="E2" s="4"/>
      <c r="F2" s="4"/>
      <c r="G2" s="4"/>
    </row>
    <row r="3" spans="1:7">
      <c r="A3" s="3" t="s">
        <v>0</v>
      </c>
      <c r="B3" s="52"/>
      <c r="C3" s="3"/>
      <c r="D3" s="3"/>
      <c r="E3" s="4"/>
      <c r="F3" s="4"/>
      <c r="G3" s="5"/>
    </row>
    <row r="4" spans="1:7">
      <c r="A4" s="84" t="s">
        <v>50</v>
      </c>
      <c r="B4" s="53"/>
      <c r="C4" s="6"/>
      <c r="E4" s="7"/>
      <c r="F4" s="4"/>
    </row>
    <row r="5" spans="1:7">
      <c r="A5" s="3" t="s">
        <v>51</v>
      </c>
      <c r="B5" s="85">
        <v>0</v>
      </c>
      <c r="C5" s="6"/>
      <c r="E5" s="7"/>
      <c r="F5" s="4"/>
    </row>
    <row r="6" spans="1:7">
      <c r="A6" s="3" t="s">
        <v>52</v>
      </c>
      <c r="B6" s="85">
        <v>0</v>
      </c>
      <c r="C6" s="6"/>
      <c r="E6" s="7"/>
      <c r="F6" s="4"/>
    </row>
    <row r="7" spans="1:7">
      <c r="A7" s="3" t="s">
        <v>53</v>
      </c>
      <c r="B7" s="86" t="s">
        <v>62</v>
      </c>
      <c r="C7" s="6"/>
      <c r="E7" s="7"/>
      <c r="F7" s="4"/>
    </row>
    <row r="8" spans="1:7">
      <c r="A8" s="11" t="s">
        <v>54</v>
      </c>
      <c r="B8" s="87">
        <v>0</v>
      </c>
      <c r="C8" s="6"/>
      <c r="D8" s="4"/>
      <c r="E8" s="8"/>
      <c r="F8" s="4"/>
    </row>
    <row r="9" spans="1:7">
      <c r="A9" s="11" t="s">
        <v>55</v>
      </c>
      <c r="B9" s="88">
        <v>0</v>
      </c>
      <c r="C9" s="6"/>
      <c r="D9" s="4"/>
      <c r="E9" s="8"/>
      <c r="F9" s="4"/>
    </row>
    <row r="10" spans="1:7">
      <c r="A10" s="9" t="s">
        <v>56</v>
      </c>
      <c r="B10" s="89">
        <f>IF(B8&lt;B6,B6/2+B5+B9,B6+B5+B9)</f>
        <v>0</v>
      </c>
      <c r="C10" s="10"/>
      <c r="D10" s="4"/>
      <c r="E10" s="8"/>
      <c r="F10" s="4"/>
    </row>
    <row r="11" spans="1:7" ht="15">
      <c r="A11" s="16" t="s">
        <v>57</v>
      </c>
      <c r="B11" s="87">
        <v>0</v>
      </c>
      <c r="C11" s="6"/>
      <c r="D11" s="4"/>
      <c r="E11" s="8"/>
      <c r="F11" s="4"/>
    </row>
    <row r="12" spans="1:7" ht="15">
      <c r="A12" s="15" t="s">
        <v>58</v>
      </c>
      <c r="B12" s="90" t="s">
        <v>63</v>
      </c>
      <c r="D12" s="4"/>
      <c r="E12" s="8"/>
      <c r="F12" s="4"/>
    </row>
    <row r="13" spans="1:7" ht="15">
      <c r="A13" s="15" t="s">
        <v>59</v>
      </c>
      <c r="B13" s="90" t="s">
        <v>82</v>
      </c>
      <c r="E13" s="7"/>
      <c r="F13" s="4"/>
    </row>
    <row r="14" spans="1:7" ht="15">
      <c r="A14" s="15" t="s">
        <v>60</v>
      </c>
      <c r="B14" s="90" t="s">
        <v>63</v>
      </c>
      <c r="D14" s="6"/>
      <c r="E14" s="11"/>
      <c r="F14" s="4"/>
      <c r="G14" s="8"/>
    </row>
    <row r="15" spans="1:7">
      <c r="A15" s="10" t="s">
        <v>61</v>
      </c>
      <c r="B15" s="91" t="s">
        <v>63</v>
      </c>
      <c r="E15" s="7"/>
      <c r="F15" s="4"/>
      <c r="G15" s="4"/>
    </row>
    <row r="16" spans="1:7" ht="13.5" thickBot="1">
      <c r="A16" s="12" t="s">
        <v>2</v>
      </c>
      <c r="B16" s="3"/>
      <c r="C16" s="3"/>
      <c r="D16" s="3"/>
      <c r="E16" s="4"/>
      <c r="F16" s="4"/>
      <c r="G16" s="4"/>
    </row>
    <row r="17" spans="1:7" ht="14.25" thickTop="1" thickBot="1">
      <c r="A17" s="92" t="s">
        <v>64</v>
      </c>
      <c r="B17" s="13"/>
      <c r="C17" s="3"/>
      <c r="D17" s="3"/>
      <c r="E17" s="4"/>
      <c r="F17" s="4"/>
      <c r="G17" s="4"/>
    </row>
    <row r="18" spans="1:7" ht="14.25" thickTop="1" thickBot="1">
      <c r="A18" s="3"/>
      <c r="B18" s="3"/>
      <c r="C18" s="3"/>
      <c r="D18" s="3"/>
      <c r="E18" s="4"/>
      <c r="F18" s="4"/>
      <c r="G18" s="4"/>
    </row>
    <row r="19" spans="1:7" ht="14.25" thickTop="1" thickBot="1">
      <c r="A19" s="93" t="s">
        <v>65</v>
      </c>
      <c r="B19" s="3"/>
      <c r="C19" s="3"/>
      <c r="E19" s="100">
        <f>IF(AND(B12="oui",B15="oui"),F214-250,F214)</f>
        <v>0</v>
      </c>
      <c r="F19" s="7"/>
    </row>
    <row r="20" spans="1:7" ht="13.5" thickTop="1">
      <c r="A20" s="15" t="s">
        <v>66</v>
      </c>
      <c r="B20" s="6"/>
      <c r="C20" s="6"/>
      <c r="D20" s="96">
        <f>IF(B7="oui",0,F138)</f>
        <v>0</v>
      </c>
      <c r="E20" s="101"/>
      <c r="F20" s="11"/>
      <c r="G20" s="8"/>
    </row>
    <row r="21" spans="1:7">
      <c r="A21" s="10" t="s">
        <v>67</v>
      </c>
      <c r="B21" s="10"/>
      <c r="C21" s="6"/>
      <c r="D21" s="96">
        <f>IF(B7="oui",(B5+B8)*21%,B8*21%)</f>
        <v>0</v>
      </c>
      <c r="E21" s="101"/>
      <c r="F21" s="11"/>
      <c r="G21" s="8"/>
    </row>
    <row r="22" spans="1:7">
      <c r="A22" s="94" t="s">
        <v>68</v>
      </c>
      <c r="B22" s="6"/>
      <c r="C22" s="6"/>
      <c r="D22" s="97">
        <v>0</v>
      </c>
      <c r="E22" s="101"/>
      <c r="F22" s="4"/>
      <c r="G22" s="4"/>
    </row>
    <row r="23" spans="1:7">
      <c r="A23" s="15" t="s">
        <v>69</v>
      </c>
      <c r="B23" s="54">
        <v>0</v>
      </c>
      <c r="C23" s="6"/>
      <c r="D23" s="96">
        <f>B23*30</f>
        <v>0</v>
      </c>
      <c r="E23" s="101"/>
      <c r="F23" s="4"/>
      <c r="G23" s="4"/>
    </row>
    <row r="24" spans="1:7">
      <c r="A24" s="15" t="s">
        <v>70</v>
      </c>
      <c r="B24" s="6"/>
      <c r="C24" s="6"/>
      <c r="D24" s="98">
        <v>770</v>
      </c>
      <c r="E24" s="101"/>
      <c r="F24" s="4"/>
      <c r="G24" s="4"/>
    </row>
    <row r="25" spans="1:7" ht="15.75" thickBot="1">
      <c r="A25" s="15" t="s">
        <v>71</v>
      </c>
      <c r="B25" s="16"/>
      <c r="C25" s="16"/>
      <c r="D25" s="99">
        <v>0</v>
      </c>
      <c r="E25" s="101"/>
      <c r="F25" s="4"/>
      <c r="G25" s="4"/>
    </row>
    <row r="26" spans="1:7" ht="14.25" thickTop="1" thickBot="1">
      <c r="A26" s="95" t="s">
        <v>72</v>
      </c>
      <c r="B26" s="6"/>
      <c r="C26" s="6"/>
      <c r="E26" s="100">
        <f>SUM(D20:D25)</f>
        <v>770</v>
      </c>
      <c r="F26" s="4"/>
      <c r="G26" s="4"/>
    </row>
    <row r="27" spans="1:7" ht="14.25" thickTop="1" thickBot="1">
      <c r="B27" s="6"/>
      <c r="C27" s="6"/>
      <c r="D27" s="55" t="s">
        <v>4</v>
      </c>
      <c r="E27" s="102">
        <f>(E19+D24)*21%</f>
        <v>161.69999999999999</v>
      </c>
      <c r="F27" s="4"/>
      <c r="G27" s="4"/>
    </row>
    <row r="28" spans="1:7" ht="14.25" thickTop="1" thickBot="1">
      <c r="A28" s="17"/>
      <c r="B28" s="6"/>
      <c r="C28" s="6"/>
      <c r="D28" s="18"/>
      <c r="E28" s="101"/>
      <c r="F28" s="4"/>
      <c r="G28" s="4"/>
    </row>
    <row r="29" spans="1:7" ht="14.25" thickTop="1" thickBot="1">
      <c r="A29" s="107" t="s">
        <v>79</v>
      </c>
      <c r="B29" s="20"/>
      <c r="C29" s="6"/>
      <c r="D29" s="21"/>
      <c r="E29" s="103">
        <f>SUM(E19:E27)</f>
        <v>931.7</v>
      </c>
      <c r="F29" s="4"/>
      <c r="G29" s="4"/>
    </row>
    <row r="30" spans="1:7" ht="14.25" thickTop="1" thickBot="1">
      <c r="A30" s="10"/>
      <c r="B30" s="6"/>
      <c r="C30" s="6"/>
      <c r="D30" s="21"/>
      <c r="E30" s="104"/>
      <c r="F30" s="4"/>
      <c r="G30" s="4"/>
    </row>
    <row r="31" spans="1:7" ht="14.25" thickTop="1" thickBot="1">
      <c r="A31" s="108" t="s">
        <v>73</v>
      </c>
      <c r="B31" s="20"/>
      <c r="C31" s="6"/>
      <c r="D31" s="14"/>
      <c r="E31" s="101"/>
      <c r="F31" s="4"/>
      <c r="G31" s="4"/>
    </row>
    <row r="32" spans="1:7" ht="13.5" thickTop="1">
      <c r="A32" s="10"/>
      <c r="B32" s="6"/>
      <c r="C32" s="6"/>
      <c r="D32" s="14"/>
      <c r="E32" s="101"/>
      <c r="F32" s="4"/>
      <c r="G32" s="4"/>
    </row>
    <row r="33" spans="1:7">
      <c r="A33" s="15" t="s">
        <v>75</v>
      </c>
      <c r="B33" s="6"/>
      <c r="C33" s="6"/>
      <c r="D33" s="97">
        <v>0</v>
      </c>
      <c r="E33" s="101"/>
      <c r="F33" s="4"/>
      <c r="G33" s="4"/>
    </row>
    <row r="34" spans="1:7">
      <c r="A34" s="15" t="s">
        <v>76</v>
      </c>
      <c r="B34" s="6"/>
      <c r="C34" s="6"/>
      <c r="D34" s="97">
        <v>0</v>
      </c>
      <c r="E34" s="101"/>
      <c r="F34" s="4"/>
      <c r="G34" s="4"/>
    </row>
    <row r="35" spans="1:7" ht="13.5" thickBot="1">
      <c r="A35" s="15"/>
      <c r="B35" s="6"/>
      <c r="C35" s="6"/>
      <c r="D35" s="202"/>
      <c r="E35" s="101"/>
      <c r="F35" s="4"/>
      <c r="G35" s="4"/>
    </row>
    <row r="36" spans="1:7" ht="14.25" thickTop="1" thickBot="1">
      <c r="A36" s="56" t="s">
        <v>77</v>
      </c>
      <c r="B36" s="6"/>
      <c r="C36" s="6"/>
      <c r="D36" s="201"/>
      <c r="E36" s="105">
        <f>SUM(D33:D35)</f>
        <v>0</v>
      </c>
      <c r="F36" s="4"/>
      <c r="G36" s="8"/>
    </row>
    <row r="37" spans="1:7" ht="14.25" thickTop="1" thickBot="1">
      <c r="A37" s="23"/>
      <c r="B37" s="6"/>
      <c r="C37" s="6"/>
      <c r="D37" s="18"/>
      <c r="E37" s="101"/>
      <c r="F37" s="4"/>
      <c r="G37" s="8"/>
    </row>
    <row r="38" spans="1:7" ht="14.25" thickTop="1" thickBot="1">
      <c r="A38" s="108" t="s">
        <v>78</v>
      </c>
      <c r="B38" s="20"/>
      <c r="C38" s="6"/>
      <c r="D38" s="24"/>
      <c r="E38" s="106">
        <f>SUM(E36:E36)</f>
        <v>0</v>
      </c>
      <c r="F38" s="25"/>
      <c r="G38" s="8"/>
    </row>
    <row r="39" spans="1:7" ht="13.5" thickTop="1">
      <c r="A39" s="84"/>
      <c r="B39" s="6"/>
      <c r="C39" s="6"/>
      <c r="D39" s="6"/>
      <c r="E39" s="101"/>
      <c r="F39" s="4"/>
      <c r="G39" s="8"/>
    </row>
    <row r="40" spans="1:7" ht="18">
      <c r="A40" s="123" t="s">
        <v>112</v>
      </c>
      <c r="B40" s="16"/>
      <c r="C40" s="16"/>
      <c r="D40" s="16"/>
      <c r="E40" s="124"/>
      <c r="F40" s="125"/>
      <c r="G40" s="7"/>
    </row>
    <row r="41" spans="1:7" ht="15.75" thickBot="1">
      <c r="A41" s="84"/>
      <c r="B41" s="16"/>
      <c r="C41" s="16"/>
      <c r="D41" s="16"/>
      <c r="E41" s="124"/>
      <c r="F41" s="125"/>
      <c r="G41" s="7"/>
    </row>
    <row r="42" spans="1:7" ht="13.5" thickTop="1">
      <c r="A42" s="152" t="s">
        <v>88</v>
      </c>
      <c r="B42" s="153" t="s">
        <v>89</v>
      </c>
      <c r="C42" s="194">
        <v>0</v>
      </c>
      <c r="D42" s="154"/>
      <c r="E42" s="155"/>
      <c r="F42" s="156"/>
      <c r="G42" s="139"/>
    </row>
    <row r="43" spans="1:7">
      <c r="A43" s="157"/>
      <c r="B43" s="135" t="s">
        <v>90</v>
      </c>
      <c r="C43" s="195">
        <v>0</v>
      </c>
      <c r="D43" s="137"/>
      <c r="E43" s="138"/>
      <c r="F43" s="158"/>
      <c r="G43" s="139"/>
    </row>
    <row r="44" spans="1:7">
      <c r="A44" s="157"/>
      <c r="B44" s="135" t="s">
        <v>91</v>
      </c>
      <c r="C44" s="175">
        <f>SUM(C42:C43)</f>
        <v>0</v>
      </c>
      <c r="D44" s="137"/>
      <c r="E44" s="138"/>
      <c r="F44" s="158"/>
      <c r="G44" s="140"/>
    </row>
    <row r="45" spans="1:7">
      <c r="A45" s="157"/>
      <c r="B45" s="135"/>
      <c r="C45" s="136"/>
      <c r="D45" s="137"/>
      <c r="E45" s="138"/>
      <c r="F45" s="158"/>
      <c r="G45" s="141"/>
    </row>
    <row r="46" spans="1:7">
      <c r="A46" s="157" t="s">
        <v>92</v>
      </c>
      <c r="B46" s="135"/>
      <c r="C46" s="196">
        <v>0</v>
      </c>
      <c r="D46" s="137"/>
      <c r="E46" s="138"/>
      <c r="F46" s="158"/>
      <c r="G46" s="141"/>
    </row>
    <row r="47" spans="1:7">
      <c r="A47" s="157"/>
      <c r="B47" s="135"/>
      <c r="C47" s="135"/>
      <c r="D47" s="137"/>
      <c r="E47" s="138"/>
      <c r="F47" s="158"/>
      <c r="G47" s="141"/>
    </row>
    <row r="48" spans="1:7">
      <c r="A48" s="157" t="s">
        <v>113</v>
      </c>
      <c r="B48" s="197" t="s">
        <v>63</v>
      </c>
      <c r="C48" s="135"/>
      <c r="D48" s="137"/>
      <c r="E48" s="138"/>
      <c r="F48" s="158"/>
      <c r="G48" s="141"/>
    </row>
    <row r="49" spans="1:7">
      <c r="A49" s="157" t="s">
        <v>117</v>
      </c>
      <c r="B49" s="176">
        <v>1</v>
      </c>
      <c r="C49" s="135"/>
      <c r="D49" s="137"/>
      <c r="E49" s="138"/>
      <c r="F49" s="158"/>
      <c r="G49" s="141"/>
    </row>
    <row r="50" spans="1:7">
      <c r="A50" s="157" t="s">
        <v>2</v>
      </c>
      <c r="B50" s="135"/>
      <c r="C50" s="135"/>
      <c r="D50" s="137"/>
      <c r="E50" s="138"/>
      <c r="F50" s="158"/>
      <c r="G50" s="140"/>
    </row>
    <row r="51" spans="1:7">
      <c r="A51" s="157"/>
      <c r="B51" s="135"/>
      <c r="C51" s="137"/>
      <c r="D51" s="138"/>
      <c r="E51" s="142" t="s">
        <v>65</v>
      </c>
      <c r="F51" s="179">
        <f>IF(B48="oui",E260/2+4.239,E260)</f>
        <v>0</v>
      </c>
      <c r="G51" s="143"/>
    </row>
    <row r="52" spans="1:7">
      <c r="A52" s="157" t="s">
        <v>93</v>
      </c>
      <c r="B52" s="135"/>
      <c r="C52" s="177">
        <f>C44/100</f>
        <v>0</v>
      </c>
      <c r="D52" s="138"/>
      <c r="E52" s="142" t="s">
        <v>94</v>
      </c>
      <c r="F52" s="181">
        <f>F51*21/100</f>
        <v>0</v>
      </c>
      <c r="G52" s="143"/>
    </row>
    <row r="53" spans="1:7">
      <c r="A53" s="157" t="s">
        <v>95</v>
      </c>
      <c r="B53" s="135"/>
      <c r="C53" s="198">
        <v>0</v>
      </c>
      <c r="D53" s="138"/>
      <c r="E53" s="142"/>
      <c r="F53" s="159"/>
      <c r="G53" s="143"/>
    </row>
    <row r="54" spans="1:7">
      <c r="A54" s="157"/>
      <c r="B54" s="135"/>
      <c r="C54" s="150"/>
      <c r="D54" s="138"/>
      <c r="E54" s="142"/>
      <c r="F54" s="159"/>
      <c r="G54" s="143"/>
    </row>
    <row r="55" spans="1:7">
      <c r="A55" s="157" t="s">
        <v>96</v>
      </c>
      <c r="B55" s="178">
        <f>C44*0.3%</f>
        <v>0</v>
      </c>
      <c r="C55" s="150"/>
      <c r="D55" s="138"/>
      <c r="E55" s="142"/>
      <c r="F55" s="159"/>
      <c r="G55" s="143"/>
    </row>
    <row r="56" spans="1:7">
      <c r="A56" s="157" t="s">
        <v>97</v>
      </c>
      <c r="B56" s="178">
        <f>A107*B49</f>
        <v>87.31</v>
      </c>
      <c r="C56" s="150"/>
      <c r="D56" s="138"/>
      <c r="E56" s="142"/>
      <c r="F56" s="159"/>
      <c r="G56" s="143"/>
    </row>
    <row r="57" spans="1:7">
      <c r="A57" s="157" t="s">
        <v>98</v>
      </c>
      <c r="B57" s="144"/>
      <c r="C57" s="177">
        <f>IF((D218-B55-B56)&lt;22,D218+50,D218)</f>
        <v>150</v>
      </c>
      <c r="D57" s="138"/>
      <c r="E57" s="142"/>
      <c r="F57" s="159"/>
      <c r="G57" s="143"/>
    </row>
    <row r="58" spans="1:7">
      <c r="A58" s="157"/>
      <c r="B58" s="144"/>
      <c r="C58" s="150"/>
      <c r="D58" s="138"/>
      <c r="E58" s="142"/>
      <c r="F58" s="159"/>
      <c r="G58" s="143"/>
    </row>
    <row r="59" spans="1:7">
      <c r="A59" s="157" t="s">
        <v>99</v>
      </c>
      <c r="B59" s="144"/>
      <c r="C59" s="177">
        <v>50</v>
      </c>
      <c r="D59" s="138"/>
      <c r="E59" s="142"/>
      <c r="F59" s="159"/>
      <c r="G59" s="143"/>
    </row>
    <row r="60" spans="1:7">
      <c r="A60" s="157"/>
      <c r="B60" s="144" t="s">
        <v>94</v>
      </c>
      <c r="C60" s="180">
        <f>C59*21%</f>
        <v>10.5</v>
      </c>
      <c r="D60" s="138"/>
      <c r="E60" s="142"/>
      <c r="F60" s="159"/>
      <c r="G60" s="143"/>
    </row>
    <row r="61" spans="1:7">
      <c r="A61" s="157"/>
      <c r="B61" s="144"/>
      <c r="C61" s="150"/>
      <c r="D61" s="138"/>
      <c r="E61" s="142"/>
      <c r="F61" s="159"/>
      <c r="G61" s="143"/>
    </row>
    <row r="62" spans="1:7">
      <c r="A62" s="157" t="s">
        <v>70</v>
      </c>
      <c r="B62" s="144"/>
      <c r="C62" s="198">
        <v>660</v>
      </c>
      <c r="D62" s="138"/>
      <c r="E62" s="142"/>
      <c r="F62" s="159"/>
      <c r="G62" s="143"/>
    </row>
    <row r="63" spans="1:7">
      <c r="A63" s="157"/>
      <c r="B63" s="144" t="s">
        <v>94</v>
      </c>
      <c r="C63" s="180">
        <f>C62*21%</f>
        <v>138.6</v>
      </c>
      <c r="D63" s="138"/>
      <c r="E63" s="142"/>
      <c r="F63" s="159"/>
      <c r="G63" s="143"/>
    </row>
    <row r="64" spans="1:7">
      <c r="A64" s="157"/>
      <c r="B64" s="144"/>
      <c r="C64" s="150"/>
      <c r="D64" s="138"/>
      <c r="E64" s="142"/>
      <c r="F64" s="159"/>
      <c r="G64" s="143"/>
    </row>
    <row r="65" spans="1:7">
      <c r="A65" s="157" t="s">
        <v>74</v>
      </c>
      <c r="B65" s="144"/>
      <c r="C65" s="198">
        <v>0</v>
      </c>
      <c r="D65" s="138"/>
      <c r="E65" s="142"/>
      <c r="F65" s="159"/>
      <c r="G65" s="143"/>
    </row>
    <row r="66" spans="1:7">
      <c r="A66" s="160"/>
      <c r="B66" s="144" t="s">
        <v>94</v>
      </c>
      <c r="C66" s="180">
        <f>C65*21%</f>
        <v>0</v>
      </c>
      <c r="D66" s="138"/>
      <c r="E66" s="142"/>
      <c r="F66" s="159"/>
      <c r="G66" s="143"/>
    </row>
    <row r="67" spans="1:7">
      <c r="A67" s="160"/>
      <c r="B67" s="144"/>
      <c r="C67" s="150"/>
      <c r="D67" s="138"/>
      <c r="E67" s="142"/>
      <c r="F67" s="159"/>
      <c r="G67" s="143"/>
    </row>
    <row r="68" spans="1:7">
      <c r="A68" s="160"/>
      <c r="B68" s="144" t="s">
        <v>100</v>
      </c>
      <c r="C68" s="182">
        <f>A245</f>
        <v>860</v>
      </c>
      <c r="D68" s="138"/>
      <c r="E68" s="142" t="s">
        <v>101</v>
      </c>
      <c r="F68" s="183">
        <f>F51</f>
        <v>0</v>
      </c>
      <c r="G68" s="143"/>
    </row>
    <row r="69" spans="1:7">
      <c r="A69" s="160"/>
      <c r="B69" s="135"/>
      <c r="C69" s="151"/>
      <c r="D69" s="138"/>
      <c r="E69" s="142" t="s">
        <v>100</v>
      </c>
      <c r="F69" s="183">
        <f>C68</f>
        <v>860</v>
      </c>
      <c r="G69" s="143"/>
    </row>
    <row r="70" spans="1:7">
      <c r="A70" s="160"/>
      <c r="B70" s="135"/>
      <c r="C70" s="137"/>
      <c r="D70" s="138"/>
      <c r="E70" s="142" t="s">
        <v>102</v>
      </c>
      <c r="F70" s="184">
        <f>SUM(F68+C68)</f>
        <v>860</v>
      </c>
      <c r="G70" s="143"/>
    </row>
    <row r="71" spans="1:7">
      <c r="A71" s="160"/>
      <c r="B71" s="135"/>
      <c r="C71" s="137"/>
      <c r="D71" s="138"/>
      <c r="E71" s="142"/>
      <c r="F71" s="159"/>
      <c r="G71" s="143"/>
    </row>
    <row r="72" spans="1:7">
      <c r="A72" s="160"/>
      <c r="B72" s="135"/>
      <c r="C72" s="137"/>
      <c r="D72" s="138"/>
      <c r="E72" s="142" t="s">
        <v>67</v>
      </c>
      <c r="F72" s="185">
        <f>SUM(C60,C63,C66,F52)</f>
        <v>149.1</v>
      </c>
      <c r="G72" s="143"/>
    </row>
    <row r="73" spans="1:7" ht="13.5" thickBot="1">
      <c r="A73" s="160"/>
      <c r="B73" s="135"/>
      <c r="C73" s="137"/>
      <c r="D73" s="138"/>
      <c r="E73" s="142"/>
      <c r="F73" s="161"/>
      <c r="G73" s="143"/>
    </row>
    <row r="74" spans="1:7" ht="14.25" thickTop="1" thickBot="1">
      <c r="A74" s="162"/>
      <c r="B74" s="163"/>
      <c r="C74" s="164"/>
      <c r="D74" s="165"/>
      <c r="E74" s="166" t="s">
        <v>101</v>
      </c>
      <c r="F74" s="186">
        <f>SUM(F70:F72)</f>
        <v>1009.1</v>
      </c>
      <c r="G74" s="143"/>
    </row>
    <row r="75" spans="1:7" ht="13.5" thickTop="1">
      <c r="A75" s="145"/>
      <c r="B75" s="145"/>
      <c r="C75" s="145"/>
      <c r="D75" s="145"/>
      <c r="E75" s="145"/>
      <c r="F75" s="145"/>
      <c r="G75" s="145"/>
    </row>
    <row r="76" spans="1:7" ht="18.75" thickBot="1">
      <c r="A76" s="149" t="s">
        <v>103</v>
      </c>
      <c r="B76" s="148"/>
      <c r="C76" s="135"/>
      <c r="D76" s="135"/>
      <c r="E76" s="137"/>
      <c r="F76" s="138"/>
      <c r="G76" s="145"/>
    </row>
    <row r="77" spans="1:7" ht="13.5" thickTop="1">
      <c r="A77" s="167" t="s">
        <v>89</v>
      </c>
      <c r="B77" s="194">
        <v>0</v>
      </c>
      <c r="C77" s="153"/>
      <c r="D77" s="154"/>
      <c r="E77" s="155"/>
      <c r="F77" s="156"/>
      <c r="G77" s="145"/>
    </row>
    <row r="78" spans="1:7">
      <c r="A78" s="168" t="s">
        <v>90</v>
      </c>
      <c r="B78" s="195">
        <v>0</v>
      </c>
      <c r="C78" s="135"/>
      <c r="D78" s="137"/>
      <c r="E78" s="138"/>
      <c r="F78" s="158"/>
      <c r="G78" s="145"/>
    </row>
    <row r="79" spans="1:7">
      <c r="A79" s="168" t="s">
        <v>91</v>
      </c>
      <c r="B79" s="188">
        <f>SUM(B77:B78)</f>
        <v>0</v>
      </c>
      <c r="C79" s="135"/>
      <c r="D79" s="137"/>
      <c r="E79" s="138"/>
      <c r="F79" s="158"/>
      <c r="G79" s="145"/>
    </row>
    <row r="80" spans="1:7">
      <c r="A80" s="169"/>
      <c r="B80" s="135"/>
      <c r="C80" s="135"/>
      <c r="D80" s="137"/>
      <c r="E80" s="138"/>
      <c r="F80" s="158"/>
      <c r="G80" s="145"/>
    </row>
    <row r="81" spans="1:7">
      <c r="A81" s="170" t="s">
        <v>104</v>
      </c>
      <c r="B81" s="199">
        <v>1</v>
      </c>
      <c r="C81" s="135"/>
      <c r="D81" s="137"/>
      <c r="E81" s="138"/>
      <c r="F81" s="158"/>
      <c r="G81" s="145"/>
    </row>
    <row r="82" spans="1:7">
      <c r="A82" s="171" t="s">
        <v>2</v>
      </c>
      <c r="B82" s="135"/>
      <c r="C82" s="135"/>
      <c r="D82" s="137"/>
      <c r="E82" s="138"/>
      <c r="F82" s="158"/>
      <c r="G82" s="145"/>
    </row>
    <row r="83" spans="1:7">
      <c r="A83" s="170" t="s">
        <v>99</v>
      </c>
      <c r="B83" s="135"/>
      <c r="C83" s="174">
        <v>50</v>
      </c>
      <c r="D83" s="137"/>
      <c r="E83" s="146" t="s">
        <v>105</v>
      </c>
      <c r="F83" s="189">
        <f>I119</f>
        <v>0</v>
      </c>
      <c r="G83" s="145"/>
    </row>
    <row r="84" spans="1:7">
      <c r="A84" s="170" t="s">
        <v>93</v>
      </c>
      <c r="B84" s="135"/>
      <c r="C84" s="174">
        <v>50</v>
      </c>
      <c r="D84" s="137"/>
      <c r="E84" s="140"/>
      <c r="F84" s="172"/>
      <c r="G84" s="145"/>
    </row>
    <row r="85" spans="1:7">
      <c r="A85" s="170" t="s">
        <v>95</v>
      </c>
      <c r="B85" s="135"/>
      <c r="C85" s="200">
        <v>0</v>
      </c>
      <c r="D85" s="137"/>
      <c r="E85" s="140"/>
      <c r="F85" s="172"/>
      <c r="G85" s="145"/>
    </row>
    <row r="86" spans="1:7">
      <c r="A86" s="170" t="s">
        <v>70</v>
      </c>
      <c r="B86" s="135"/>
      <c r="C86" s="196">
        <f>H104</f>
        <v>185</v>
      </c>
      <c r="D86" s="137"/>
      <c r="E86" s="140"/>
      <c r="F86" s="172"/>
      <c r="G86" s="145"/>
    </row>
    <row r="87" spans="1:7">
      <c r="A87" s="160"/>
      <c r="B87" s="135"/>
      <c r="C87" s="136"/>
      <c r="D87" s="137"/>
      <c r="E87" s="140"/>
      <c r="F87" s="172"/>
      <c r="G87" s="145"/>
    </row>
    <row r="88" spans="1:7">
      <c r="A88" s="160"/>
      <c r="B88" s="147" t="s">
        <v>100</v>
      </c>
      <c r="C88" s="187">
        <f>SUM(C83:C86)</f>
        <v>285</v>
      </c>
      <c r="D88" s="137"/>
      <c r="E88" s="146" t="s">
        <v>101</v>
      </c>
      <c r="F88" s="190">
        <f>F83</f>
        <v>0</v>
      </c>
      <c r="G88" s="145"/>
    </row>
    <row r="89" spans="1:7">
      <c r="A89" s="160"/>
      <c r="B89" s="135"/>
      <c r="C89" s="135"/>
      <c r="D89" s="137"/>
      <c r="E89" s="146" t="s">
        <v>106</v>
      </c>
      <c r="F89" s="190">
        <f>C88</f>
        <v>285</v>
      </c>
      <c r="G89" s="145"/>
    </row>
    <row r="90" spans="1:7">
      <c r="A90" s="160"/>
      <c r="B90" s="135"/>
      <c r="C90" s="135"/>
      <c r="D90" s="137"/>
      <c r="E90" s="146" t="s">
        <v>102</v>
      </c>
      <c r="F90" s="192">
        <f>SUM(F88+C88)</f>
        <v>285</v>
      </c>
      <c r="G90" s="145"/>
    </row>
    <row r="91" spans="1:7">
      <c r="A91" s="160"/>
      <c r="B91" s="135"/>
      <c r="C91" s="135"/>
      <c r="D91" s="137"/>
      <c r="E91" s="141"/>
      <c r="F91" s="172"/>
      <c r="G91" s="145"/>
    </row>
    <row r="92" spans="1:7">
      <c r="A92" s="160"/>
      <c r="B92" s="135"/>
      <c r="C92" s="135"/>
      <c r="D92" s="137"/>
      <c r="E92" s="141" t="s">
        <v>67</v>
      </c>
      <c r="F92" s="191">
        <f>(C83+C86+F83)*21%</f>
        <v>49.35</v>
      </c>
      <c r="G92" s="145"/>
    </row>
    <row r="93" spans="1:7" ht="13.5" thickBot="1">
      <c r="A93" s="160"/>
      <c r="B93" s="135"/>
      <c r="C93" s="135"/>
      <c r="D93" s="137"/>
      <c r="E93" s="141"/>
      <c r="F93" s="172"/>
      <c r="G93" s="145"/>
    </row>
    <row r="94" spans="1:7" ht="14.25" thickTop="1" thickBot="1">
      <c r="A94" s="162"/>
      <c r="B94" s="163"/>
      <c r="C94" s="163"/>
      <c r="D94" s="164"/>
      <c r="E94" s="173" t="s">
        <v>101</v>
      </c>
      <c r="F94" s="193">
        <f>SUM(F90:F92)</f>
        <v>334.35</v>
      </c>
      <c r="G94" s="145"/>
    </row>
    <row r="95" spans="1:7" ht="13.5" thickTop="1">
      <c r="A95" s="7"/>
      <c r="B95" s="7"/>
      <c r="C95" s="7"/>
      <c r="D95" s="7"/>
      <c r="E95" s="7"/>
      <c r="F95" s="7"/>
      <c r="G95" s="7"/>
    </row>
    <row r="96" spans="1:7">
      <c r="A96" s="7"/>
      <c r="B96" s="27" t="s">
        <v>7</v>
      </c>
      <c r="D96" s="57" t="s">
        <v>8</v>
      </c>
      <c r="E96" s="7"/>
    </row>
    <row r="97" spans="1:23">
      <c r="A97" s="7"/>
      <c r="B97" s="7"/>
      <c r="C97" s="7"/>
      <c r="D97" s="21"/>
      <c r="E97" s="7"/>
      <c r="F97" s="22"/>
      <c r="G97" s="7"/>
    </row>
    <row r="98" spans="1:23">
      <c r="A98" s="7"/>
      <c r="B98" s="26" t="s">
        <v>5</v>
      </c>
      <c r="D98" s="26" t="s">
        <v>6</v>
      </c>
      <c r="E98" s="7"/>
      <c r="F98" s="21"/>
      <c r="G98" s="19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</row>
    <row r="99" spans="1:23">
      <c r="A99" s="7"/>
      <c r="B99" s="29"/>
      <c r="C99" s="29"/>
      <c r="D99" s="29"/>
      <c r="E99" s="7"/>
      <c r="F99" s="30"/>
      <c r="G99" s="29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</row>
    <row r="100" spans="1:23" ht="14.25">
      <c r="B100" s="28"/>
      <c r="C100" s="26" t="s">
        <v>118</v>
      </c>
      <c r="D100" s="31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</row>
    <row r="101" spans="1:23" ht="14.25" hidden="1">
      <c r="B101" s="28"/>
      <c r="C101" s="26"/>
      <c r="D101" s="31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</row>
    <row r="102" spans="1:23" ht="15" hidden="1">
      <c r="A102" s="120"/>
      <c r="B102" s="121"/>
      <c r="C102" s="121"/>
      <c r="D102" s="81"/>
      <c r="E102" s="122"/>
      <c r="F102" s="120"/>
      <c r="G102" s="120"/>
      <c r="H102" s="120">
        <f>IF(B81=1,185,0)</f>
        <v>185</v>
      </c>
      <c r="I102" s="120">
        <f>IF(B81=2,385,0)</f>
        <v>0</v>
      </c>
      <c r="J102" s="120">
        <f>IF(B81&gt;2,(385+(B81-2)*200),0)</f>
        <v>0</v>
      </c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</row>
    <row r="103" spans="1:23" ht="15" hidden="1">
      <c r="A103" s="120"/>
      <c r="B103" s="121"/>
      <c r="C103" s="121"/>
      <c r="D103" s="81"/>
      <c r="E103" s="122"/>
      <c r="F103" s="120"/>
      <c r="G103" s="120"/>
      <c r="H103" s="120"/>
      <c r="I103" s="120"/>
      <c r="J103" s="120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</row>
    <row r="104" spans="1:23" ht="15" hidden="1">
      <c r="A104" s="120"/>
      <c r="B104" s="121"/>
      <c r="C104" s="121"/>
      <c r="D104" s="81"/>
      <c r="E104" s="122"/>
      <c r="F104" s="120"/>
      <c r="G104" s="120"/>
      <c r="H104" s="120">
        <f>SUM(H102:J102)</f>
        <v>185</v>
      </c>
      <c r="I104" s="120"/>
      <c r="J104" s="120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</row>
    <row r="105" spans="1:23" ht="15" hidden="1">
      <c r="A105" s="120"/>
      <c r="B105" s="121"/>
      <c r="C105" s="121"/>
      <c r="D105" s="81"/>
      <c r="E105" s="122"/>
      <c r="F105" s="120"/>
      <c r="G105" s="120"/>
      <c r="H105" s="120"/>
      <c r="I105" s="120"/>
      <c r="J105" s="120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</row>
    <row r="106" spans="1:23" ht="15" hidden="1">
      <c r="A106" s="120"/>
      <c r="B106" s="121"/>
      <c r="C106" s="121"/>
      <c r="D106" s="81"/>
      <c r="E106" s="122"/>
      <c r="F106" s="120"/>
      <c r="G106" s="120"/>
      <c r="H106" s="120"/>
      <c r="I106" s="120"/>
      <c r="J106" s="120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</row>
    <row r="107" spans="1:23" ht="15" hidden="1">
      <c r="A107" s="120">
        <f>(A178+ROUNDDOWN((C42+C43-1)/C179,0)*A179)+20</f>
        <v>87.31</v>
      </c>
      <c r="B107" s="121"/>
      <c r="C107" s="121"/>
      <c r="D107" s="81"/>
      <c r="E107" s="122"/>
      <c r="F107" s="120"/>
      <c r="G107" s="120"/>
      <c r="H107" s="120"/>
      <c r="I107" s="120"/>
      <c r="J107" s="120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</row>
    <row r="108" spans="1:23" hidden="1">
      <c r="A108" s="120" t="s">
        <v>83</v>
      </c>
      <c r="B108" s="120" t="str">
        <f>A79</f>
        <v>Base</v>
      </c>
      <c r="C108" s="120"/>
      <c r="D108" s="120"/>
      <c r="F108" s="120"/>
      <c r="G108" s="120"/>
      <c r="H108" s="120"/>
      <c r="I108" s="120"/>
      <c r="J108" s="120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</row>
    <row r="109" spans="1:23" hidden="1">
      <c r="A109" s="120" t="s">
        <v>11</v>
      </c>
      <c r="B109" s="120" t="s">
        <v>11</v>
      </c>
      <c r="C109" s="120" t="s">
        <v>84</v>
      </c>
      <c r="D109" s="120" t="s">
        <v>85</v>
      </c>
      <c r="F109" s="120"/>
      <c r="G109" s="120"/>
      <c r="H109" s="120"/>
      <c r="I109" s="120"/>
      <c r="J109" s="120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</row>
    <row r="110" spans="1:23" hidden="1">
      <c r="A110" s="120">
        <v>0</v>
      </c>
      <c r="B110" s="120">
        <v>7500</v>
      </c>
      <c r="C110" s="120">
        <v>1.4250000000000001E-2</v>
      </c>
      <c r="D110" s="80">
        <f>IF(B79&lt;B110,B79*C110,B110*C110)</f>
        <v>0</v>
      </c>
      <c r="F110" s="120"/>
      <c r="G110" s="120"/>
      <c r="H110" s="120"/>
      <c r="I110" s="120"/>
      <c r="J110" s="120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</row>
    <row r="111" spans="1:23" hidden="1">
      <c r="A111" s="120">
        <v>7500</v>
      </c>
      <c r="B111" s="120">
        <v>17500</v>
      </c>
      <c r="C111" s="120">
        <v>1.14E-2</v>
      </c>
      <c r="D111" s="80" t="str">
        <f>IF(B79&lt;=A111," ",IF(B79&lt;B111,(B79-B110)*C111,(B111-A111)*C111))</f>
        <v xml:space="preserve"> </v>
      </c>
      <c r="F111" s="120"/>
      <c r="G111" s="120"/>
      <c r="H111" s="120"/>
      <c r="I111" s="120"/>
      <c r="J111" s="120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</row>
    <row r="112" spans="1:23" hidden="1">
      <c r="A112" s="120">
        <v>17500</v>
      </c>
      <c r="B112" s="120">
        <v>30000</v>
      </c>
      <c r="C112" s="120">
        <v>6.8399999999999997E-3</v>
      </c>
      <c r="D112" s="80" t="str">
        <f>IF(B79&lt;=A112," ",IF(B79&lt;B112,(B79-B111)*C112,(B112-A112)*C112))</f>
        <v xml:space="preserve"> </v>
      </c>
      <c r="F112" s="120"/>
      <c r="G112" s="120"/>
      <c r="H112" s="120"/>
      <c r="I112" s="120"/>
      <c r="J112" s="120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</row>
    <row r="113" spans="1:23" hidden="1">
      <c r="A113" s="120">
        <v>30000</v>
      </c>
      <c r="B113" s="120">
        <v>45495</v>
      </c>
      <c r="C113" s="120">
        <v>5.7000000000000002E-3</v>
      </c>
      <c r="D113" s="80" t="str">
        <f>IF(B79&lt;=A113," ",IF(B79&lt;B113,(B79-B112)*C113,(B113-A113)*C113))</f>
        <v xml:space="preserve"> </v>
      </c>
      <c r="F113" s="120"/>
      <c r="G113" s="120"/>
      <c r="H113" s="120"/>
      <c r="I113" s="120"/>
      <c r="J113" s="120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</row>
    <row r="114" spans="1:23" hidden="1">
      <c r="A114" s="120">
        <v>45495</v>
      </c>
      <c r="B114" s="120">
        <v>64095</v>
      </c>
      <c r="C114" s="120">
        <v>4.5599999999999998E-3</v>
      </c>
      <c r="D114" s="80" t="str">
        <f>IF(B79&lt;=A114," ",IF(B79&lt;B114,(B79-B113)*C114,(B114-A114)*C114))</f>
        <v xml:space="preserve"> </v>
      </c>
      <c r="F114" s="120"/>
      <c r="G114" s="120"/>
      <c r="H114" s="120"/>
      <c r="I114" s="120"/>
      <c r="J114" s="120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</row>
    <row r="115" spans="1:23" hidden="1">
      <c r="A115" s="120">
        <v>64095</v>
      </c>
      <c r="B115" s="120">
        <v>250095</v>
      </c>
      <c r="C115" s="120">
        <v>2.2799999999999999E-3</v>
      </c>
      <c r="D115" s="80" t="str">
        <f>IF(B79&lt;=A115," ",IF(B79&lt;B115,(B79-B114)*C115,(B115-A115)*C115))</f>
        <v xml:space="preserve"> </v>
      </c>
      <c r="F115" s="120"/>
      <c r="G115" s="120"/>
      <c r="H115" s="120"/>
      <c r="I115" s="120"/>
      <c r="J115" s="120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</row>
    <row r="116" spans="1:23" hidden="1">
      <c r="A116" s="120">
        <v>250095</v>
      </c>
      <c r="B116" s="120">
        <v>99999999999</v>
      </c>
      <c r="C116" s="120">
        <v>4.5600000000000003E-4</v>
      </c>
      <c r="D116" s="80" t="str">
        <f>IF(B79&lt;=A116," ",IF(B79&lt;B116,(B79-B115)*C116,(B116-A116)*C116))</f>
        <v xml:space="preserve"> </v>
      </c>
      <c r="F116" s="120"/>
      <c r="G116" s="120"/>
      <c r="H116" s="120"/>
      <c r="I116" s="120"/>
      <c r="J116" s="120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</row>
    <row r="117" spans="1:23" hidden="1">
      <c r="A117" s="120"/>
      <c r="B117" s="120"/>
      <c r="C117" s="120"/>
      <c r="D117" s="120"/>
      <c r="E117" s="120"/>
      <c r="F117" s="120"/>
      <c r="G117" s="120"/>
      <c r="H117" s="120"/>
      <c r="I117" s="120"/>
      <c r="J117" s="120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</row>
    <row r="118" spans="1:23" hidden="1">
      <c r="A118" s="120" t="s">
        <v>13</v>
      </c>
      <c r="B118" s="120"/>
      <c r="C118" s="120"/>
      <c r="D118" s="120"/>
      <c r="E118" s="120"/>
      <c r="F118" s="120"/>
      <c r="G118" s="120"/>
      <c r="H118" s="120" t="s">
        <v>86</v>
      </c>
      <c r="I118" s="80">
        <f>SUM(D110:D117)</f>
        <v>0</v>
      </c>
      <c r="J118" s="120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</row>
    <row r="119" spans="1:23" hidden="1">
      <c r="A119" s="120"/>
      <c r="B119" s="120"/>
      <c r="C119" s="120"/>
      <c r="D119" s="120"/>
      <c r="E119" s="120"/>
      <c r="F119" s="120"/>
      <c r="G119" s="120"/>
      <c r="H119" s="120" t="s">
        <v>87</v>
      </c>
      <c r="I119" s="80">
        <f>I118/4</f>
        <v>0</v>
      </c>
      <c r="J119" s="120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</row>
    <row r="120" spans="1:23" ht="14.25" hidden="1">
      <c r="B120" s="28"/>
      <c r="C120" s="26"/>
      <c r="D120" s="31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</row>
    <row r="121" spans="1:23" ht="14.25" hidden="1">
      <c r="B121" s="28"/>
      <c r="C121" s="26"/>
      <c r="D121" s="31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</row>
    <row r="122" spans="1:23" ht="14.25" hidden="1">
      <c r="B122" s="28"/>
      <c r="C122" s="26"/>
      <c r="D122" s="31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</row>
    <row r="123" spans="1:23" ht="14.25" hidden="1">
      <c r="B123" s="28"/>
      <c r="C123" s="26"/>
      <c r="D123" s="31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</row>
    <row r="124" spans="1:23" ht="14.25" hidden="1">
      <c r="B124" s="28"/>
      <c r="C124" s="31"/>
      <c r="D124" s="31"/>
      <c r="E124" s="26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</row>
    <row r="125" spans="1:23" ht="14.25" hidden="1">
      <c r="B125" s="28"/>
      <c r="D125" s="31"/>
      <c r="E125" s="26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</row>
    <row r="126" spans="1:23" ht="15" hidden="1">
      <c r="A126" s="81" t="s">
        <v>82</v>
      </c>
      <c r="B126" s="59"/>
      <c r="C126" s="59" t="s">
        <v>62</v>
      </c>
      <c r="D126" s="59" t="s">
        <v>62</v>
      </c>
      <c r="E126" s="59" t="s">
        <v>62</v>
      </c>
      <c r="F126" s="59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</row>
    <row r="127" spans="1:23" ht="15.75" hidden="1">
      <c r="A127" s="82" t="s">
        <v>14</v>
      </c>
      <c r="B127" s="60"/>
      <c r="C127" s="59" t="s">
        <v>63</v>
      </c>
      <c r="D127" s="59" t="s">
        <v>63</v>
      </c>
      <c r="E127" s="59" t="s">
        <v>63</v>
      </c>
      <c r="F127" s="59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</row>
    <row r="128" spans="1:23" ht="15.75" hidden="1">
      <c r="A128" s="82" t="s">
        <v>15</v>
      </c>
      <c r="B128" s="60"/>
      <c r="C128" s="59"/>
      <c r="D128" s="59"/>
      <c r="E128" s="59"/>
      <c r="F128" s="59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</row>
    <row r="129" spans="1:23" ht="15.75" hidden="1">
      <c r="A129" s="82" t="s">
        <v>16</v>
      </c>
      <c r="B129" s="60"/>
      <c r="C129" s="61">
        <f>B5*12.5/100</f>
        <v>0</v>
      </c>
      <c r="D129" s="59"/>
      <c r="E129" s="59"/>
      <c r="F129" s="59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</row>
    <row r="130" spans="1:23" ht="15.75" hidden="1">
      <c r="A130" s="82" t="s">
        <v>17</v>
      </c>
      <c r="B130" s="60"/>
      <c r="C130" s="62">
        <f>B5*10%</f>
        <v>0</v>
      </c>
      <c r="D130" s="59"/>
      <c r="E130" s="59"/>
      <c r="F130" s="59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</row>
    <row r="131" spans="1:23" ht="15.75" hidden="1">
      <c r="A131" s="82" t="s">
        <v>18</v>
      </c>
      <c r="B131" s="60"/>
      <c r="C131" s="80">
        <f>IF(B5&gt;150000,9000+(B5-150000)*12.5%,B5*6%)</f>
        <v>0</v>
      </c>
      <c r="D131" s="80">
        <f>IF(B5&gt;160000,9600+(B5-160000)*12.5%,B5*6%)</f>
        <v>0</v>
      </c>
      <c r="E131" s="59"/>
      <c r="F131" s="62">
        <f>IF(AND(B12="oui",B13="P.A.",B14="oui"),C132,0)</f>
        <v>0</v>
      </c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</row>
    <row r="132" spans="1:23" ht="15.75" hidden="1">
      <c r="A132" s="82" t="s">
        <v>19</v>
      </c>
      <c r="B132" s="60"/>
      <c r="C132" s="80">
        <f>IF(B5&gt;150000,7500+(B5-150000)*10%,B5*5%)</f>
        <v>0</v>
      </c>
      <c r="D132" s="80">
        <f>IF(B5&gt;160000,8000+(B5-160000)*10%,B5*5%)</f>
        <v>0</v>
      </c>
      <c r="E132" s="59"/>
      <c r="F132" s="62">
        <f>IF(AND(B12="oui",B13="P.A.",B14="non"),C131,0)</f>
        <v>0</v>
      </c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</row>
    <row r="133" spans="1:23" ht="15.75" hidden="1">
      <c r="A133" s="82" t="s">
        <v>20</v>
      </c>
      <c r="B133" s="60"/>
      <c r="C133" s="59"/>
      <c r="D133" s="59"/>
      <c r="E133" s="59"/>
      <c r="F133" s="62">
        <f>IF(AND(B12="non",B14="oui"),C130,0)</f>
        <v>0</v>
      </c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</row>
    <row r="134" spans="1:23" ht="15.75" hidden="1">
      <c r="A134" s="82" t="s">
        <v>21</v>
      </c>
      <c r="B134" s="60"/>
      <c r="C134" s="59"/>
      <c r="D134" s="59"/>
      <c r="E134" s="59"/>
      <c r="F134" s="62">
        <f>IF(AND(B12="non",B14="non"),C129,0)</f>
        <v>0</v>
      </c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</row>
    <row r="135" spans="1:23" ht="15.75" hidden="1">
      <c r="A135" s="82" t="s">
        <v>22</v>
      </c>
      <c r="B135" s="60"/>
      <c r="C135" s="59"/>
      <c r="D135" s="59"/>
      <c r="E135" s="59"/>
      <c r="F135" s="62">
        <f>IF(AND(B12="oui",B13&lt;&gt;"P.A.",B14="oui"),D132,0)</f>
        <v>0</v>
      </c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</row>
    <row r="136" spans="1:23" ht="15.75" hidden="1">
      <c r="A136" s="82" t="s">
        <v>44</v>
      </c>
      <c r="B136" s="60"/>
      <c r="C136" s="59"/>
      <c r="D136" s="59"/>
      <c r="E136" s="59"/>
      <c r="F136" s="62">
        <f>IF(AND(B12="oui",B13&lt;&gt;"P.A.",B14="non"),D131,0)</f>
        <v>0</v>
      </c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</row>
    <row r="137" spans="1:23" ht="15.75" hidden="1">
      <c r="A137" s="82" t="s">
        <v>23</v>
      </c>
      <c r="B137" s="60"/>
      <c r="C137" s="59"/>
      <c r="D137" s="59"/>
      <c r="E137" s="59"/>
      <c r="F137" s="62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</row>
    <row r="138" spans="1:23" ht="15.75" hidden="1">
      <c r="A138" s="82" t="s">
        <v>24</v>
      </c>
      <c r="B138" s="60"/>
      <c r="C138" s="59"/>
      <c r="D138" s="59"/>
      <c r="E138" s="59"/>
      <c r="F138" s="62">
        <f>SUM(F131:F137)</f>
        <v>0</v>
      </c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</row>
    <row r="139" spans="1:23" ht="15.75" hidden="1">
      <c r="A139" s="82" t="s">
        <v>25</v>
      </c>
      <c r="B139" s="60"/>
      <c r="C139" s="59"/>
      <c r="D139" s="59"/>
      <c r="E139" s="59"/>
      <c r="F139" s="59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</row>
    <row r="140" spans="1:23" ht="15.75" hidden="1">
      <c r="A140" s="82" t="s">
        <v>45</v>
      </c>
      <c r="B140" s="60"/>
      <c r="C140" s="59"/>
      <c r="D140" s="59"/>
      <c r="E140" s="59"/>
      <c r="F140" s="59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</row>
    <row r="141" spans="1:23" ht="15.75" hidden="1">
      <c r="A141" s="82" t="s">
        <v>26</v>
      </c>
      <c r="B141" s="60"/>
      <c r="C141" s="59"/>
      <c r="D141" s="59"/>
      <c r="E141" s="59"/>
      <c r="F141" s="59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</row>
    <row r="142" spans="1:23" ht="15.75" hidden="1">
      <c r="A142" s="82" t="s">
        <v>27</v>
      </c>
      <c r="B142" s="60"/>
      <c r="C142" s="59"/>
      <c r="D142" s="59"/>
      <c r="E142" s="59"/>
      <c r="F142" s="59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</row>
    <row r="143" spans="1:23" ht="15.75" hidden="1">
      <c r="A143" s="82" t="s">
        <v>28</v>
      </c>
      <c r="B143" s="60"/>
      <c r="C143" s="59"/>
      <c r="D143" s="59"/>
      <c r="E143" s="59"/>
      <c r="F143" s="59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</row>
    <row r="144" spans="1:23" ht="15.75" hidden="1">
      <c r="A144" s="82" t="s">
        <v>29</v>
      </c>
      <c r="B144" s="59"/>
      <c r="C144" s="59"/>
      <c r="D144" s="59"/>
      <c r="E144" s="59"/>
      <c r="F144" s="59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</row>
    <row r="145" spans="1:23" ht="15.75" hidden="1">
      <c r="A145" s="82" t="s">
        <v>80</v>
      </c>
      <c r="B145" s="59"/>
      <c r="C145" s="59"/>
      <c r="D145" s="59"/>
      <c r="E145" s="59"/>
      <c r="F145" s="59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</row>
    <row r="146" spans="1:23" ht="15.75" hidden="1">
      <c r="A146" s="82" t="s">
        <v>30</v>
      </c>
      <c r="B146" s="59"/>
      <c r="C146" s="59"/>
      <c r="D146" s="59"/>
      <c r="E146" s="59"/>
      <c r="F146" s="59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</row>
    <row r="147" spans="1:23" ht="15.75" hidden="1">
      <c r="A147" s="82" t="s">
        <v>31</v>
      </c>
      <c r="B147" s="59"/>
      <c r="C147" s="59"/>
      <c r="D147" s="59"/>
      <c r="E147" s="59"/>
      <c r="F147" s="59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</row>
    <row r="148" spans="1:23" ht="15.75" hidden="1">
      <c r="A148" s="82" t="s">
        <v>32</v>
      </c>
      <c r="B148" s="59"/>
      <c r="C148" s="59"/>
      <c r="D148" s="59"/>
      <c r="E148" s="59"/>
      <c r="F148" s="59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</row>
    <row r="149" spans="1:23" ht="15.75" hidden="1">
      <c r="A149" s="82" t="s">
        <v>33</v>
      </c>
      <c r="B149" s="59"/>
      <c r="C149" s="59"/>
      <c r="D149" s="59"/>
      <c r="E149" s="59"/>
      <c r="F149" s="59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</row>
    <row r="150" spans="1:23" ht="15.75" hidden="1">
      <c r="A150" s="82" t="s">
        <v>34</v>
      </c>
      <c r="B150" s="59"/>
      <c r="C150" s="59"/>
      <c r="D150" s="59"/>
      <c r="E150" s="59"/>
      <c r="F150" s="59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</row>
    <row r="151" spans="1:23" ht="15.75" hidden="1">
      <c r="A151" s="82" t="s">
        <v>35</v>
      </c>
      <c r="B151" s="63"/>
      <c r="C151" s="59"/>
      <c r="D151" s="59"/>
      <c r="E151" s="59"/>
      <c r="F151" s="59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</row>
    <row r="152" spans="1:23" ht="15.75" hidden="1">
      <c r="A152" s="82" t="s">
        <v>81</v>
      </c>
      <c r="B152" s="63"/>
      <c r="C152" s="59"/>
      <c r="D152" s="59"/>
      <c r="E152" s="59"/>
      <c r="F152" s="59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</row>
    <row r="153" spans="1:23" ht="15.75" hidden="1">
      <c r="A153" s="82" t="s">
        <v>36</v>
      </c>
      <c r="B153" s="59"/>
      <c r="C153" s="59"/>
      <c r="D153" s="59"/>
      <c r="E153" s="59"/>
      <c r="F153" s="59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</row>
    <row r="154" spans="1:23" ht="15.75" hidden="1">
      <c r="A154" s="82" t="s">
        <v>46</v>
      </c>
      <c r="B154" s="59"/>
      <c r="C154" s="59"/>
      <c r="D154" s="59"/>
      <c r="E154" s="59"/>
      <c r="F154" s="59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</row>
    <row r="155" spans="1:23" ht="15.75" hidden="1">
      <c r="A155" s="82" t="s">
        <v>47</v>
      </c>
      <c r="B155" s="59"/>
      <c r="C155" s="59"/>
      <c r="D155" s="59"/>
      <c r="E155" s="59"/>
      <c r="F155" s="59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</row>
    <row r="156" spans="1:23" ht="15.75" hidden="1">
      <c r="A156" s="82" t="s">
        <v>37</v>
      </c>
      <c r="B156" s="64"/>
      <c r="C156" s="59"/>
      <c r="D156" s="59"/>
      <c r="E156" s="65"/>
      <c r="F156" s="65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</row>
    <row r="157" spans="1:23" ht="15.75" hidden="1">
      <c r="A157" s="82" t="s">
        <v>38</v>
      </c>
      <c r="B157" s="58"/>
      <c r="C157" s="58"/>
      <c r="D157" s="58"/>
      <c r="E157" s="65"/>
      <c r="F157" s="65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</row>
    <row r="158" spans="1:23" ht="15.75" hidden="1">
      <c r="A158" s="82" t="s">
        <v>48</v>
      </c>
      <c r="B158" s="58"/>
      <c r="C158" s="58"/>
      <c r="D158" s="58"/>
      <c r="E158" s="58"/>
      <c r="F158" s="5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</row>
    <row r="159" spans="1:23" ht="15.75" hidden="1">
      <c r="A159" s="82" t="s">
        <v>49</v>
      </c>
      <c r="B159" s="58"/>
      <c r="C159" s="58"/>
      <c r="D159" s="58"/>
      <c r="E159" s="58"/>
      <c r="F159" s="5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</row>
    <row r="160" spans="1:23" ht="15.75" hidden="1">
      <c r="A160" s="82" t="s">
        <v>39</v>
      </c>
      <c r="B160" s="58"/>
      <c r="C160" s="58" t="s">
        <v>9</v>
      </c>
      <c r="D160" s="58" t="s">
        <v>10</v>
      </c>
      <c r="E160" s="58"/>
      <c r="F160" s="5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</row>
    <row r="161" spans="1:23" ht="15.75" hidden="1">
      <c r="A161" s="82" t="s">
        <v>40</v>
      </c>
      <c r="B161" s="58"/>
      <c r="C161" s="58"/>
      <c r="D161" s="58">
        <v>525</v>
      </c>
      <c r="E161" s="58"/>
      <c r="F161" s="5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</row>
    <row r="162" spans="1:23" ht="15.75" hidden="1">
      <c r="A162" s="82" t="s">
        <v>41</v>
      </c>
      <c r="B162" s="58"/>
      <c r="C162" s="58"/>
      <c r="D162" s="58">
        <v>100</v>
      </c>
      <c r="E162" s="58"/>
      <c r="F162" s="5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</row>
    <row r="163" spans="1:23" ht="15.75" hidden="1">
      <c r="A163" s="82" t="s">
        <v>42</v>
      </c>
      <c r="B163" s="58"/>
      <c r="C163" s="58"/>
      <c r="D163" s="58">
        <v>675</v>
      </c>
      <c r="E163" s="58"/>
      <c r="F163" s="5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</row>
    <row r="164" spans="1:23" ht="15.75" hidden="1">
      <c r="A164" s="82" t="s">
        <v>43</v>
      </c>
      <c r="B164" s="58"/>
      <c r="C164" s="58"/>
      <c r="D164" s="58"/>
      <c r="E164" s="58"/>
      <c r="F164" s="5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</row>
    <row r="165" spans="1:23" ht="15" hidden="1">
      <c r="A165" s="58"/>
      <c r="B165" s="58"/>
      <c r="C165" s="58"/>
      <c r="D165" s="58"/>
      <c r="E165" s="58"/>
      <c r="F165" s="5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</row>
    <row r="166" spans="1:23" ht="15" hidden="1">
      <c r="A166" s="58"/>
      <c r="B166" s="58"/>
      <c r="C166" s="58"/>
      <c r="D166" s="58"/>
      <c r="E166" s="58"/>
      <c r="F166" s="5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</row>
    <row r="167" spans="1:23" ht="14.25" hidden="1">
      <c r="A167" s="66" t="s">
        <v>11</v>
      </c>
      <c r="B167" s="66"/>
      <c r="C167" s="66" t="s">
        <v>11</v>
      </c>
      <c r="D167" s="67" t="s">
        <v>12</v>
      </c>
      <c r="E167" s="68"/>
      <c r="F167" s="66" t="s">
        <v>3</v>
      </c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</row>
    <row r="168" spans="1:23" ht="15" hidden="1">
      <c r="A168" s="69">
        <v>0</v>
      </c>
      <c r="B168" s="70"/>
      <c r="C168" s="69">
        <v>7500</v>
      </c>
      <c r="D168" s="71">
        <v>4.5600000000000002E-2</v>
      </c>
      <c r="E168" s="72"/>
      <c r="F168" s="69">
        <f>IF(B10&lt;C168,B10*D168,C168*D168)</f>
        <v>0</v>
      </c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</row>
    <row r="169" spans="1:23" ht="15" hidden="1">
      <c r="A169" s="69">
        <v>7500</v>
      </c>
      <c r="B169" s="70"/>
      <c r="C169" s="69">
        <v>17500</v>
      </c>
      <c r="D169" s="71">
        <v>2.8500000000000001E-2</v>
      </c>
      <c r="E169" s="72"/>
      <c r="F169" s="70" t="str">
        <f>IF(B10&lt;=A169," ",IF(B10&lt;C169,(B10-C168)*D169,(C169-A169)*D169))</f>
        <v xml:space="preserve"> </v>
      </c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</row>
    <row r="170" spans="1:23" ht="15" hidden="1">
      <c r="A170" s="69">
        <v>17500</v>
      </c>
      <c r="B170" s="70"/>
      <c r="C170" s="69">
        <v>30000</v>
      </c>
      <c r="D170" s="71">
        <v>2.2800000000000001E-2</v>
      </c>
      <c r="E170" s="72"/>
      <c r="F170" s="70" t="str">
        <f>IF(B10&lt;=A170," ",IF(B10&lt;C170,(B10-C169)*D170,(C170-A170)*D170))</f>
        <v xml:space="preserve"> </v>
      </c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</row>
    <row r="171" spans="1:23" ht="15" hidden="1">
      <c r="A171" s="69">
        <v>30000</v>
      </c>
      <c r="B171" s="70"/>
      <c r="C171" s="69">
        <v>45495</v>
      </c>
      <c r="D171" s="71">
        <v>1.7100000000000001E-2</v>
      </c>
      <c r="E171" s="72"/>
      <c r="F171" s="70" t="str">
        <f>IF(B10&lt;=A171," ",IF(B10&lt;C171,(B10-C170)*D171,(C171-A171)*D171))</f>
        <v xml:space="preserve"> </v>
      </c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</row>
    <row r="172" spans="1:23" ht="15" hidden="1">
      <c r="A172" s="69">
        <v>45495</v>
      </c>
      <c r="B172" s="70"/>
      <c r="C172" s="69">
        <v>64095</v>
      </c>
      <c r="D172" s="71">
        <v>1.14E-2</v>
      </c>
      <c r="E172" s="72"/>
      <c r="F172" s="70" t="str">
        <f>IF(B10&lt;=A172," ",IF(B10&lt;C172,(B10-C171)*D172,(C172-A172)*D172))</f>
        <v xml:space="preserve"> </v>
      </c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</row>
    <row r="173" spans="1:23" ht="15" hidden="1">
      <c r="A173" s="69">
        <v>64095</v>
      </c>
      <c r="B173" s="70"/>
      <c r="C173" s="69">
        <v>250095</v>
      </c>
      <c r="D173" s="71">
        <v>5.7000000000000002E-3</v>
      </c>
      <c r="E173" s="72"/>
      <c r="F173" s="70" t="str">
        <f>IF(B10&lt;=A173," ",IF(B10&lt;C173,(B10-C172)*D173,(C173-A173)*D173))</f>
        <v xml:space="preserve"> </v>
      </c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</row>
    <row r="174" spans="1:23" ht="15" hidden="1">
      <c r="A174" s="69">
        <v>250095</v>
      </c>
      <c r="B174" s="70"/>
      <c r="C174" s="69">
        <v>999999999</v>
      </c>
      <c r="D174" s="71">
        <v>5.6999999999999998E-4</v>
      </c>
      <c r="E174" s="72"/>
      <c r="F174" s="70" t="str">
        <f>IF(B10&lt;=A174," ",IF(B10&lt;C174,(B10-C173)*D174,(C174-A174)*D174))</f>
        <v xml:space="preserve"> </v>
      </c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</row>
    <row r="175" spans="1:23" ht="15" hidden="1">
      <c r="A175" s="73"/>
      <c r="B175" s="74"/>
      <c r="C175" s="74"/>
      <c r="D175" s="75"/>
      <c r="E175" s="76"/>
      <c r="F175" s="76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</row>
    <row r="176" spans="1:23" ht="15" hidden="1">
      <c r="A176" s="66" t="s">
        <v>13</v>
      </c>
      <c r="B176" s="77"/>
      <c r="C176" s="74"/>
      <c r="D176" s="78"/>
      <c r="E176" s="76"/>
      <c r="F176" s="79">
        <f>SUM(F168:F175)</f>
        <v>0</v>
      </c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</row>
    <row r="177" spans="1:23" hidden="1">
      <c r="A177" s="111" t="s">
        <v>107</v>
      </c>
      <c r="B177" s="111"/>
      <c r="C177" s="111"/>
      <c r="D177" s="111"/>
      <c r="E177" s="111"/>
      <c r="F177" s="111" t="s">
        <v>108</v>
      </c>
      <c r="G177" s="111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</row>
    <row r="178" spans="1:23" hidden="1">
      <c r="A178" s="111">
        <v>67.31</v>
      </c>
      <c r="B178" s="111" t="s">
        <v>109</v>
      </c>
      <c r="C178" s="111">
        <v>25000</v>
      </c>
      <c r="D178" s="111"/>
      <c r="E178" s="111"/>
      <c r="F178" s="111"/>
      <c r="G178" s="111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</row>
    <row r="179" spans="1:23" hidden="1">
      <c r="A179" s="111">
        <v>23.56</v>
      </c>
      <c r="B179" s="111" t="s">
        <v>110</v>
      </c>
      <c r="C179" s="111">
        <v>25000</v>
      </c>
      <c r="D179" s="111" t="s">
        <v>111</v>
      </c>
      <c r="E179" s="111"/>
      <c r="F179" s="111"/>
      <c r="G179" s="111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</row>
    <row r="180" spans="1:23" hidden="1"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</row>
    <row r="181" spans="1:23" hidden="1"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</row>
    <row r="182" spans="1:23" hidden="1"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</row>
    <row r="183" spans="1:23" hidden="1"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</row>
    <row r="184" spans="1:23" hidden="1"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</row>
    <row r="185" spans="1:23" hidden="1"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</row>
    <row r="186" spans="1:23" hidden="1">
      <c r="A186" s="32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</row>
    <row r="187" spans="1:23" hidden="1">
      <c r="B187" s="28"/>
      <c r="C187" s="28"/>
      <c r="D187" s="28"/>
      <c r="E187" s="28"/>
      <c r="F187" s="28"/>
      <c r="G187" s="28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28"/>
      <c r="V187" s="28"/>
      <c r="W187" s="28"/>
    </row>
    <row r="188" spans="1:23" hidden="1">
      <c r="A188" s="34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28"/>
      <c r="V188" s="28"/>
      <c r="W188" s="28"/>
    </row>
    <row r="189" spans="1:23" hidden="1">
      <c r="A189" s="34"/>
      <c r="B189" s="14" t="e">
        <f>IF(#REF!="oui",-1500,0)</f>
        <v>#REF!</v>
      </c>
      <c r="C189" s="33" t="e">
        <f>IF(AND(#REF!="oui",#REF!="oui"),-750,0)</f>
        <v>#REF!</v>
      </c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28"/>
      <c r="V189" s="28"/>
      <c r="W189" s="28"/>
    </row>
    <row r="190" spans="1:23" hidden="1">
      <c r="A190" s="34"/>
      <c r="B190" s="14" t="e">
        <f>IF(#REF!="oui",-750,0)</f>
        <v>#REF!</v>
      </c>
      <c r="C190" s="33" t="e">
        <f>IF(AND(#REF!="non",#REF!="oui"),-1500,0)</f>
        <v>#REF!</v>
      </c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28"/>
      <c r="V190" s="28"/>
      <c r="W190" s="28"/>
    </row>
    <row r="191" spans="1:23" hidden="1">
      <c r="A191" s="34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28"/>
      <c r="V191" s="28"/>
      <c r="W191" s="28"/>
    </row>
    <row r="192" spans="1:23" hidden="1">
      <c r="A192" s="34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28"/>
      <c r="V192" s="28"/>
      <c r="W192" s="28"/>
    </row>
    <row r="193" spans="1:23" ht="13.5" hidden="1" thickBot="1">
      <c r="A193" s="34"/>
      <c r="B193" s="33"/>
      <c r="C193" s="33"/>
      <c r="D193" s="33"/>
      <c r="E193" s="33"/>
      <c r="F193" s="33"/>
      <c r="G193" s="33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</row>
    <row r="194" spans="1:23" ht="13.5" hidden="1" thickBot="1">
      <c r="A194" s="7"/>
      <c r="B194" s="35"/>
      <c r="C194" s="29"/>
      <c r="D194" s="29"/>
      <c r="E194" s="29"/>
      <c r="F194" s="29"/>
      <c r="G194" s="29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</row>
    <row r="195" spans="1:23" ht="13.5" hidden="1" thickBot="1">
      <c r="A195" s="7"/>
      <c r="B195" s="7"/>
      <c r="C195" s="7"/>
      <c r="D195" s="7"/>
      <c r="E195" s="36"/>
      <c r="F195" s="36"/>
      <c r="G195" s="36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1:23" hidden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1:23" hidden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1:23" hidden="1">
      <c r="A198" s="7" t="s">
        <v>1</v>
      </c>
      <c r="B198" s="7"/>
      <c r="C198" s="7" t="s">
        <v>9</v>
      </c>
      <c r="D198" s="7" t="s">
        <v>10</v>
      </c>
      <c r="E198" s="7"/>
      <c r="F198" s="59" t="s">
        <v>62</v>
      </c>
      <c r="G198" s="59" t="s">
        <v>62</v>
      </c>
      <c r="H198" s="59" t="s">
        <v>62</v>
      </c>
      <c r="I198" s="59" t="s">
        <v>62</v>
      </c>
      <c r="J198" s="59" t="s">
        <v>62</v>
      </c>
      <c r="K198" s="59" t="s">
        <v>62</v>
      </c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1:23" hidden="1">
      <c r="A199" s="7"/>
      <c r="B199" s="7"/>
      <c r="C199" s="7"/>
      <c r="D199" s="7">
        <v>525</v>
      </c>
      <c r="E199" s="7"/>
      <c r="F199" s="59" t="s">
        <v>63</v>
      </c>
      <c r="G199" s="59" t="s">
        <v>63</v>
      </c>
      <c r="H199" s="59" t="s">
        <v>63</v>
      </c>
      <c r="I199" s="59" t="s">
        <v>63</v>
      </c>
      <c r="J199" s="59" t="s">
        <v>63</v>
      </c>
      <c r="K199" s="59" t="s">
        <v>63</v>
      </c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1:23" hidden="1">
      <c r="A200" s="7"/>
      <c r="B200" s="7"/>
      <c r="C200" s="7"/>
      <c r="D200" s="7">
        <v>100</v>
      </c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1:23" hidden="1">
      <c r="A201" s="7"/>
      <c r="B201" s="7"/>
      <c r="C201" s="7"/>
      <c r="D201" s="7">
        <v>675</v>
      </c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1:23" hidden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1:23" hidden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spans="1:23" hidden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spans="1:23" ht="14.25" hidden="1">
      <c r="A205" s="37" t="s">
        <v>11</v>
      </c>
      <c r="B205" s="37"/>
      <c r="C205" s="37" t="s">
        <v>11</v>
      </c>
      <c r="D205" s="38" t="s">
        <v>12</v>
      </c>
      <c r="E205" s="39"/>
      <c r="F205" s="37" t="s">
        <v>3</v>
      </c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spans="1:23" ht="15" hidden="1">
      <c r="A206" s="40">
        <v>0</v>
      </c>
      <c r="B206" s="41"/>
      <c r="C206" s="40">
        <v>7500</v>
      </c>
      <c r="D206" s="42">
        <v>4.5600000000000002E-2</v>
      </c>
      <c r="E206" s="43"/>
      <c r="F206" s="40">
        <f>IF($B$10&lt;C206,$B$10*D206,C206*D206)</f>
        <v>0</v>
      </c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spans="1:23" ht="15" hidden="1">
      <c r="A207" s="40">
        <v>7500</v>
      </c>
      <c r="B207" s="41"/>
      <c r="C207" s="40">
        <v>17500</v>
      </c>
      <c r="D207" s="42">
        <v>2.8500000000000001E-2</v>
      </c>
      <c r="E207" s="43"/>
      <c r="F207" s="41" t="str">
        <f t="shared" ref="F207:F212" si="0">IF($B$10&lt;=A207," ",IF($B$10&lt;C207,($B$10-C206)*D207,(C207-A207)*D207))</f>
        <v xml:space="preserve"> </v>
      </c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spans="1:23" ht="15" hidden="1">
      <c r="A208" s="40">
        <v>17500</v>
      </c>
      <c r="B208" s="41"/>
      <c r="C208" s="40">
        <v>30000</v>
      </c>
      <c r="D208" s="42">
        <v>2.2800000000000001E-2</v>
      </c>
      <c r="E208" s="43"/>
      <c r="F208" s="41" t="str">
        <f t="shared" si="0"/>
        <v xml:space="preserve"> </v>
      </c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spans="1:23" ht="15" hidden="1">
      <c r="A209" s="40">
        <v>30000</v>
      </c>
      <c r="B209" s="41"/>
      <c r="C209" s="40">
        <v>45495</v>
      </c>
      <c r="D209" s="42">
        <v>1.7100000000000001E-2</v>
      </c>
      <c r="E209" s="43"/>
      <c r="F209" s="41" t="str">
        <f t="shared" si="0"/>
        <v xml:space="preserve"> </v>
      </c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spans="1:23" ht="15" hidden="1">
      <c r="A210" s="40">
        <v>45495</v>
      </c>
      <c r="B210" s="41"/>
      <c r="C210" s="40">
        <v>64095</v>
      </c>
      <c r="D210" s="42">
        <v>1.14E-2</v>
      </c>
      <c r="E210" s="43"/>
      <c r="F210" s="41" t="str">
        <f t="shared" si="0"/>
        <v xml:space="preserve"> </v>
      </c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spans="1:23" ht="15" hidden="1">
      <c r="A211" s="40">
        <v>64095</v>
      </c>
      <c r="B211" s="41"/>
      <c r="C211" s="40">
        <v>250095</v>
      </c>
      <c r="D211" s="42">
        <v>5.7000000000000002E-3</v>
      </c>
      <c r="E211" s="43"/>
      <c r="F211" s="41" t="str">
        <f t="shared" si="0"/>
        <v xml:space="preserve"> </v>
      </c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spans="1:23" ht="15" hidden="1">
      <c r="A212" s="40">
        <v>250095</v>
      </c>
      <c r="B212" s="41"/>
      <c r="C212" s="40">
        <f>$B$10</f>
        <v>0</v>
      </c>
      <c r="D212" s="42">
        <v>5.6999999999999998E-4</v>
      </c>
      <c r="E212" s="43"/>
      <c r="F212" s="41" t="str">
        <f t="shared" si="0"/>
        <v xml:space="preserve"> </v>
      </c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spans="1:23" ht="15" hidden="1">
      <c r="A213" s="44"/>
      <c r="B213" s="45"/>
      <c r="C213" s="45"/>
      <c r="D213" s="46"/>
      <c r="E213" s="47"/>
      <c r="F213" s="4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spans="1:23" ht="15" hidden="1">
      <c r="A214" s="37" t="s">
        <v>13</v>
      </c>
      <c r="B214" s="48"/>
      <c r="C214" s="45"/>
      <c r="D214" s="49"/>
      <c r="E214" s="47"/>
      <c r="F214" s="50">
        <f>SUM(F206:F213)</f>
        <v>0</v>
      </c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spans="1:23" hidden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spans="1:23" hidden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spans="1:23" hidden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spans="1:23" hidden="1">
      <c r="A218" s="111"/>
      <c r="B218" s="111"/>
      <c r="C218" s="111"/>
      <c r="D218" s="112">
        <f>ROUNDUP(B55+B56,-2)</f>
        <v>100</v>
      </c>
      <c r="E218" s="111"/>
      <c r="F218" s="111"/>
      <c r="G218" s="111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spans="1:23" hidden="1">
      <c r="A219" s="111"/>
      <c r="B219" s="111"/>
      <c r="C219" s="111"/>
      <c r="D219" s="111"/>
      <c r="E219" s="111"/>
      <c r="F219" s="111"/>
      <c r="G219" s="111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spans="1:23" hidden="1">
      <c r="A220" s="111"/>
      <c r="B220" s="111"/>
      <c r="C220" s="111"/>
      <c r="D220" s="111"/>
      <c r="E220" s="111"/>
      <c r="F220" s="111"/>
      <c r="G220" s="111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spans="1:23" hidden="1">
      <c r="A221" s="111"/>
      <c r="B221" s="111"/>
      <c r="C221" s="111"/>
      <c r="D221" s="111"/>
      <c r="E221" s="111"/>
      <c r="F221" s="111"/>
      <c r="G221" s="111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spans="1:23" hidden="1">
      <c r="A222" s="111" t="s">
        <v>83</v>
      </c>
      <c r="B222" s="111"/>
      <c r="C222" s="111">
        <v>0</v>
      </c>
      <c r="D222" s="111"/>
      <c r="E222" s="111"/>
      <c r="F222" s="111"/>
      <c r="G222" s="111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spans="1:23" ht="15" hidden="1">
      <c r="A223" s="111">
        <v>0</v>
      </c>
      <c r="B223" s="111"/>
      <c r="C223" s="111">
        <v>7500</v>
      </c>
      <c r="D223" s="111">
        <v>1.7100000000000001E-2</v>
      </c>
      <c r="E223" s="113"/>
      <c r="F223" s="114">
        <f>IF(C46&lt;C223,C46*D223,C223*D223)</f>
        <v>0</v>
      </c>
      <c r="G223" s="111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spans="1:23" ht="15" hidden="1">
      <c r="A224" s="111">
        <v>7500</v>
      </c>
      <c r="B224" s="111"/>
      <c r="C224" s="111">
        <v>17500</v>
      </c>
      <c r="D224" s="111">
        <v>1.3679999999999999E-2</v>
      </c>
      <c r="E224" s="113"/>
      <c r="F224" s="114" t="str">
        <f>IF(C46&lt;=A224," ",IF(C46&lt;C224,(C46-C223)*D224,(C224-A224)*D224))</f>
        <v xml:space="preserve"> </v>
      </c>
      <c r="G224" s="111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spans="1:23" ht="15" hidden="1">
      <c r="A225" s="111">
        <v>17500</v>
      </c>
      <c r="B225" s="111"/>
      <c r="C225" s="111">
        <v>30000</v>
      </c>
      <c r="D225" s="111">
        <v>9.1199999999999996E-3</v>
      </c>
      <c r="E225" s="113"/>
      <c r="F225" s="114" t="str">
        <f>IF(C46&lt;=A225," ",IF(C46&lt;C225,(C46-C224)*D225,(C225-A225)*D225))</f>
        <v xml:space="preserve"> </v>
      </c>
      <c r="G225" s="111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spans="1:23" ht="15" hidden="1">
      <c r="A226" s="111">
        <v>30000</v>
      </c>
      <c r="B226" s="111"/>
      <c r="C226" s="111">
        <v>45495</v>
      </c>
      <c r="D226" s="111">
        <v>6.8399999999999997E-3</v>
      </c>
      <c r="E226" s="113"/>
      <c r="F226" s="114" t="str">
        <f>IF(C46&lt;=A226," ",IF(C46&lt;C226,(C46-C225)*D226,(C226-A226)*D226))</f>
        <v xml:space="preserve"> </v>
      </c>
      <c r="G226" s="111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spans="1:23" ht="15" hidden="1">
      <c r="A227" s="111">
        <v>45495</v>
      </c>
      <c r="B227" s="111"/>
      <c r="C227" s="111">
        <v>64095</v>
      </c>
      <c r="D227" s="111">
        <v>4.5599999999999998E-3</v>
      </c>
      <c r="E227" s="113"/>
      <c r="F227" s="114" t="str">
        <f>IF(C46&lt;=A227," ",IF(C46&lt;C227,(C46-C226)*D227,(C227-A227)*D227))</f>
        <v xml:space="preserve"> </v>
      </c>
      <c r="G227" s="111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</row>
    <row r="228" spans="1:23" ht="15" hidden="1">
      <c r="A228" s="111">
        <v>64095</v>
      </c>
      <c r="B228" s="111"/>
      <c r="C228" s="111">
        <v>250095</v>
      </c>
      <c r="D228" s="111">
        <v>2.2799999999999999E-3</v>
      </c>
      <c r="E228" s="113"/>
      <c r="F228" s="114" t="str">
        <f>IF(C46&lt;=A228," ",IF(C46&lt;C228,(C46-C227)*D228,(C228-A228)*D228))</f>
        <v xml:space="preserve"> </v>
      </c>
      <c r="G228" s="111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</row>
    <row r="229" spans="1:23" ht="15" hidden="1">
      <c r="A229" s="111">
        <v>250095</v>
      </c>
      <c r="B229" s="111"/>
      <c r="C229" s="115">
        <f>C46</f>
        <v>0</v>
      </c>
      <c r="D229" s="111">
        <v>4.5600000000000003E-4</v>
      </c>
      <c r="E229" s="113"/>
      <c r="F229" s="114" t="str">
        <f>IF(C46&lt;=A229," ",IF(C46&lt;C229,(C46-C228)*D229,(C229-A229)*D229))</f>
        <v xml:space="preserve"> </v>
      </c>
      <c r="G229" s="111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</row>
    <row r="230" spans="1:23" ht="15" hidden="1">
      <c r="A230" s="111">
        <v>10075000</v>
      </c>
      <c r="B230" s="111"/>
      <c r="C230" s="111">
        <v>0</v>
      </c>
      <c r="D230" s="111">
        <v>4.5600000000000003E-4</v>
      </c>
      <c r="E230" s="116" t="str">
        <f>IF($C$130&lt;=A230," E90",IF($C$130&lt;C230,($C$130-C229)*D230,(C230-A230)*D230))</f>
        <v xml:space="preserve"> E90</v>
      </c>
      <c r="F230" s="117"/>
      <c r="G230" s="111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</row>
    <row r="231" spans="1:23" ht="15" hidden="1">
      <c r="A231" s="111"/>
      <c r="B231" s="111"/>
      <c r="C231" s="111"/>
      <c r="D231" s="111"/>
      <c r="E231" s="118"/>
      <c r="F231" s="117"/>
      <c r="G231" s="111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</row>
    <row r="232" spans="1:23" ht="14.25" hidden="1">
      <c r="A232" s="111" t="s">
        <v>13</v>
      </c>
      <c r="B232" s="111"/>
      <c r="C232" s="111"/>
      <c r="D232" s="111"/>
      <c r="E232" s="119">
        <f>SUM(F223:F230)</f>
        <v>0</v>
      </c>
      <c r="F232" s="117"/>
      <c r="G232" s="111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</row>
    <row r="233" spans="1:23" hidden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</row>
    <row r="234" spans="1:23" ht="15" hidden="1">
      <c r="A234" s="126" t="s">
        <v>107</v>
      </c>
      <c r="B234" s="127"/>
      <c r="C234" s="127"/>
      <c r="D234" s="127"/>
      <c r="E234" s="128"/>
      <c r="F234" s="129" t="s">
        <v>108</v>
      </c>
      <c r="G234" s="130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</row>
    <row r="235" spans="1:23" ht="15" hidden="1">
      <c r="A235" s="126">
        <v>67.31</v>
      </c>
      <c r="B235" s="127" t="s">
        <v>109</v>
      </c>
      <c r="C235" s="127">
        <v>25000</v>
      </c>
      <c r="D235" s="127"/>
      <c r="E235" s="128"/>
      <c r="F235" s="129"/>
      <c r="G235" s="130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</row>
    <row r="236" spans="1:23" ht="15" hidden="1">
      <c r="A236" s="126">
        <v>23.56</v>
      </c>
      <c r="B236" s="127" t="s">
        <v>110</v>
      </c>
      <c r="C236" s="127">
        <v>25000</v>
      </c>
      <c r="D236" s="127" t="s">
        <v>111</v>
      </c>
      <c r="E236" s="128"/>
      <c r="F236" s="129"/>
      <c r="G236" s="130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</row>
    <row r="237" spans="1:23" ht="15" hidden="1">
      <c r="A237" s="126"/>
      <c r="B237" s="127"/>
      <c r="C237" s="127"/>
      <c r="D237" s="127"/>
      <c r="E237" s="128"/>
      <c r="F237" s="129"/>
      <c r="G237" s="130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</row>
    <row r="238" spans="1:23" ht="15" hidden="1">
      <c r="A238" s="126"/>
      <c r="B238" s="127"/>
      <c r="C238" s="127"/>
      <c r="D238" s="127"/>
      <c r="E238" s="128"/>
      <c r="F238" s="129"/>
      <c r="G238" s="130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</row>
    <row r="239" spans="1:23" ht="15" hidden="1">
      <c r="A239" s="126"/>
      <c r="B239" s="127"/>
      <c r="C239" s="127"/>
      <c r="D239" s="127"/>
      <c r="E239" s="128"/>
      <c r="F239" s="129"/>
      <c r="G239" s="130">
        <f>SUM(D173,D176)</f>
        <v>5.7000000000000002E-3</v>
      </c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</row>
    <row r="240" spans="1:23" ht="15" hidden="1">
      <c r="A240" s="126" t="s">
        <v>114</v>
      </c>
      <c r="B240" s="127"/>
      <c r="C240" s="127" t="s">
        <v>11</v>
      </c>
      <c r="D240" s="127" t="s">
        <v>115</v>
      </c>
      <c r="E240" s="128"/>
      <c r="F240" s="129"/>
      <c r="G240" s="130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</row>
    <row r="241" spans="1:23" ht="15" hidden="1">
      <c r="A241" s="126"/>
      <c r="B241" s="127"/>
      <c r="C241" s="127">
        <f>D164</f>
        <v>0</v>
      </c>
      <c r="D241" s="127">
        <f>IF(D164=0,575,550)</f>
        <v>575</v>
      </c>
      <c r="E241" s="128"/>
      <c r="F241" s="129"/>
      <c r="G241" s="130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</row>
    <row r="242" spans="1:23" ht="15" hidden="1">
      <c r="A242" s="126"/>
      <c r="B242" s="127"/>
      <c r="C242" s="127"/>
      <c r="D242" s="127"/>
      <c r="E242" s="128"/>
      <c r="F242" s="129"/>
      <c r="G242" s="130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</row>
    <row r="243" spans="1:23" ht="15" hidden="1">
      <c r="A243" s="126"/>
      <c r="B243" s="127"/>
      <c r="C243" s="127"/>
      <c r="D243" s="127"/>
      <c r="E243" s="128"/>
      <c r="F243" s="129"/>
      <c r="G243" s="130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</row>
    <row r="244" spans="1:23" ht="15" hidden="1">
      <c r="A244" s="126"/>
      <c r="B244" s="127"/>
      <c r="C244" s="131">
        <f>ROUNDUP(B55+B56,-2)</f>
        <v>100</v>
      </c>
      <c r="D244" s="127"/>
      <c r="E244" s="128"/>
      <c r="F244" s="129"/>
      <c r="G244" s="130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</row>
    <row r="245" spans="1:23" ht="15" hidden="1">
      <c r="A245" s="132">
        <f>C52+C53+C57+C59+C62+C65</f>
        <v>860</v>
      </c>
      <c r="B245" s="127"/>
      <c r="C245" s="127"/>
      <c r="D245" s="127"/>
      <c r="E245" s="128" t="s">
        <v>62</v>
      </c>
      <c r="F245" s="129"/>
      <c r="G245" s="130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</row>
    <row r="246" spans="1:23" ht="15" hidden="1">
      <c r="A246" s="126"/>
      <c r="B246" s="127"/>
      <c r="C246" s="127"/>
      <c r="D246" s="127"/>
      <c r="E246" s="128" t="s">
        <v>63</v>
      </c>
      <c r="F246" s="129"/>
      <c r="G246" s="130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</row>
    <row r="247" spans="1:23" ht="15" hidden="1">
      <c r="A247" s="126"/>
      <c r="B247" s="127"/>
      <c r="C247" s="127"/>
      <c r="D247" s="127"/>
      <c r="E247" s="128"/>
      <c r="F247" s="129"/>
      <c r="G247" s="133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</row>
    <row r="248" spans="1:23" ht="15" hidden="1">
      <c r="A248" s="126"/>
      <c r="B248" s="127"/>
      <c r="C248" s="127"/>
      <c r="D248" s="127"/>
      <c r="E248" s="128"/>
      <c r="F248" s="129"/>
      <c r="G248" s="133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</row>
    <row r="249" spans="1:23" ht="15" hidden="1">
      <c r="A249" s="126"/>
      <c r="B249" s="127"/>
      <c r="C249" s="127"/>
      <c r="D249" s="127"/>
      <c r="E249" s="128"/>
      <c r="F249" s="129"/>
      <c r="G249" s="133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</row>
    <row r="250" spans="1:23" ht="15" hidden="1">
      <c r="A250" s="126" t="s">
        <v>83</v>
      </c>
      <c r="B250" s="127"/>
      <c r="C250" s="134">
        <f>C46</f>
        <v>0</v>
      </c>
      <c r="D250" s="127"/>
      <c r="E250" s="128"/>
      <c r="F250" s="129"/>
      <c r="G250" s="133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spans="1:23" ht="15" hidden="1">
      <c r="A251" s="126">
        <v>0</v>
      </c>
      <c r="B251" s="127"/>
      <c r="C251" s="127">
        <v>7500</v>
      </c>
      <c r="D251" s="127">
        <v>1.4250000000000001E-2</v>
      </c>
      <c r="E251" s="128"/>
      <c r="F251" s="129">
        <f>IF(C250&lt;C251,C250*D251,C251*D251)</f>
        <v>0</v>
      </c>
      <c r="G251" s="133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</row>
    <row r="252" spans="1:23" ht="15" hidden="1">
      <c r="A252" s="126">
        <v>7500</v>
      </c>
      <c r="B252" s="127"/>
      <c r="C252" s="127">
        <v>17500</v>
      </c>
      <c r="D252" s="127">
        <v>1.14E-2</v>
      </c>
      <c r="E252" s="128"/>
      <c r="F252" s="129" t="str">
        <f>IF(C250&lt;=A252," ",IF(C250&lt;C252,(C250-C251)*D252,(C252-A252)*D252))</f>
        <v xml:space="preserve"> </v>
      </c>
      <c r="G252" s="133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</row>
    <row r="253" spans="1:23" ht="15" hidden="1">
      <c r="A253" s="126">
        <v>17500</v>
      </c>
      <c r="B253" s="127"/>
      <c r="C253" s="127">
        <v>30000</v>
      </c>
      <c r="D253" s="127">
        <v>6.8399999999999997E-3</v>
      </c>
      <c r="E253" s="128"/>
      <c r="F253" s="129" t="str">
        <f>IF(C250&lt;=A253," ",IF(C250&lt;C253,(C250-C252)*D253,(C253-A253)*D253))</f>
        <v xml:space="preserve"> </v>
      </c>
      <c r="G253" s="133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</row>
    <row r="254" spans="1:23" ht="15" hidden="1">
      <c r="A254" s="126">
        <v>30000</v>
      </c>
      <c r="B254" s="127"/>
      <c r="C254" s="127">
        <v>45495</v>
      </c>
      <c r="D254" s="127">
        <v>5.7000000000000002E-3</v>
      </c>
      <c r="E254" s="128"/>
      <c r="F254" s="129" t="str">
        <f>IF(C250&lt;=A254," ",IF(C250&lt;C254,(C250-C253)*D254,(C254-A254)*D254))</f>
        <v xml:space="preserve"> </v>
      </c>
      <c r="G254" s="133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</row>
    <row r="255" spans="1:23" ht="15" hidden="1">
      <c r="A255" s="126">
        <v>45495</v>
      </c>
      <c r="B255" s="127"/>
      <c r="C255" s="127">
        <v>64095</v>
      </c>
      <c r="D255" s="127">
        <v>4.5599999999999998E-3</v>
      </c>
      <c r="E255" s="128"/>
      <c r="F255" s="129" t="str">
        <f>IF(C250&lt;=A255," ",IF(C250&lt;C255,(C250-C254)*D255,(C255-A255)*D255))</f>
        <v xml:space="preserve"> </v>
      </c>
      <c r="G255" s="133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</row>
    <row r="256" spans="1:23" ht="15" hidden="1">
      <c r="A256" s="126">
        <v>64095</v>
      </c>
      <c r="B256" s="127"/>
      <c r="C256" s="127">
        <v>250095</v>
      </c>
      <c r="D256" s="127">
        <v>2.2799999999999999E-3</v>
      </c>
      <c r="E256" s="128"/>
      <c r="F256" s="129" t="str">
        <f>IF(C250&lt;=A256," ",IF(C250&lt;C256,(C250-C255)*D256,(C256-A256)*D256))</f>
        <v xml:space="preserve"> </v>
      </c>
      <c r="G256" s="133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</row>
    <row r="257" spans="1:23" ht="15" hidden="1">
      <c r="A257" s="126">
        <v>250095</v>
      </c>
      <c r="B257" s="127"/>
      <c r="C257" s="127">
        <v>999999999</v>
      </c>
      <c r="D257" s="127">
        <v>4.5600000000000003E-4</v>
      </c>
      <c r="E257" s="128"/>
      <c r="F257" s="129" t="str">
        <f>IF(C250&lt;=A257," ",IF(C250&lt;C257,(C250-C256)*D257,(C257-A257)*D257))</f>
        <v xml:space="preserve"> </v>
      </c>
      <c r="G257" s="133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</row>
    <row r="258" spans="1:23" ht="15" hidden="1">
      <c r="A258" s="126">
        <v>10075000</v>
      </c>
      <c r="B258" s="127"/>
      <c r="C258" s="127" t="str">
        <f>$B$98</f>
        <v>Afrekening koper</v>
      </c>
      <c r="D258" s="127">
        <v>4.5600000000000003E-4</v>
      </c>
      <c r="E258" s="128" t="str">
        <f>IF(C122&lt;=A258,"E90",IF(C122&lt;C258,(C122-C257)*D258,(C258-A258)*D258))</f>
        <v>E90</v>
      </c>
      <c r="F258" s="129"/>
      <c r="G258" s="133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</row>
    <row r="259" spans="1:23" ht="15" hidden="1">
      <c r="A259" s="126"/>
      <c r="B259" s="127"/>
      <c r="C259" s="127"/>
      <c r="D259" s="127"/>
      <c r="E259" s="128"/>
      <c r="F259" s="129"/>
      <c r="G259" s="133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</row>
    <row r="260" spans="1:23" ht="15" hidden="1">
      <c r="A260" s="126" t="s">
        <v>13</v>
      </c>
      <c r="B260" s="127"/>
      <c r="C260" s="127"/>
      <c r="D260" s="127"/>
      <c r="E260" s="128">
        <f>SUM(F251:F258)</f>
        <v>0</v>
      </c>
      <c r="F260" s="129"/>
      <c r="G260" s="133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</row>
    <row r="261" spans="1:23" hidden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</row>
    <row r="262" spans="1:23" hidden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</row>
    <row r="263" spans="1:23" hidden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</row>
    <row r="264" spans="1:23" hidden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</row>
    <row r="265" spans="1:23" hidden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</row>
    <row r="266" spans="1:23" hidden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</row>
    <row r="267" spans="1:23" hidden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</row>
    <row r="268" spans="1:23" hidden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</row>
    <row r="269" spans="1:23" hidden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</row>
    <row r="270" spans="1:23" hidden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</row>
    <row r="271" spans="1:23" hidden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</row>
    <row r="272" spans="1:23" hidden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</row>
    <row r="273" spans="1:23" hidden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</row>
    <row r="274" spans="1:23" hidden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</row>
    <row r="275" spans="1:23" hidden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</row>
    <row r="276" spans="1:23" hidden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</row>
    <row r="277" spans="1:23" hidden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</row>
    <row r="278" spans="1:23" hidden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</row>
    <row r="279" spans="1:23" hidden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</row>
    <row r="280" spans="1:23" hidden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</row>
    <row r="281" spans="1:23" hidden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</row>
    <row r="282" spans="1:23" hidden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</row>
    <row r="283" spans="1:23" hidden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</row>
    <row r="284" spans="1:23" hidden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</row>
    <row r="285" spans="1:23" hidden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</row>
    <row r="286" spans="1:23" hidden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</row>
    <row r="287" spans="1:23" hidden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</row>
    <row r="288" spans="1:23" hidden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</row>
    <row r="289" spans="1:23" hidden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</row>
    <row r="290" spans="1:23" hidden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</row>
    <row r="291" spans="1:23" hidden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</row>
    <row r="292" spans="1:23" hidden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</row>
    <row r="293" spans="1:23" hidden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</row>
    <row r="294" spans="1:23" hidden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</row>
    <row r="295" spans="1:23" hidden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</row>
    <row r="296" spans="1:23" hidden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</row>
    <row r="297" spans="1:23" hidden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</row>
    <row r="298" spans="1:23" hidden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</row>
    <row r="299" spans="1:23" hidden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</row>
    <row r="300" spans="1:23" hidden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</row>
    <row r="301" spans="1:23" hidden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</row>
    <row r="302" spans="1:23" hidden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</row>
    <row r="303" spans="1:23" hidden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</row>
    <row r="304" spans="1:23" hidden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</row>
    <row r="305" spans="1:23" hidden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</row>
    <row r="306" spans="1:23" hidden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</row>
    <row r="307" spans="1:23" hidden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</row>
    <row r="308" spans="1:23" hidden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</row>
    <row r="309" spans="1:23" hidden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</row>
    <row r="310" spans="1:23" hidden="1">
      <c r="A310" s="7"/>
      <c r="B310" s="7"/>
      <c r="C310" s="7"/>
      <c r="D310" s="7"/>
      <c r="E310" s="7"/>
      <c r="F310" s="7"/>
      <c r="G310" s="7"/>
    </row>
    <row r="311" spans="1:23" hidden="1"/>
    <row r="312" spans="1:23" hidden="1"/>
    <row r="313" spans="1:23" hidden="1"/>
    <row r="314" spans="1:23" hidden="1"/>
    <row r="315" spans="1:23" hidden="1"/>
    <row r="316" spans="1:23" hidden="1"/>
    <row r="317" spans="1:23" hidden="1"/>
    <row r="318" spans="1:23" hidden="1"/>
    <row r="319" spans="1:23" hidden="1"/>
    <row r="320" spans="1:23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</sheetData>
  <sheetProtection algorithmName="SHA-512" hashValue="Yi+ezEisrZzTVlLZVsU0vQ4ZEPGVYRn9eZ97w27i3GwPs4jt7XeL9h6wJcVAGZUBob0Dxmz3R7u12JW8rFbiXw==" saltValue="bT1aj+R+Q0a7fKGSBN9L6w==" spinCount="100000" sheet="1" objects="1" scenarios="1"/>
  <phoneticPr fontId="0" type="noConversion"/>
  <dataValidations count="6">
    <dataValidation type="list" allowBlank="1" showInputMessage="1" showErrorMessage="1" sqref="B7">
      <formula1>$K$198:$K$199</formula1>
    </dataValidation>
    <dataValidation type="list" allowBlank="1" showInputMessage="1" showErrorMessage="1" sqref="B12">
      <formula1>C126:C127</formula1>
    </dataValidation>
    <dataValidation type="list" allowBlank="1" showInputMessage="1" showErrorMessage="1" sqref="B13">
      <formula1>A126:A164</formula1>
    </dataValidation>
    <dataValidation type="list" allowBlank="1" showInputMessage="1" showErrorMessage="1" sqref="B15">
      <formula1>E126:E127</formula1>
    </dataValidation>
    <dataValidation type="list" allowBlank="1" showInputMessage="1" showErrorMessage="1" sqref="B14">
      <formula1>D126:D127</formula1>
    </dataValidation>
    <dataValidation type="list" allowBlank="1" showInputMessage="1" showErrorMessage="1" sqref="B48">
      <formula1>$F$191:$F$192</formula1>
    </dataValidation>
  </dataValidations>
  <hyperlinks>
    <hyperlink ref="D96" r:id="rId1"/>
    <hyperlink ref="D98" r:id="rId2"/>
    <hyperlink ref="B98" r:id="rId3"/>
    <hyperlink ref="C100" r:id="rId4"/>
    <hyperlink ref="B96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VBIWTVABREYNEPHMH</vt:lpstr>
      <vt:lpstr>VBIWTVABREYNEPHMH!_1._Zegels_Minuut_Brevet</vt:lpstr>
      <vt:lpstr>VBIWTVABREYNEPHMH!_2._Registratie_Minuut_Brevet</vt:lpstr>
      <vt:lpstr>VBIWTVABREYNEPHMH!_3._Registratie_aanhangsel</vt:lpstr>
      <vt:lpstr>VBIWTVABREYNEPHMH!Aard</vt:lpstr>
      <vt:lpstr>VBIWTVABREYNEPHMH!Afdrukbereik</vt:lpstr>
      <vt:lpstr>VBIWTVABREYNEPHMH!Datum</vt:lpstr>
      <vt:lpstr>VBIWTVABREYNEPHMH!KOSTENFICHE</vt:lpstr>
      <vt:lpstr>VBIWTVABREYNEPHMH!Rep.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2014-12-07T14:56:58Z</dcterms:modified>
</cp:coreProperties>
</file>