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PHMH" sheetId="1" r:id="rId1"/>
  </sheets>
  <definedNames>
    <definedName name="_1._Zegels_Minuut_Brevet" localSheetId="0">VBIBPHMH!$A$15:$F$15</definedName>
    <definedName name="_1._Zegels_Minuut_Brevet">#REF!</definedName>
    <definedName name="_10._Tweede_getuigschrift" localSheetId="0">VBIBPHMH!#REF!</definedName>
    <definedName name="_10._Tweede_getuigschrift">#REF!</definedName>
    <definedName name="_11._Kadaster_uittreksel" localSheetId="0">VBIBPHMH!#REF!</definedName>
    <definedName name="_11._Kadaster_uittreksel">#REF!</definedName>
    <definedName name="_12._Getuigen" localSheetId="0">VBIBPHMH!#REF!</definedName>
    <definedName name="_12._Getuigen">#REF!</definedName>
    <definedName name="_13._Allerlei_uitgaven" localSheetId="0">VBIBPHMH!#REF!</definedName>
    <definedName name="_13._Allerlei_uitgaven">#REF!</definedName>
    <definedName name="_14." localSheetId="0">VBIBPHMH!#REF!</definedName>
    <definedName name="_14.">#REF!</definedName>
    <definedName name="_15." localSheetId="0">VBIBPHMH!#REF!</definedName>
    <definedName name="_15.">#REF!</definedName>
    <definedName name="_2._Registratie_Minuut_Brevet" localSheetId="0">VBIBPHMH!$B$19:$G$19</definedName>
    <definedName name="_2._Registratie_Minuut_Brevet">#REF!</definedName>
    <definedName name="_3._Registratie_aanhangsel" localSheetId="0">VBIBPHMH!$E$20:$G$20</definedName>
    <definedName name="_3._Registratie_aanhangsel">#REF!</definedName>
    <definedName name="_4.Zegels_afschrift_grosse" localSheetId="0">VBIBPHMH!#REF!</definedName>
    <definedName name="_4.Zegels_afschrift_grosse">#REF!</definedName>
    <definedName name="_5._Hypotheek__inschr._overschr._doorh." localSheetId="0">VBIBPHMH!#REF!</definedName>
    <definedName name="_5._Hypotheek__inschr._overschr._doorh.">#REF!</definedName>
    <definedName name="_6._Loon_pandbewaarder" localSheetId="0">VBIBPHMH!#REF!</definedName>
    <definedName name="_6._Loon_pandbewaarder">#REF!</definedName>
    <definedName name="_7._Zegels__bord._aanh." localSheetId="0">VBIBPHMH!#REF!</definedName>
    <definedName name="_7._Zegels__bord._aanh.">#REF!</definedName>
    <definedName name="_8._Opzoekingen" localSheetId="0">VBIBPHMH!#REF!</definedName>
    <definedName name="_8._Opzoekingen">#REF!</definedName>
    <definedName name="_9._Hypothecair_getuigschrift" localSheetId="0">VBIBPHMH!#REF!</definedName>
    <definedName name="_9._Hypothecair_getuigschrift">#REF!</definedName>
    <definedName name="Aard" localSheetId="0">VBIBPHMH!$C$5:$F$5</definedName>
    <definedName name="Aard">#REF!</definedName>
    <definedName name="_xlnm.Print_Area" localSheetId="0">VBIBPHMH!$A$1:$E$189</definedName>
    <definedName name="Datum" localSheetId="0">VBIBPHMH!$B$5:$G$46</definedName>
    <definedName name="Datum">#REF!</definedName>
    <definedName name="gemeentelijke_info">#REF!</definedName>
    <definedName name="Kantoor_van_Notaris_J._SIMONART_te_Leuven" localSheetId="0">VBIBPHMH!#REF!</definedName>
    <definedName name="Kantoor_van_Notaris_J._SIMONART_te_Leuven">#REF!</definedName>
    <definedName name="KOSTENFICHE" localSheetId="0">VBIBPHMH!$A$1:$G$46</definedName>
    <definedName name="KOSTENFICHE">#REF!</definedName>
    <definedName name="Last_Row">IF(Values_Entered,Header_Row+Number_of_Payments,Header_Row)</definedName>
    <definedName name="Naam" localSheetId="0">VBIBPHMH!$C$6:$F$6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VBIBPHMH!$F$5:$F$47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VBIBPHMH!#REF!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VBIBPHMH!$A$4:$G$46</definedName>
  </definedNames>
  <calcPr calcId="145621"/>
</workbook>
</file>

<file path=xl/calcChain.xml><?xml version="1.0" encoding="utf-8"?>
<calcChain xmlns="http://schemas.openxmlformats.org/spreadsheetml/2006/main">
  <c r="D36" i="1" l="1"/>
  <c r="B7" i="1" l="1"/>
  <c r="C206" i="1"/>
  <c r="D17" i="1"/>
  <c r="D18" i="1"/>
  <c r="D20" i="1"/>
  <c r="D53" i="1"/>
  <c r="D64" i="1" s="1"/>
  <c r="E69" i="1"/>
  <c r="E72" i="1"/>
  <c r="E75" i="1"/>
  <c r="C88" i="1"/>
  <c r="E126" i="1" s="1"/>
  <c r="A113" i="1"/>
  <c r="D65" i="1" s="1"/>
  <c r="C113" i="1"/>
  <c r="C115" i="1" s="1"/>
  <c r="D95" i="1" s="1"/>
  <c r="D113" i="1"/>
  <c r="E113" i="1"/>
  <c r="G137" i="1"/>
  <c r="C139" i="1"/>
  <c r="D139" i="1"/>
  <c r="C176" i="1"/>
  <c r="F177" i="1"/>
  <c r="F178" i="1"/>
  <c r="F179" i="1"/>
  <c r="F180" i="1"/>
  <c r="F181" i="1"/>
  <c r="F182" i="1"/>
  <c r="F183" i="1"/>
  <c r="C184" i="1"/>
  <c r="E184" i="1" s="1"/>
  <c r="E202" i="1"/>
  <c r="C205" i="1"/>
  <c r="D16" i="1" s="1"/>
  <c r="E23" i="1" s="1"/>
  <c r="C207" i="1"/>
  <c r="D207" i="1"/>
  <c r="E207" i="1"/>
  <c r="D208" i="1"/>
  <c r="E208" i="1"/>
  <c r="C216" i="1"/>
  <c r="C215" i="1" s="1"/>
  <c r="C213" i="1"/>
  <c r="C212" i="1" s="1"/>
  <c r="C214" i="1"/>
  <c r="E214" i="1"/>
  <c r="F214" i="1"/>
  <c r="E215" i="1"/>
  <c r="F216" i="1"/>
  <c r="E217" i="1"/>
  <c r="E220" i="1"/>
  <c r="E221" i="1"/>
  <c r="F221" i="1"/>
  <c r="E222" i="1"/>
  <c r="F222" i="1"/>
  <c r="E223" i="1"/>
  <c r="F223" i="1"/>
  <c r="B227" i="1"/>
  <c r="C227" i="1"/>
  <c r="B228" i="1"/>
  <c r="C228" i="1"/>
  <c r="F245" i="1"/>
  <c r="F246" i="1"/>
  <c r="F247" i="1"/>
  <c r="F249" i="1"/>
  <c r="C250" i="1"/>
  <c r="F250" i="1"/>
  <c r="F248" i="1"/>
  <c r="F244" i="1"/>
  <c r="F252" i="1" s="1"/>
  <c r="E15" i="1" s="1"/>
  <c r="C208" i="1"/>
  <c r="E121" i="1"/>
  <c r="E127" i="1"/>
  <c r="E224" i="1" l="1"/>
  <c r="D42" i="1" s="1"/>
  <c r="F224" i="1"/>
  <c r="D43" i="1" s="1"/>
  <c r="E186" i="1"/>
  <c r="H60" i="1" s="1"/>
  <c r="H77" i="1" s="1"/>
  <c r="E61" i="1"/>
  <c r="D172" i="1"/>
  <c r="E66" i="1" s="1"/>
  <c r="A143" i="1" s="1"/>
  <c r="E77" i="1" s="1"/>
  <c r="H78" i="1" s="1"/>
  <c r="F215" i="1"/>
  <c r="F217" i="1" s="1"/>
  <c r="D40" i="1" s="1"/>
  <c r="E216" i="1"/>
  <c r="E218" i="1" s="1"/>
  <c r="D39" i="1" s="1"/>
  <c r="G98" i="1"/>
  <c r="D97" i="1"/>
  <c r="E24" i="1"/>
  <c r="E26" i="1" s="1"/>
  <c r="E123" i="1"/>
  <c r="E124" i="1"/>
  <c r="E125" i="1"/>
  <c r="E122" i="1"/>
  <c r="E129" i="1" s="1"/>
  <c r="E130" i="1" s="1"/>
  <c r="G92" i="1" s="1"/>
  <c r="C210" i="1"/>
  <c r="C211" i="1" s="1"/>
  <c r="C119" i="1"/>
  <c r="C127" i="1"/>
  <c r="E47" i="1" l="1"/>
  <c r="E45" i="1"/>
  <c r="H61" i="1"/>
  <c r="H81" i="1" s="1"/>
  <c r="H79" i="1"/>
  <c r="H83" i="1" s="1"/>
  <c r="G97" i="1"/>
  <c r="G99" i="1" s="1"/>
  <c r="G101" i="1"/>
  <c r="G103" i="1" l="1"/>
</calcChain>
</file>

<file path=xl/comments1.xml><?xml version="1.0" encoding="utf-8"?>
<comments xmlns="http://schemas.openxmlformats.org/spreadsheetml/2006/main">
  <authors>
    <author>Formados</author>
    <author>Jo Hermans</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List>
</comments>
</file>

<file path=xl/sharedStrings.xml><?xml version="1.0" encoding="utf-8"?>
<sst xmlns="http://schemas.openxmlformats.org/spreadsheetml/2006/main" count="178" uniqueCount="122">
  <si>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</si>
  <si>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</si>
  <si>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</si>
  <si>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</si>
  <si>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</si>
  <si>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</si>
  <si>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</si>
  <si>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</si>
  <si>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</si>
  <si>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</si>
  <si>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</si>
  <si>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</si>
  <si>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</si>
  <si>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</si>
  <si>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</si>
  <si>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</si>
  <si>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</si>
  <si>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</si>
  <si>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</si>
  <si>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</si>
  <si>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</si>
  <si>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</si>
  <si>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</si>
  <si>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</si>
  <si>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</si>
  <si>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</si>
  <si>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</si>
  <si>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</si>
  <si>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</si>
  <si>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</si>
  <si>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</si>
  <si>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</si>
  <si>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</si>
  <si>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</si>
  <si>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</si>
  <si>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</si>
  <si>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</si>
  <si>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</si>
  <si>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</si>
  <si>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</si>
  <si>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</si>
  <si>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</si>
  <si>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</si>
  <si>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</si>
  <si>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</si>
  <si>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</si>
  <si>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</si>
  <si>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</si>
  <si>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</si>
  <si>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</si>
  <si>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</si>
  <si>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</si>
  <si>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</si>
  <si>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</si>
  <si>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</si>
  <si>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</si>
  <si>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</si>
  <si>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</si>
  <si>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</si>
  <si>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</si>
  <si>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</si>
  <si>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</si>
  <si>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</si>
  <si>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</si>
  <si>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</si>
  <si>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</si>
  <si>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</si>
  <si>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</si>
  <si>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</si>
  <si>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</si>
  <si>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</si>
  <si>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</si>
  <si>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</si>
  <si>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</si>
  <si>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</si>
  <si>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</si>
  <si>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</si>
  <si>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</si>
  <si>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</si>
  <si>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</si>
  <si>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Recherche</t>
  </si>
  <si>
    <t>oui</t>
  </si>
  <si>
    <t>non</t>
  </si>
  <si>
    <t>acquéreur</t>
  </si>
  <si>
    <t>vendeur</t>
  </si>
  <si>
    <t>TVA</t>
  </si>
  <si>
    <t>Livret</t>
  </si>
  <si>
    <t>Basis</t>
  </si>
  <si>
    <t>Tarief</t>
  </si>
  <si>
    <t>Ereloon G</t>
  </si>
  <si>
    <t>Lening</t>
  </si>
  <si>
    <t>Hypothecaire volmacht</t>
  </si>
  <si>
    <t>Loon hypotheekbewaarder</t>
  </si>
  <si>
    <t>Berekening ereloon hypotheekbewaarder</t>
  </si>
  <si>
    <t xml:space="preserve">tot </t>
  </si>
  <si>
    <t>per</t>
  </si>
  <si>
    <t>supplementair</t>
  </si>
  <si>
    <t>Bijlagen</t>
  </si>
  <si>
    <t>Diverse kosten</t>
  </si>
  <si>
    <t>PRÊT HYPOTHÉCAIRE</t>
  </si>
  <si>
    <t>Base enregistrement</t>
  </si>
  <si>
    <t>Principal</t>
  </si>
  <si>
    <t>Accessoires</t>
  </si>
  <si>
    <t>Base honoraire</t>
  </si>
  <si>
    <t>Prêt tarif social?</t>
  </si>
  <si>
    <t>Droits d'enregistrement</t>
  </si>
  <si>
    <t>(TVA)</t>
  </si>
  <si>
    <t>Droits d'enregistrement des annexes</t>
  </si>
  <si>
    <t>Droit d'hypothèque</t>
  </si>
  <si>
    <t>Honoraire conserv. des hypothèques</t>
  </si>
  <si>
    <t>Provision frais d'hypothèque</t>
  </si>
  <si>
    <t>Droits d'écriture</t>
  </si>
  <si>
    <t>Total frais</t>
  </si>
  <si>
    <t>Total</t>
  </si>
  <si>
    <t>Ensemble</t>
  </si>
  <si>
    <t>MANDAT HYPOTHÉCAIRE</t>
  </si>
  <si>
    <t>Combien de bureaux d'hypothèques?</t>
  </si>
  <si>
    <t>Honoraires</t>
  </si>
  <si>
    <t>Frais</t>
  </si>
  <si>
    <t>VENTE BRUXELLES AVEC PRÊT HYPOTHÉCAIRE ET MANDAT HYPOTHÉCAIRE</t>
  </si>
  <si>
    <t>Inscription à combien de bureaux d'hypothèques?</t>
  </si>
  <si>
    <t>Frais à charge de l'acquéreur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</si>
</sst>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s>
  <fonts count="18">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color indexed="9"/>
      <name val="Arial"/>
      <family val="2"/>
    </font>
    <font>
      <sz val="11"/>
      <color theme="1"/>
      <name val="Calibri"/>
      <family val="2"/>
      <scheme val="minor"/>
    </font>
    <font>
      <b/>
      <sz val="11"/>
      <color theme="1"/>
      <name val="Calibri"/>
      <family val="2"/>
      <scheme val="minor"/>
    </font>
  </fonts>
  <fills count="1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indexed="11"/>
        <bgColor indexed="64"/>
      </patternFill>
    </fill>
    <fill>
      <patternFill patternType="solid">
        <fgColor indexed="12"/>
        <bgColor indexed="64"/>
      </patternFill>
    </fill>
    <fill>
      <patternFill patternType="solid">
        <fgColor indexed="42"/>
        <bgColor indexed="64"/>
      </patternFill>
    </fill>
    <fill>
      <patternFill patternType="solid">
        <fgColor indexed="41"/>
        <bgColor indexed="64"/>
      </patternFill>
    </fill>
    <fill>
      <patternFill patternType="solid">
        <fgColor indexed="51"/>
        <bgColor indexed="64"/>
      </patternFill>
    </fill>
    <fill>
      <patternFill patternType="solid">
        <fgColor indexed="50"/>
        <bgColor indexed="64"/>
      </patternFill>
    </fill>
    <fill>
      <patternFill patternType="solid">
        <fgColor indexed="52"/>
        <bgColor indexed="64"/>
      </patternFill>
    </fill>
    <fill>
      <patternFill patternType="solid">
        <fgColor indexed="57"/>
        <bgColor indexed="64"/>
      </patternFill>
    </fill>
    <fill>
      <patternFill patternType="solid">
        <fgColor indexed="13"/>
        <bgColor indexed="64"/>
      </patternFill>
    </fill>
    <fill>
      <patternFill patternType="solid">
        <fgColor indexed="44"/>
        <bgColor indexed="64"/>
      </patternFill>
    </fill>
  </fills>
  <borders count="24">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style="thick">
        <color indexed="20"/>
      </top>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6" fillId="0" borderId="0"/>
    <xf numFmtId="0" fontId="3" fillId="0" borderId="0"/>
    <xf numFmtId="0" fontId="16" fillId="0" borderId="0"/>
    <xf numFmtId="178" fontId="11" fillId="0" borderId="1">
      <protection locked="0"/>
    </xf>
    <xf numFmtId="0" fontId="17" fillId="0" borderId="23" applyNumberFormat="0" applyFill="0" applyAlignment="0" applyProtection="0"/>
  </cellStyleXfs>
  <cellXfs count="129">
    <xf numFmtId="0" fontId="0" fillId="0" borderId="0" xfId="0"/>
    <xf numFmtId="166" fontId="2" fillId="2" borderId="0" xfId="0" applyNumberFormat="1" applyFont="1" applyFill="1" applyBorder="1" applyAlignment="1" applyProtection="1">
      <alignment horizontal="left"/>
      <protection locked="0" hidden="1"/>
    </xf>
    <xf numFmtId="0" fontId="2" fillId="3" borderId="0" xfId="0" applyFont="1" applyFill="1" applyBorder="1" applyAlignment="1" applyProtection="1">
      <alignment horizontal="left"/>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165" fontId="0" fillId="3" borderId="0" xfId="0" applyNumberFormat="1" applyFill="1" applyBorder="1" applyAlignment="1" applyProtection="1">
      <protection hidden="1"/>
    </xf>
    <xf numFmtId="0" fontId="0" fillId="3" borderId="0" xfId="0" applyFill="1" applyProtection="1">
      <protection hidden="1"/>
    </xf>
    <xf numFmtId="0" fontId="3" fillId="3" borderId="0" xfId="0" applyFont="1" applyFill="1" applyBorder="1" applyAlignment="1" applyProtection="1">
      <alignment horizontal="left"/>
      <protection hidden="1"/>
    </xf>
    <xf numFmtId="0" fontId="4" fillId="3" borderId="0" xfId="9" applyFill="1" applyBorder="1" applyAlignment="1" applyProtection="1">
      <alignment horizontal="left"/>
      <protection hidden="1"/>
    </xf>
    <xf numFmtId="0" fontId="3" fillId="3" borderId="0" xfId="13" applyFont="1" applyFill="1" applyBorder="1" applyAlignment="1" applyProtection="1">
      <alignment horizontal="left"/>
      <protection hidden="1"/>
    </xf>
    <xf numFmtId="0" fontId="2" fillId="3" borderId="0" xfId="13" applyFont="1" applyFill="1" applyBorder="1" applyAlignment="1" applyProtection="1">
      <alignment horizontal="left"/>
      <protection hidden="1"/>
    </xf>
    <xf numFmtId="0" fontId="2" fillId="3" borderId="0" xfId="0" quotePrefix="1" applyFont="1" applyFill="1" applyBorder="1" applyAlignment="1" applyProtection="1">
      <alignment horizontal="left"/>
      <protection hidden="1"/>
    </xf>
    <xf numFmtId="0" fontId="2" fillId="3" borderId="2" xfId="0" applyFont="1" applyFill="1" applyBorder="1" applyAlignment="1" applyProtection="1">
      <alignment horizontal="left"/>
      <protection hidden="1"/>
    </xf>
    <xf numFmtId="165" fontId="0" fillId="3" borderId="3" xfId="0" applyNumberFormat="1" applyFill="1" applyBorder="1" applyAlignment="1" applyProtection="1">
      <protection hidden="1"/>
    </xf>
    <xf numFmtId="0" fontId="0" fillId="3" borderId="0" xfId="0" applyNumberFormat="1" applyFill="1" applyBorder="1" applyAlignment="1" applyProtection="1">
      <protection hidden="1"/>
    </xf>
    <xf numFmtId="167" fontId="0" fillId="3" borderId="0" xfId="0" applyNumberFormat="1" applyFill="1" applyBorder="1" applyAlignment="1" applyProtection="1">
      <protection hidden="1"/>
    </xf>
    <xf numFmtId="165" fontId="3" fillId="3" borderId="0" xfId="0" applyNumberFormat="1" applyFont="1" applyFill="1" applyBorder="1" applyAlignment="1" applyProtection="1">
      <protection hidden="1"/>
    </xf>
    <xf numFmtId="165" fontId="3" fillId="3" borderId="4" xfId="0" applyNumberFormat="1" applyFont="1"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3" fillId="3" borderId="4" xfId="0" applyFont="1" applyFill="1" applyBorder="1" applyAlignment="1" applyProtection="1">
      <alignment horizontal="left"/>
      <protection hidden="1"/>
    </xf>
    <xf numFmtId="0" fontId="3" fillId="3" borderId="4" xfId="0" applyFont="1" applyFill="1" applyBorder="1" applyProtection="1">
      <protection hidden="1"/>
    </xf>
    <xf numFmtId="0" fontId="0" fillId="3" borderId="0" xfId="0" applyFill="1" applyBorder="1" applyProtection="1">
      <protection hidden="1"/>
    </xf>
    <xf numFmtId="0" fontId="3" fillId="3" borderId="0" xfId="0" applyFont="1" applyFill="1" applyBorder="1" applyProtection="1">
      <protection hidden="1"/>
    </xf>
    <xf numFmtId="167" fontId="0" fillId="3" borderId="0" xfId="0" applyNumberFormat="1" applyFill="1" applyBorder="1" applyProtection="1">
      <protection hidden="1"/>
    </xf>
    <xf numFmtId="0" fontId="3" fillId="3" borderId="0" xfId="0" applyFont="1" applyFill="1" applyProtection="1">
      <protection hidden="1"/>
    </xf>
    <xf numFmtId="167" fontId="0" fillId="3" borderId="0" xfId="0" applyNumberFormat="1" applyFill="1" applyProtection="1">
      <protection hidden="1"/>
    </xf>
    <xf numFmtId="0" fontId="2" fillId="3" borderId="5" xfId="0" applyFont="1"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0" fontId="0" fillId="3" borderId="8" xfId="0" applyFill="1" applyBorder="1" applyAlignment="1" applyProtection="1">
      <alignment horizontal="left"/>
      <protection hidden="1"/>
    </xf>
    <xf numFmtId="0" fontId="0" fillId="3" borderId="9" xfId="0" applyFill="1" applyBorder="1" applyAlignment="1" applyProtection="1">
      <alignment horizontal="left"/>
      <protection hidden="1"/>
    </xf>
    <xf numFmtId="165" fontId="0" fillId="3" borderId="8" xfId="0" applyNumberFormat="1" applyFill="1" applyBorder="1" applyAlignment="1" applyProtection="1">
      <protection hidden="1"/>
    </xf>
    <xf numFmtId="3" fontId="4" fillId="3" borderId="0" xfId="9" applyNumberFormat="1" applyFill="1" applyAlignment="1" applyProtection="1">
      <protection hidden="1"/>
    </xf>
    <xf numFmtId="3" fontId="3" fillId="3" borderId="0" xfId="0" applyNumberFormat="1" applyFont="1" applyFill="1" applyProtection="1">
      <protection hidden="1"/>
    </xf>
    <xf numFmtId="167" fontId="3" fillId="3" borderId="0" xfId="0" applyNumberFormat="1" applyFont="1" applyFill="1" applyProtection="1">
      <protection hidden="1"/>
    </xf>
    <xf numFmtId="0" fontId="4" fillId="3" borderId="0" xfId="9" applyFill="1" applyAlignment="1" applyProtection="1">
      <protection hidden="1"/>
    </xf>
    <xf numFmtId="0" fontId="5" fillId="3" borderId="0" xfId="0" applyFont="1" applyFill="1" applyProtection="1">
      <protection hidden="1"/>
    </xf>
    <xf numFmtId="169" fontId="0" fillId="3" borderId="0" xfId="0" applyNumberFormat="1" applyFill="1" applyBorder="1" applyAlignment="1" applyProtection="1">
      <alignment horizontal="right"/>
      <protection hidden="1"/>
    </xf>
    <xf numFmtId="0" fontId="6" fillId="3" borderId="0" xfId="0" applyFont="1" applyFill="1" applyProtection="1">
      <protection hidden="1"/>
    </xf>
    <xf numFmtId="3" fontId="3" fillId="3" borderId="0" xfId="0" quotePrefix="1" applyNumberFormat="1" applyFont="1" applyFill="1" applyAlignment="1" applyProtection="1">
      <alignment horizontal="left"/>
      <protection hidden="1"/>
    </xf>
    <xf numFmtId="3" fontId="3" fillId="3" borderId="10" xfId="0" applyNumberFormat="1" applyFont="1" applyFill="1" applyBorder="1" applyProtection="1">
      <protection hidden="1"/>
    </xf>
    <xf numFmtId="170" fontId="7" fillId="3" borderId="11" xfId="0" applyNumberFormat="1" applyFont="1" applyFill="1" applyBorder="1" applyAlignment="1" applyProtection="1">
      <alignment horizontal="center"/>
      <protection hidden="1"/>
    </xf>
    <xf numFmtId="0" fontId="7" fillId="3" borderId="11" xfId="0" applyFont="1" applyFill="1" applyBorder="1" applyAlignment="1" applyProtection="1">
      <alignment horizontal="center"/>
      <protection hidden="1"/>
    </xf>
    <xf numFmtId="0" fontId="7" fillId="3" borderId="12" xfId="0" applyFont="1" applyFill="1" applyBorder="1" applyAlignment="1" applyProtection="1">
      <alignment horizontal="center"/>
      <protection hidden="1"/>
    </xf>
    <xf numFmtId="168" fontId="8" fillId="3" borderId="11" xfId="0" applyNumberFormat="1" applyFont="1" applyFill="1" applyBorder="1" applyProtection="1">
      <protection hidden="1"/>
    </xf>
    <xf numFmtId="170" fontId="8" fillId="3" borderId="11" xfId="0" applyNumberFormat="1" applyFont="1" applyFill="1" applyBorder="1" applyProtection="1">
      <protection hidden="1"/>
    </xf>
    <xf numFmtId="171" fontId="8" fillId="3" borderId="11" xfId="0" applyNumberFormat="1" applyFont="1" applyFill="1" applyBorder="1" applyProtection="1">
      <protection hidden="1"/>
    </xf>
    <xf numFmtId="171" fontId="8" fillId="3" borderId="12" xfId="0" applyNumberFormat="1" applyFont="1" applyFill="1" applyBorder="1" applyProtection="1">
      <protection hidden="1"/>
    </xf>
    <xf numFmtId="0" fontId="8" fillId="3" borderId="13" xfId="0" applyFont="1" applyFill="1" applyBorder="1" applyProtection="1">
      <protection hidden="1"/>
    </xf>
    <xf numFmtId="0" fontId="8" fillId="3" borderId="0" xfId="0" applyFont="1" applyFill="1" applyBorder="1" applyProtection="1">
      <protection hidden="1"/>
    </xf>
    <xf numFmtId="0" fontId="9" fillId="3" borderId="14" xfId="0" applyFont="1" applyFill="1" applyBorder="1" applyProtection="1">
      <protection hidden="1"/>
    </xf>
    <xf numFmtId="0" fontId="8" fillId="3" borderId="0" xfId="0" applyFont="1" applyFill="1" applyProtection="1">
      <protection hidden="1"/>
    </xf>
    <xf numFmtId="170" fontId="7" fillId="3" borderId="0" xfId="0" applyNumberFormat="1" applyFont="1" applyFill="1" applyBorder="1" applyAlignment="1" applyProtection="1">
      <alignment horizontal="center"/>
      <protection hidden="1"/>
    </xf>
    <xf numFmtId="0" fontId="8" fillId="3" borderId="14" xfId="0" applyFont="1" applyFill="1" applyBorder="1" applyProtection="1">
      <protection hidden="1"/>
    </xf>
    <xf numFmtId="168" fontId="7" fillId="3" borderId="11" xfId="0" applyNumberFormat="1" applyFont="1" applyFill="1" applyBorder="1" applyProtection="1">
      <protection hidden="1"/>
    </xf>
    <xf numFmtId="0" fontId="0" fillId="2" borderId="0" xfId="0" applyFill="1" applyBorder="1" applyAlignment="1" applyProtection="1">
      <alignment horizontal="left"/>
      <protection locked="0" hidden="1"/>
    </xf>
    <xf numFmtId="0" fontId="0" fillId="2" borderId="0" xfId="0" applyFill="1" applyProtection="1">
      <protection locked="0" hidden="1"/>
    </xf>
    <xf numFmtId="0" fontId="3" fillId="2" borderId="0" xfId="13" applyFont="1" applyFill="1" applyBorder="1" applyAlignment="1" applyProtection="1">
      <alignment horizontal="left"/>
      <protection locked="0" hidden="1"/>
    </xf>
    <xf numFmtId="167" fontId="2" fillId="3" borderId="0" xfId="0" applyNumberFormat="1" applyFont="1" applyFill="1" applyBorder="1" applyAlignment="1" applyProtection="1">
      <protection hidden="1"/>
    </xf>
    <xf numFmtId="164" fontId="0" fillId="4" borderId="0" xfId="0" applyNumberFormat="1" applyFill="1" applyBorder="1" applyAlignment="1" applyProtection="1">
      <protection locked="0" hidden="1"/>
    </xf>
    <xf numFmtId="164" fontId="0" fillId="2" borderId="0" xfId="0" applyNumberFormat="1" applyFill="1" applyBorder="1" applyAlignment="1" applyProtection="1">
      <protection locked="0" hidden="1"/>
    </xf>
    <xf numFmtId="164" fontId="3" fillId="5" borderId="0" xfId="0" applyNumberFormat="1" applyFont="1" applyFill="1" applyBorder="1" applyAlignment="1" applyProtection="1">
      <protection locked="0" hidden="1"/>
    </xf>
    <xf numFmtId="164" fontId="0" fillId="3" borderId="0" xfId="0" applyNumberFormat="1" applyFill="1" applyBorder="1" applyAlignment="1" applyProtection="1">
      <alignment horizontal="left"/>
      <protection hidden="1"/>
    </xf>
    <xf numFmtId="164" fontId="0" fillId="3" borderId="0" xfId="0" applyNumberFormat="1" applyFill="1" applyBorder="1" applyAlignment="1" applyProtection="1">
      <protection hidden="1"/>
    </xf>
    <xf numFmtId="164" fontId="0" fillId="3" borderId="0" xfId="0" applyNumberFormat="1" applyFill="1" applyBorder="1" applyProtection="1">
      <protection hidden="1"/>
    </xf>
    <xf numFmtId="164" fontId="0" fillId="3" borderId="0" xfId="0" applyNumberFormat="1" applyFill="1" applyProtection="1">
      <protection hidden="1"/>
    </xf>
    <xf numFmtId="0" fontId="2" fillId="6" borderId="3" xfId="0" applyFont="1" applyFill="1" applyBorder="1" applyAlignment="1" applyProtection="1">
      <alignment horizontal="left"/>
      <protection hidden="1"/>
    </xf>
    <xf numFmtId="0" fontId="0" fillId="6" borderId="3" xfId="0" applyNumberFormat="1" applyFill="1" applyBorder="1" applyAlignment="1" applyProtection="1">
      <protection hidden="1"/>
    </xf>
    <xf numFmtId="165" fontId="0" fillId="6" borderId="3" xfId="0" applyNumberFormat="1" applyFill="1" applyBorder="1" applyAlignment="1" applyProtection="1">
      <protection hidden="1"/>
    </xf>
    <xf numFmtId="0" fontId="15" fillId="6" borderId="3" xfId="0" applyFont="1" applyFill="1" applyBorder="1" applyAlignment="1" applyProtection="1">
      <alignment horizontal="left"/>
      <protection hidden="1"/>
    </xf>
    <xf numFmtId="0" fontId="15" fillId="6" borderId="0" xfId="0" applyFont="1" applyFill="1" applyBorder="1" applyAlignment="1" applyProtection="1">
      <alignment horizontal="left"/>
      <protection hidden="1"/>
    </xf>
    <xf numFmtId="164" fontId="0" fillId="2" borderId="0" xfId="0" applyNumberFormat="1" applyFill="1" applyBorder="1" applyAlignment="1" applyProtection="1">
      <alignment horizontal="left"/>
      <protection hidden="1"/>
    </xf>
    <xf numFmtId="164" fontId="0" fillId="2" borderId="0" xfId="0" applyNumberFormat="1" applyFill="1" applyBorder="1" applyAlignment="1" applyProtection="1">
      <alignment horizontal="left"/>
      <protection locked="0" hidden="1"/>
    </xf>
    <xf numFmtId="0" fontId="0" fillId="2" borderId="0" xfId="0" applyFill="1" applyBorder="1" applyAlignment="1" applyProtection="1">
      <alignment horizontal="center"/>
      <protection locked="0" hidden="1"/>
    </xf>
    <xf numFmtId="164" fontId="0" fillId="7" borderId="4" xfId="0" applyNumberFormat="1" applyFill="1" applyBorder="1" applyProtection="1">
      <protection hidden="1"/>
    </xf>
    <xf numFmtId="164" fontId="0" fillId="7" borderId="4" xfId="0" applyNumberFormat="1" applyFill="1" applyBorder="1" applyAlignment="1" applyProtection="1">
      <alignment horizontal="left"/>
      <protection hidden="1"/>
    </xf>
    <xf numFmtId="164" fontId="0" fillId="8" borderId="4" xfId="0" applyNumberFormat="1" applyFill="1" applyBorder="1" applyProtection="1">
      <protection hidden="1"/>
    </xf>
    <xf numFmtId="164" fontId="0" fillId="9" borderId="4" xfId="0" applyNumberFormat="1" applyFill="1" applyBorder="1" applyProtection="1">
      <protection hidden="1"/>
    </xf>
    <xf numFmtId="164" fontId="0" fillId="9" borderId="4" xfId="0" applyNumberFormat="1" applyFill="1" applyBorder="1" applyAlignment="1" applyProtection="1">
      <alignment horizontal="left"/>
      <protection hidden="1"/>
    </xf>
    <xf numFmtId="164" fontId="0" fillId="8" borderId="4" xfId="0" applyNumberFormat="1" applyFill="1" applyBorder="1" applyAlignment="1" applyProtection="1">
      <protection hidden="1"/>
    </xf>
    <xf numFmtId="164" fontId="0" fillId="10" borderId="4" xfId="0" applyNumberFormat="1" applyFill="1" applyBorder="1" applyAlignment="1" applyProtection="1">
      <alignment horizontal="left"/>
      <protection hidden="1"/>
    </xf>
    <xf numFmtId="164" fontId="2" fillId="11" borderId="2" xfId="0" applyNumberFormat="1" applyFont="1" applyFill="1" applyBorder="1" applyAlignment="1" applyProtection="1">
      <protection hidden="1"/>
    </xf>
    <xf numFmtId="0" fontId="2" fillId="11" borderId="2" xfId="0" applyFont="1" applyFill="1" applyBorder="1" applyAlignment="1" applyProtection="1">
      <alignment horizontal="left"/>
      <protection hidden="1"/>
    </xf>
    <xf numFmtId="164" fontId="2" fillId="12" borderId="2" xfId="0" applyNumberFormat="1" applyFont="1" applyFill="1" applyBorder="1" applyAlignment="1" applyProtection="1">
      <protection hidden="1"/>
    </xf>
    <xf numFmtId="0" fontId="2" fillId="12" borderId="2" xfId="0" applyFont="1" applyFill="1" applyBorder="1" applyAlignment="1" applyProtection="1">
      <alignment horizontal="left"/>
      <protection hidden="1"/>
    </xf>
    <xf numFmtId="164" fontId="0" fillId="7" borderId="0" xfId="0" applyNumberFormat="1" applyFill="1" applyBorder="1" applyAlignment="1" applyProtection="1">
      <alignment horizontal="left"/>
      <protection hidden="1"/>
    </xf>
    <xf numFmtId="0" fontId="3" fillId="2" borderId="0" xfId="13" applyFill="1" applyBorder="1" applyAlignment="1" applyProtection="1">
      <alignment horizontal="center"/>
      <protection locked="0" hidden="1"/>
    </xf>
    <xf numFmtId="164" fontId="1" fillId="3" borderId="0" xfId="0" applyNumberFormat="1" applyFont="1" applyFill="1" applyBorder="1" applyAlignment="1" applyProtection="1">
      <protection hidden="1"/>
    </xf>
    <xf numFmtId="164" fontId="1" fillId="2" borderId="0" xfId="0" applyNumberFormat="1" applyFont="1" applyFill="1" applyBorder="1" applyAlignment="1" applyProtection="1">
      <protection hidden="1"/>
    </xf>
    <xf numFmtId="180" fontId="0" fillId="2" borderId="0" xfId="0" applyNumberFormat="1" applyFill="1" applyBorder="1" applyAlignment="1" applyProtection="1">
      <alignment horizontal="right"/>
      <protection hidden="1"/>
    </xf>
    <xf numFmtId="164" fontId="1" fillId="8" borderId="0" xfId="0" applyNumberFormat="1" applyFont="1" applyFill="1" applyBorder="1" applyAlignment="1" applyProtection="1">
      <protection hidden="1"/>
    </xf>
    <xf numFmtId="164" fontId="1" fillId="13" borderId="0" xfId="0" applyNumberFormat="1" applyFont="1" applyFill="1" applyBorder="1" applyAlignment="1" applyProtection="1">
      <protection hidden="1"/>
    </xf>
    <xf numFmtId="0" fontId="1" fillId="3" borderId="15" xfId="0" applyFont="1" applyFill="1" applyBorder="1" applyAlignment="1" applyProtection="1">
      <alignment horizontal="left"/>
      <protection hidden="1"/>
    </xf>
    <xf numFmtId="0" fontId="0" fillId="3" borderId="16" xfId="0" applyFill="1" applyBorder="1" applyAlignment="1" applyProtection="1">
      <alignment horizontal="left"/>
      <protection hidden="1"/>
    </xf>
    <xf numFmtId="167" fontId="2" fillId="3" borderId="16" xfId="0" applyNumberFormat="1" applyFont="1" applyFill="1" applyBorder="1" applyAlignment="1" applyProtection="1">
      <protection hidden="1"/>
    </xf>
    <xf numFmtId="165" fontId="0" fillId="3" borderId="16" xfId="0" applyNumberFormat="1" applyFill="1" applyBorder="1" applyAlignment="1" applyProtection="1">
      <protection hidden="1"/>
    </xf>
    <xf numFmtId="167" fontId="0" fillId="3" borderId="16" xfId="0" applyNumberFormat="1" applyFill="1" applyBorder="1" applyAlignment="1" applyProtection="1">
      <protection hidden="1"/>
    </xf>
    <xf numFmtId="0" fontId="0" fillId="3" borderId="17" xfId="0" applyFill="1" applyBorder="1" applyProtection="1">
      <protection hidden="1"/>
    </xf>
    <xf numFmtId="0" fontId="1" fillId="3" borderId="18" xfId="0" applyFont="1" applyFill="1" applyBorder="1" applyAlignment="1" applyProtection="1">
      <alignment horizontal="left"/>
      <protection hidden="1"/>
    </xf>
    <xf numFmtId="0" fontId="0" fillId="3" borderId="19" xfId="0" applyFill="1" applyBorder="1" applyProtection="1">
      <protection hidden="1"/>
    </xf>
    <xf numFmtId="164" fontId="0" fillId="2" borderId="19" xfId="0" applyNumberFormat="1" applyFill="1" applyBorder="1" applyProtection="1">
      <protection hidden="1"/>
    </xf>
    <xf numFmtId="164" fontId="0" fillId="8" borderId="19" xfId="0" applyNumberFormat="1" applyFill="1" applyBorder="1" applyProtection="1">
      <protection hidden="1"/>
    </xf>
    <xf numFmtId="164" fontId="0" fillId="3" borderId="19" xfId="0" applyNumberFormat="1" applyFill="1" applyBorder="1" applyProtection="1">
      <protection hidden="1"/>
    </xf>
    <xf numFmtId="0" fontId="2" fillId="3" borderId="18" xfId="0" applyFont="1" applyFill="1" applyBorder="1" applyAlignment="1" applyProtection="1">
      <alignment horizontal="left"/>
      <protection hidden="1"/>
    </xf>
    <xf numFmtId="164" fontId="0" fillId="13" borderId="19" xfId="0" applyNumberFormat="1" applyFill="1" applyBorder="1" applyProtection="1">
      <protection hidden="1"/>
    </xf>
    <xf numFmtId="164" fontId="0" fillId="9" borderId="19" xfId="0" applyNumberFormat="1" applyFill="1" applyBorder="1" applyProtection="1">
      <protection hidden="1"/>
    </xf>
    <xf numFmtId="164" fontId="0" fillId="14" borderId="19" xfId="0" applyNumberFormat="1" applyFill="1" applyBorder="1" applyProtection="1">
      <protection hidden="1"/>
    </xf>
    <xf numFmtId="0" fontId="2" fillId="3" borderId="20" xfId="0" applyFont="1" applyFill="1" applyBorder="1" applyAlignment="1" applyProtection="1">
      <alignment horizontal="left"/>
      <protection hidden="1"/>
    </xf>
    <xf numFmtId="0" fontId="0" fillId="3" borderId="21" xfId="0" applyFill="1" applyBorder="1" applyAlignment="1" applyProtection="1">
      <alignment horizontal="left"/>
      <protection hidden="1"/>
    </xf>
    <xf numFmtId="167" fontId="2" fillId="3" borderId="21" xfId="0" applyNumberFormat="1" applyFont="1" applyFill="1" applyBorder="1" applyAlignment="1" applyProtection="1">
      <protection hidden="1"/>
    </xf>
    <xf numFmtId="165" fontId="0" fillId="3" borderId="21" xfId="0" applyNumberFormat="1" applyFill="1" applyBorder="1" applyAlignment="1" applyProtection="1">
      <protection hidden="1"/>
    </xf>
    <xf numFmtId="167" fontId="0" fillId="3" borderId="21" xfId="0" applyNumberFormat="1" applyFill="1" applyBorder="1" applyAlignment="1" applyProtection="1">
      <protection hidden="1"/>
    </xf>
    <xf numFmtId="164" fontId="2" fillId="11" borderId="22" xfId="0" applyNumberFormat="1" applyFont="1" applyFill="1" applyBorder="1" applyProtection="1">
      <protection hidden="1"/>
    </xf>
    <xf numFmtId="167" fontId="0" fillId="3" borderId="17" xfId="0" applyNumberFormat="1" applyFill="1" applyBorder="1" applyAlignment="1" applyProtection="1">
      <protection hidden="1"/>
    </xf>
    <xf numFmtId="167" fontId="0" fillId="3" borderId="19" xfId="0" applyNumberFormat="1" applyFill="1" applyBorder="1" applyAlignment="1" applyProtection="1">
      <protection hidden="1"/>
    </xf>
    <xf numFmtId="164" fontId="0" fillId="3" borderId="19" xfId="0" applyNumberFormat="1" applyFill="1" applyBorder="1" applyAlignment="1" applyProtection="1">
      <protection hidden="1"/>
    </xf>
    <xf numFmtId="164" fontId="0" fillId="13" borderId="0" xfId="0" applyNumberFormat="1" applyFill="1" applyBorder="1" applyAlignment="1" applyProtection="1">
      <alignment horizontal="left"/>
      <protection hidden="1"/>
    </xf>
    <xf numFmtId="164" fontId="0" fillId="13" borderId="19" xfId="0" applyNumberFormat="1" applyFill="1" applyBorder="1" applyAlignment="1" applyProtection="1">
      <protection hidden="1"/>
    </xf>
    <xf numFmtId="164" fontId="0" fillId="9" borderId="19" xfId="0" applyNumberFormat="1" applyFill="1" applyBorder="1" applyAlignment="1" applyProtection="1">
      <protection hidden="1"/>
    </xf>
    <xf numFmtId="164" fontId="0" fillId="14" borderId="19" xfId="0" applyNumberFormat="1" applyFill="1" applyBorder="1" applyAlignment="1" applyProtection="1">
      <protection hidden="1"/>
    </xf>
    <xf numFmtId="164" fontId="2" fillId="11" borderId="22" xfId="0" applyNumberFormat="1" applyFont="1" applyFill="1" applyBorder="1" applyAlignment="1" applyProtection="1">
      <protection hidden="1"/>
    </xf>
    <xf numFmtId="164" fontId="0" fillId="2" borderId="19" xfId="0" applyNumberFormat="1" applyFill="1" applyBorder="1" applyAlignment="1" applyProtection="1">
      <protection hidden="1"/>
    </xf>
    <xf numFmtId="0" fontId="15" fillId="3" borderId="0" xfId="0" applyFont="1" applyFill="1" applyBorder="1" applyAlignment="1" applyProtection="1">
      <alignment horizontal="left"/>
      <protection hidden="1"/>
    </xf>
    <xf numFmtId="164" fontId="0" fillId="2" borderId="16" xfId="0" applyNumberFormat="1" applyFill="1" applyBorder="1" applyAlignment="1" applyProtection="1">
      <alignment horizontal="left"/>
      <protection locked="0" hidden="1"/>
    </xf>
    <xf numFmtId="164" fontId="0" fillId="14" borderId="0" xfId="0" applyNumberFormat="1" applyFill="1" applyBorder="1" applyAlignment="1" applyProtection="1">
      <alignment horizontal="left"/>
      <protection locked="0" hidden="1"/>
    </xf>
    <xf numFmtId="164" fontId="1" fillId="7" borderId="0" xfId="0" applyNumberFormat="1" applyFont="1" applyFill="1" applyBorder="1" applyAlignment="1" applyProtection="1">
      <protection locked="0" hidden="1"/>
    </xf>
    <xf numFmtId="164" fontId="0" fillId="7" borderId="0" xfId="0" applyNumberFormat="1" applyFill="1" applyBorder="1" applyAlignment="1" applyProtection="1">
      <alignment horizontal="left"/>
      <protection locked="0" hidden="1"/>
    </xf>
    <xf numFmtId="164" fontId="0" fillId="8" borderId="0" xfId="0" applyNumberFormat="1" applyFill="1" applyBorder="1" applyAlignment="1" applyProtection="1">
      <alignment horizontal="left"/>
      <protection locked="0" hidden="1"/>
    </xf>
    <xf numFmtId="164" fontId="0" fillId="11" borderId="0" xfId="0" applyNumberFormat="1" applyFill="1" applyBorder="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PHMHDAC.xlsx" TargetMode="External"/><Relationship Id="rId7" Type="http://schemas.openxmlformats.org/officeDocument/2006/relationships/printerSettings" Target="../printerSettings/printerSettings1.bin"/><Relationship Id="rId2" Type="http://schemas.openxmlformats.org/officeDocument/2006/relationships/hyperlink" Target="VBIBPHMHAK.xlsx" TargetMode="External"/><Relationship Id="rId1" Type="http://schemas.openxmlformats.org/officeDocument/2006/relationships/hyperlink" Target="VBIBPHMHAV.xlsx" TargetMode="External"/><Relationship Id="rId6" Type="http://schemas.openxmlformats.org/officeDocument/2006/relationships/hyperlink" Target="livret.xlsx" TargetMode="External"/><Relationship Id="rId5" Type="http://schemas.openxmlformats.org/officeDocument/2006/relationships/hyperlink" Target="http://www.primes-renovation.be/emb_carte.php?Nlg=fr" TargetMode="External"/><Relationship Id="rId4" Type="http://schemas.openxmlformats.org/officeDocument/2006/relationships/hyperlink" Target="VBIBPH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52"/>
  <sheetViews>
    <sheetView tabSelected="1" zoomScaleNormal="100" workbookViewId="0">
      <selection activeCell="B3" sqref="B3"/>
    </sheetView>
  </sheetViews>
  <sheetFormatPr defaultRowHeight="12.75"/>
  <cols>
    <col min="1" max="1" width="35.85546875" style="6" customWidth="1"/>
    <col min="2" max="2" width="16" style="6" customWidth="1"/>
    <col min="3" max="3" width="19.5703125" style="6" bestFit="1" customWidth="1"/>
    <col min="4" max="4" width="15.42578125" style="6" customWidth="1"/>
    <col min="5" max="6" width="16.7109375" style="6" customWidth="1"/>
    <col min="7" max="7" width="15.85546875" style="6" bestFit="1" customWidth="1"/>
    <col min="8" max="8" width="14.5703125" style="6" customWidth="1"/>
    <col min="9" max="16" width="9.140625" style="6"/>
    <col min="17" max="17" width="12.140625" style="6" bestFit="1" customWidth="1"/>
    <col min="18" max="16384" width="9.140625" style="6"/>
  </cols>
  <sheetData>
    <row r="1" spans="1:7" ht="18.75" thickTop="1">
      <c r="A1" s="69" t="s">
        <v>119</v>
      </c>
      <c r="B1" s="66"/>
      <c r="C1" s="66"/>
      <c r="D1" s="66"/>
      <c r="E1" s="67"/>
      <c r="F1" s="68"/>
      <c r="G1" s="13"/>
    </row>
    <row r="2" spans="1:7" ht="18">
      <c r="A2" s="122"/>
      <c r="B2" s="2"/>
      <c r="C2" s="2"/>
      <c r="D2" s="2"/>
      <c r="E2" s="14"/>
      <c r="F2" s="5"/>
      <c r="G2" s="5"/>
    </row>
    <row r="3" spans="1:7">
      <c r="A3" s="2" t="s">
        <v>0</v>
      </c>
      <c r="B3" s="1"/>
      <c r="C3" s="2"/>
      <c r="D3" s="2"/>
      <c r="E3" s="5"/>
      <c r="F3" s="5"/>
      <c r="G3" s="5"/>
    </row>
    <row r="4" spans="1:7">
      <c r="A4" s="2" t="s">
        <v>52</v>
      </c>
      <c r="B4" s="55"/>
      <c r="C4" s="4"/>
      <c r="D4" s="2"/>
      <c r="E4" s="5"/>
      <c r="F4" s="5"/>
      <c r="G4" s="14"/>
    </row>
    <row r="5" spans="1:7">
      <c r="A5" s="5" t="s">
        <v>53</v>
      </c>
      <c r="B5" s="59">
        <v>0</v>
      </c>
      <c r="F5" s="5"/>
    </row>
    <row r="6" spans="1:7">
      <c r="A6" s="5" t="s">
        <v>54</v>
      </c>
      <c r="B6" s="60"/>
      <c r="C6" s="4"/>
      <c r="F6" s="5"/>
    </row>
    <row r="7" spans="1:7">
      <c r="A7" s="16" t="s">
        <v>55</v>
      </c>
      <c r="B7" s="128">
        <f>B5+B6</f>
        <v>0</v>
      </c>
      <c r="C7" s="4"/>
      <c r="D7" s="5"/>
      <c r="E7" s="15"/>
      <c r="F7" s="5"/>
    </row>
    <row r="8" spans="1:7">
      <c r="A8" s="4" t="s">
        <v>56</v>
      </c>
      <c r="B8" s="61"/>
      <c r="C8" s="4"/>
      <c r="F8" s="5"/>
    </row>
    <row r="9" spans="1:7">
      <c r="A9" s="7" t="s">
        <v>2</v>
      </c>
      <c r="B9" s="4"/>
      <c r="C9" s="55" t="s">
        <v>82</v>
      </c>
      <c r="D9" s="16"/>
      <c r="E9" s="15"/>
      <c r="F9" s="5"/>
    </row>
    <row r="10" spans="1:7">
      <c r="A10" s="7" t="s">
        <v>57</v>
      </c>
      <c r="B10" s="8" t="s">
        <v>80</v>
      </c>
      <c r="C10" s="56" t="s">
        <v>82</v>
      </c>
      <c r="F10" s="5"/>
      <c r="G10" s="15"/>
    </row>
    <row r="11" spans="1:7">
      <c r="A11" s="9" t="s">
        <v>58</v>
      </c>
      <c r="B11" s="10"/>
      <c r="C11" s="57" t="s">
        <v>82</v>
      </c>
      <c r="F11" s="5"/>
      <c r="G11" s="15"/>
    </row>
    <row r="12" spans="1:7" ht="13.5" thickBot="1">
      <c r="A12" s="11" t="s">
        <v>3</v>
      </c>
      <c r="B12" s="2"/>
      <c r="C12" s="2"/>
      <c r="D12" s="2"/>
      <c r="E12" s="5"/>
      <c r="F12" s="5"/>
      <c r="G12" s="5"/>
    </row>
    <row r="13" spans="1:7" ht="14.25" thickTop="1" thickBot="1">
      <c r="A13" s="12" t="s">
        <v>121</v>
      </c>
      <c r="B13" s="2"/>
      <c r="C13" s="2"/>
      <c r="D13" s="2"/>
      <c r="E13" s="5"/>
      <c r="F13" s="5"/>
      <c r="G13" s="5"/>
    </row>
    <row r="14" spans="1:7" ht="14.25" thickTop="1" thickBot="1">
      <c r="A14" s="2"/>
      <c r="B14" s="2"/>
      <c r="C14" s="2"/>
      <c r="D14" s="2"/>
      <c r="E14" s="5"/>
      <c r="F14" s="5"/>
      <c r="G14" s="5"/>
    </row>
    <row r="15" spans="1:7" ht="14.25" thickTop="1" thickBot="1">
      <c r="A15" s="17" t="s">
        <v>59</v>
      </c>
      <c r="B15" s="2"/>
      <c r="C15" s="2"/>
      <c r="E15" s="74">
        <f>IF(AND(C11="oui",C9="oui"),F252-250,F252)</f>
        <v>0</v>
      </c>
    </row>
    <row r="16" spans="1:7" ht="13.5" thickTop="1">
      <c r="A16" s="7" t="s">
        <v>60</v>
      </c>
      <c r="B16" s="4"/>
      <c r="C16" s="4"/>
      <c r="D16" s="71">
        <f>C205</f>
        <v>0</v>
      </c>
      <c r="E16" s="63"/>
      <c r="F16" s="16"/>
      <c r="G16" s="15"/>
    </row>
    <row r="17" spans="1:7">
      <c r="A17" s="7" t="s">
        <v>61</v>
      </c>
      <c r="B17" s="4"/>
      <c r="C17" s="4"/>
      <c r="D17" s="71">
        <f>IF(C9="oui",-7500,0)</f>
        <v>0</v>
      </c>
      <c r="E17" s="63"/>
      <c r="F17" s="16"/>
      <c r="G17" s="15"/>
    </row>
    <row r="18" spans="1:7">
      <c r="A18" s="7" t="s">
        <v>62</v>
      </c>
      <c r="B18" s="4"/>
      <c r="C18" s="4"/>
      <c r="D18" s="71">
        <f>IF(AND(C9="oui",C10="oui"),-1875,0)</f>
        <v>0</v>
      </c>
      <c r="E18" s="63"/>
      <c r="F18" s="16"/>
      <c r="G18" s="15"/>
    </row>
    <row r="19" spans="1:7">
      <c r="A19" s="4" t="s">
        <v>63</v>
      </c>
      <c r="B19" s="4"/>
      <c r="C19" s="4"/>
      <c r="D19" s="72">
        <v>0</v>
      </c>
      <c r="E19" s="63"/>
      <c r="F19" s="5"/>
      <c r="G19" s="5"/>
    </row>
    <row r="20" spans="1:7">
      <c r="A20" s="7" t="s">
        <v>64</v>
      </c>
      <c r="B20" s="73">
        <v>0</v>
      </c>
      <c r="C20" s="4"/>
      <c r="D20" s="71">
        <f>B20*30</f>
        <v>0</v>
      </c>
      <c r="E20" s="63"/>
      <c r="F20" s="5"/>
      <c r="G20" s="5"/>
    </row>
    <row r="21" spans="1:7">
      <c r="A21" s="7" t="s">
        <v>65</v>
      </c>
      <c r="B21" s="4"/>
      <c r="C21" s="4"/>
      <c r="D21" s="72">
        <v>770</v>
      </c>
      <c r="E21" s="63"/>
      <c r="F21" s="5"/>
      <c r="G21" s="5"/>
    </row>
    <row r="22" spans="1:7" ht="13.5" thickBot="1">
      <c r="A22" s="7" t="s">
        <v>66</v>
      </c>
      <c r="B22" s="4"/>
      <c r="C22" s="4"/>
      <c r="D22" s="72">
        <v>0</v>
      </c>
      <c r="E22" s="63"/>
      <c r="F22" s="5"/>
      <c r="G22" s="5"/>
    </row>
    <row r="23" spans="1:7" ht="14.25" thickTop="1" thickBot="1">
      <c r="A23" s="19" t="s">
        <v>67</v>
      </c>
      <c r="B23" s="4"/>
      <c r="C23" s="4"/>
      <c r="E23" s="75">
        <f>SUM(D16:D22)</f>
        <v>770</v>
      </c>
      <c r="F23" s="5"/>
      <c r="G23" s="5"/>
    </row>
    <row r="24" spans="1:7" ht="14.25" thickTop="1" thickBot="1">
      <c r="B24" s="4"/>
      <c r="C24" s="4"/>
      <c r="D24" s="20" t="s">
        <v>85</v>
      </c>
      <c r="E24" s="76">
        <f>(E15+D21)*21%</f>
        <v>161.69999999999999</v>
      </c>
      <c r="F24" s="5"/>
      <c r="G24" s="5"/>
    </row>
    <row r="25" spans="1:7" ht="14.25" thickTop="1" thickBot="1">
      <c r="A25" s="21"/>
      <c r="B25" s="4"/>
      <c r="C25" s="4"/>
      <c r="D25" s="22"/>
      <c r="E25" s="64"/>
      <c r="F25" s="5"/>
      <c r="G25" s="5"/>
    </row>
    <row r="26" spans="1:7" ht="14.25" thickTop="1" thickBot="1">
      <c r="A26" s="19" t="s">
        <v>68</v>
      </c>
      <c r="B26" s="4"/>
      <c r="C26" s="4"/>
      <c r="D26" s="24"/>
      <c r="E26" s="77">
        <f>SUM(E15:E24)</f>
        <v>931.7</v>
      </c>
      <c r="F26" s="5"/>
      <c r="G26" s="5"/>
    </row>
    <row r="27" spans="1:7" ht="14.25" thickTop="1" thickBot="1">
      <c r="A27" s="7"/>
      <c r="B27" s="4"/>
      <c r="C27" s="4"/>
      <c r="D27" s="24"/>
      <c r="E27" s="65"/>
      <c r="F27" s="5"/>
      <c r="G27" s="5"/>
    </row>
    <row r="28" spans="1:7" ht="14.25" thickTop="1" thickBot="1">
      <c r="A28" s="12" t="s">
        <v>69</v>
      </c>
      <c r="B28" s="4"/>
      <c r="C28" s="4"/>
      <c r="D28" s="18"/>
      <c r="E28" s="63"/>
      <c r="F28" s="5"/>
      <c r="G28" s="5"/>
    </row>
    <row r="29" spans="1:7" ht="13.5" thickTop="1">
      <c r="E29" s="63"/>
      <c r="F29" s="5"/>
      <c r="G29" s="5"/>
    </row>
    <row r="30" spans="1:7">
      <c r="A30" s="7" t="s">
        <v>70</v>
      </c>
      <c r="B30" s="4"/>
      <c r="C30" s="4"/>
      <c r="D30" s="72">
        <v>0</v>
      </c>
      <c r="E30" s="63"/>
      <c r="F30" s="5"/>
      <c r="G30" s="5"/>
    </row>
    <row r="31" spans="1:7" ht="13.5" thickBot="1">
      <c r="A31" s="7"/>
      <c r="B31" s="4"/>
      <c r="C31" s="4"/>
      <c r="D31" s="62"/>
      <c r="E31" s="63"/>
      <c r="F31" s="5"/>
      <c r="G31" s="5"/>
    </row>
    <row r="32" spans="1:7" ht="14.25" thickTop="1" thickBot="1">
      <c r="A32" s="26" t="s">
        <v>71</v>
      </c>
      <c r="B32" s="27"/>
      <c r="C32" s="28"/>
      <c r="D32" s="62"/>
      <c r="E32" s="63"/>
      <c r="F32" s="5"/>
      <c r="G32" s="5"/>
    </row>
    <row r="33" spans="1:7" ht="13.5" thickTop="1">
      <c r="A33" s="7"/>
      <c r="B33" s="4"/>
      <c r="C33" s="4"/>
      <c r="D33" s="62"/>
      <c r="E33" s="63"/>
      <c r="F33" s="5"/>
      <c r="G33" s="5"/>
    </row>
    <row r="34" spans="1:7">
      <c r="A34" s="7" t="s">
        <v>72</v>
      </c>
      <c r="B34" s="4"/>
      <c r="C34" s="3" t="s">
        <v>84</v>
      </c>
      <c r="D34" s="72">
        <v>0</v>
      </c>
      <c r="E34" s="65"/>
    </row>
    <row r="35" spans="1:7">
      <c r="A35" s="7" t="s">
        <v>73</v>
      </c>
      <c r="B35" s="4"/>
      <c r="C35" s="3" t="s">
        <v>83</v>
      </c>
      <c r="D35" s="72">
        <v>0</v>
      </c>
      <c r="E35" s="63"/>
      <c r="F35" s="5"/>
      <c r="G35" s="5"/>
    </row>
    <row r="36" spans="1:7">
      <c r="A36" s="7" t="s">
        <v>74</v>
      </c>
      <c r="B36" s="73">
        <v>0</v>
      </c>
      <c r="C36" s="3" t="s">
        <v>83</v>
      </c>
      <c r="D36" s="71">
        <f>B36*35</f>
        <v>0</v>
      </c>
      <c r="E36" s="63"/>
      <c r="F36" s="5"/>
      <c r="G36" s="5"/>
    </row>
    <row r="37" spans="1:7">
      <c r="A37" s="7" t="s">
        <v>75</v>
      </c>
      <c r="B37" s="4"/>
      <c r="C37" s="3" t="s">
        <v>83</v>
      </c>
      <c r="D37" s="72">
        <v>0</v>
      </c>
      <c r="E37" s="63"/>
      <c r="F37" s="5"/>
      <c r="G37" s="5"/>
    </row>
    <row r="38" spans="1:7" ht="13.5" thickBot="1">
      <c r="A38" s="7"/>
      <c r="B38" s="4"/>
      <c r="C38" s="4"/>
      <c r="D38" s="62"/>
      <c r="E38" s="63"/>
      <c r="F38" s="5"/>
      <c r="G38" s="5"/>
    </row>
    <row r="39" spans="1:7" ht="14.25" thickTop="1" thickBot="1">
      <c r="A39" s="19" t="s">
        <v>76</v>
      </c>
      <c r="B39" s="4"/>
      <c r="C39" s="4"/>
      <c r="D39" s="78">
        <f>E218</f>
        <v>0</v>
      </c>
      <c r="E39" s="63"/>
      <c r="F39" s="5"/>
      <c r="G39" s="5"/>
    </row>
    <row r="40" spans="1:7" ht="14.25" thickTop="1" thickBot="1">
      <c r="A40" s="7"/>
      <c r="B40" s="4"/>
      <c r="C40" s="20" t="s">
        <v>85</v>
      </c>
      <c r="D40" s="79">
        <f>F217</f>
        <v>0</v>
      </c>
      <c r="E40" s="65"/>
      <c r="F40" s="5"/>
      <c r="G40" s="5"/>
    </row>
    <row r="41" spans="1:7" ht="14.25" thickTop="1" thickBot="1">
      <c r="A41" s="7"/>
      <c r="B41" s="4"/>
      <c r="C41" s="4"/>
      <c r="D41" s="62"/>
      <c r="E41" s="63"/>
      <c r="F41" s="5"/>
      <c r="G41" s="5"/>
    </row>
    <row r="42" spans="1:7" ht="14.25" thickTop="1" thickBot="1">
      <c r="A42" s="19" t="s">
        <v>77</v>
      </c>
      <c r="B42" s="4"/>
      <c r="C42" s="4"/>
      <c r="D42" s="80">
        <f>E224</f>
        <v>0</v>
      </c>
      <c r="E42" s="63"/>
      <c r="F42" s="5"/>
      <c r="G42" s="5"/>
    </row>
    <row r="43" spans="1:7" ht="14.25" thickTop="1" thickBot="1">
      <c r="A43" s="4"/>
      <c r="B43" s="4"/>
      <c r="C43" s="20" t="s">
        <v>85</v>
      </c>
      <c r="D43" s="79">
        <f>F224</f>
        <v>0</v>
      </c>
      <c r="E43" s="65"/>
      <c r="F43" s="5"/>
      <c r="G43" s="15"/>
    </row>
    <row r="44" spans="1:7" ht="14.25" thickTop="1" thickBot="1">
      <c r="A44" s="4"/>
      <c r="B44" s="4"/>
      <c r="C44" s="4"/>
      <c r="D44" s="22"/>
      <c r="E44" s="63"/>
      <c r="F44" s="5"/>
      <c r="G44" s="15"/>
    </row>
    <row r="45" spans="1:7" ht="14.25" thickTop="1" thickBot="1">
      <c r="A45" s="82" t="s">
        <v>78</v>
      </c>
      <c r="B45" s="4"/>
      <c r="C45" s="4"/>
      <c r="D45" s="22"/>
      <c r="E45" s="81">
        <f>E26+D39+D40</f>
        <v>931.7</v>
      </c>
      <c r="F45" s="5"/>
      <c r="G45" s="15"/>
    </row>
    <row r="46" spans="1:7" ht="14.25" thickTop="1" thickBot="1">
      <c r="A46" s="4"/>
      <c r="B46" s="4"/>
      <c r="C46" s="4"/>
      <c r="D46" s="22"/>
      <c r="E46" s="63"/>
      <c r="F46" s="5"/>
      <c r="G46" s="15"/>
    </row>
    <row r="47" spans="1:7" ht="14.25" thickTop="1" thickBot="1">
      <c r="A47" s="84" t="s">
        <v>79</v>
      </c>
      <c r="B47" s="29"/>
      <c r="C47" s="4"/>
      <c r="D47" s="30"/>
      <c r="E47" s="83">
        <f>D30+D42+D43</f>
        <v>0</v>
      </c>
      <c r="F47" s="31"/>
      <c r="G47" s="15"/>
    </row>
    <row r="48" spans="1:7" ht="13.5" thickTop="1">
      <c r="A48" s="2"/>
      <c r="B48" s="4"/>
      <c r="C48" s="4"/>
      <c r="D48" s="4"/>
      <c r="E48" s="58"/>
      <c r="F48" s="5"/>
      <c r="G48" s="15"/>
    </row>
    <row r="49" spans="1:8" ht="18">
      <c r="A49" s="70" t="s">
        <v>99</v>
      </c>
      <c r="B49" s="4"/>
      <c r="C49" s="4"/>
      <c r="D49" s="4"/>
      <c r="E49" s="58"/>
      <c r="F49" s="5"/>
      <c r="G49" s="15"/>
    </row>
    <row r="50" spans="1:8" ht="13.5" thickBot="1">
      <c r="A50" s="2"/>
      <c r="B50" s="4"/>
      <c r="C50" s="4"/>
      <c r="D50" s="4"/>
      <c r="E50" s="58"/>
      <c r="F50" s="5"/>
      <c r="G50" s="15"/>
    </row>
    <row r="51" spans="1:8" ht="13.5" thickTop="1">
      <c r="A51" s="92" t="s">
        <v>100</v>
      </c>
      <c r="B51" s="93"/>
      <c r="C51" s="93" t="s">
        <v>101</v>
      </c>
      <c r="D51" s="123">
        <v>0</v>
      </c>
      <c r="E51" s="94"/>
      <c r="F51" s="95"/>
      <c r="G51" s="96"/>
      <c r="H51" s="97"/>
    </row>
    <row r="52" spans="1:8">
      <c r="A52" s="98"/>
      <c r="B52" s="4"/>
      <c r="C52" s="4" t="s">
        <v>102</v>
      </c>
      <c r="D52" s="72">
        <v>0</v>
      </c>
      <c r="E52" s="58"/>
      <c r="F52" s="5"/>
      <c r="G52" s="15"/>
      <c r="H52" s="99"/>
    </row>
    <row r="53" spans="1:8">
      <c r="A53" s="98"/>
      <c r="B53" s="4"/>
      <c r="C53" s="4" t="s">
        <v>55</v>
      </c>
      <c r="D53" s="85">
        <f>SUM(D51:D52)</f>
        <v>0</v>
      </c>
      <c r="E53" s="58"/>
      <c r="F53" s="5"/>
      <c r="G53" s="15"/>
      <c r="H53" s="99"/>
    </row>
    <row r="54" spans="1:8">
      <c r="A54" s="98"/>
      <c r="B54" s="4"/>
      <c r="C54" s="4"/>
      <c r="D54" s="62"/>
      <c r="E54" s="58"/>
      <c r="F54" s="5"/>
      <c r="G54" s="15"/>
      <c r="H54" s="99"/>
    </row>
    <row r="55" spans="1:8">
      <c r="A55" s="98" t="s">
        <v>103</v>
      </c>
      <c r="B55" s="4"/>
      <c r="C55" s="4"/>
      <c r="D55" s="124">
        <v>0</v>
      </c>
      <c r="E55" s="58"/>
      <c r="F55" s="5"/>
      <c r="G55" s="15"/>
      <c r="H55" s="99"/>
    </row>
    <row r="56" spans="1:8">
      <c r="A56" s="98"/>
      <c r="B56" s="4"/>
      <c r="C56" s="4"/>
      <c r="D56" s="4"/>
      <c r="E56" s="58"/>
      <c r="F56" s="5"/>
      <c r="G56" s="15"/>
      <c r="H56" s="99"/>
    </row>
    <row r="57" spans="1:8">
      <c r="A57" s="98" t="s">
        <v>104</v>
      </c>
      <c r="B57" s="4"/>
      <c r="C57" s="73" t="s">
        <v>82</v>
      </c>
      <c r="D57" s="4"/>
      <c r="E57" s="58"/>
      <c r="F57" s="5"/>
      <c r="G57" s="15"/>
      <c r="H57" s="99"/>
    </row>
    <row r="58" spans="1:8">
      <c r="A58" s="98" t="s">
        <v>120</v>
      </c>
      <c r="B58" s="21"/>
      <c r="C58" s="86">
        <v>1</v>
      </c>
      <c r="D58" s="4"/>
      <c r="E58" s="58"/>
      <c r="F58" s="5"/>
      <c r="G58" s="15"/>
      <c r="H58" s="99"/>
    </row>
    <row r="59" spans="1:8">
      <c r="A59" s="98" t="s">
        <v>3</v>
      </c>
      <c r="B59" s="4"/>
      <c r="C59" s="4"/>
      <c r="D59" s="4"/>
      <c r="E59" s="58"/>
      <c r="F59" s="5"/>
      <c r="G59" s="15"/>
      <c r="H59" s="99"/>
    </row>
    <row r="60" spans="1:8">
      <c r="A60" s="98"/>
      <c r="B60" s="4"/>
      <c r="C60" s="4"/>
      <c r="D60" s="4"/>
      <c r="E60" s="58"/>
      <c r="F60" s="5"/>
      <c r="G60" s="15" t="s">
        <v>59</v>
      </c>
      <c r="H60" s="100">
        <f>IF(C57="oui",E186/2+4.239,E186)</f>
        <v>0</v>
      </c>
    </row>
    <row r="61" spans="1:8">
      <c r="A61" s="98" t="s">
        <v>105</v>
      </c>
      <c r="B61" s="4"/>
      <c r="C61" s="4"/>
      <c r="D61" s="4"/>
      <c r="E61" s="88">
        <f>D53/100</f>
        <v>0</v>
      </c>
      <c r="F61" s="5"/>
      <c r="G61" s="15" t="s">
        <v>106</v>
      </c>
      <c r="H61" s="101">
        <f>H60*21/100</f>
        <v>0</v>
      </c>
    </row>
    <row r="62" spans="1:8">
      <c r="A62" s="98" t="s">
        <v>107</v>
      </c>
      <c r="B62" s="4"/>
      <c r="C62" s="4"/>
      <c r="D62" s="4"/>
      <c r="E62" s="125">
        <v>0</v>
      </c>
      <c r="F62" s="5"/>
      <c r="G62" s="15"/>
      <c r="H62" s="102"/>
    </row>
    <row r="63" spans="1:8">
      <c r="A63" s="98"/>
      <c r="B63" s="4"/>
      <c r="C63" s="4"/>
      <c r="D63" s="4"/>
      <c r="E63" s="87"/>
      <c r="F63" s="5"/>
      <c r="G63" s="15"/>
      <c r="H63" s="102"/>
    </row>
    <row r="64" spans="1:8">
      <c r="A64" s="98" t="s">
        <v>108</v>
      </c>
      <c r="B64" s="4"/>
      <c r="C64" s="4"/>
      <c r="D64" s="89">
        <f>D53*0.3%</f>
        <v>0</v>
      </c>
      <c r="E64" s="87"/>
      <c r="F64" s="5"/>
      <c r="G64" s="15"/>
      <c r="H64" s="102"/>
    </row>
    <row r="65" spans="1:8">
      <c r="A65" s="98" t="s">
        <v>109</v>
      </c>
      <c r="B65" s="4"/>
      <c r="C65" s="4"/>
      <c r="D65" s="89">
        <f>A113*C58</f>
        <v>87.31</v>
      </c>
      <c r="E65" s="87"/>
      <c r="F65" s="5"/>
      <c r="G65" s="15"/>
      <c r="H65" s="102"/>
    </row>
    <row r="66" spans="1:8">
      <c r="A66" s="98" t="s">
        <v>110</v>
      </c>
      <c r="B66" s="4"/>
      <c r="C66" s="4"/>
      <c r="D66" s="4"/>
      <c r="E66" s="88">
        <f>IF((D172-D64-D65)&lt;22,D172+50,D172)</f>
        <v>150</v>
      </c>
      <c r="F66" s="5"/>
      <c r="G66" s="15"/>
      <c r="H66" s="102"/>
    </row>
    <row r="67" spans="1:8">
      <c r="A67" s="98"/>
      <c r="B67" s="4"/>
      <c r="C67" s="4"/>
      <c r="D67" s="4"/>
      <c r="E67" s="87"/>
      <c r="F67" s="5"/>
      <c r="G67" s="15"/>
      <c r="H67" s="102"/>
    </row>
    <row r="68" spans="1:8">
      <c r="A68" s="98" t="s">
        <v>111</v>
      </c>
      <c r="B68" s="4"/>
      <c r="C68" s="4"/>
      <c r="D68" s="4"/>
      <c r="E68" s="88">
        <v>50</v>
      </c>
      <c r="F68" s="5"/>
      <c r="G68" s="15"/>
      <c r="H68" s="102"/>
    </row>
    <row r="69" spans="1:8">
      <c r="A69" s="98"/>
      <c r="B69" s="4"/>
      <c r="C69" s="4"/>
      <c r="D69" s="4" t="s">
        <v>106</v>
      </c>
      <c r="E69" s="90">
        <f>E68*21%</f>
        <v>10.5</v>
      </c>
      <c r="F69" s="5"/>
      <c r="G69" s="15"/>
      <c r="H69" s="102"/>
    </row>
    <row r="70" spans="1:8">
      <c r="A70" s="98"/>
      <c r="B70" s="4"/>
      <c r="C70" s="4"/>
      <c r="D70" s="4"/>
      <c r="E70" s="87"/>
      <c r="F70" s="5"/>
      <c r="G70" s="15"/>
      <c r="H70" s="102"/>
    </row>
    <row r="71" spans="1:8">
      <c r="A71" s="98" t="s">
        <v>65</v>
      </c>
      <c r="B71" s="4"/>
      <c r="C71" s="4"/>
      <c r="D71" s="4"/>
      <c r="E71" s="125">
        <v>660</v>
      </c>
      <c r="F71" s="5"/>
      <c r="G71" s="15"/>
      <c r="H71" s="102"/>
    </row>
    <row r="72" spans="1:8">
      <c r="A72" s="98"/>
      <c r="B72" s="4"/>
      <c r="C72" s="4"/>
      <c r="D72" s="4" t="s">
        <v>106</v>
      </c>
      <c r="E72" s="90">
        <f>E71*21%</f>
        <v>138.6</v>
      </c>
      <c r="F72" s="5"/>
      <c r="G72" s="15"/>
      <c r="H72" s="102"/>
    </row>
    <row r="73" spans="1:8">
      <c r="A73" s="98"/>
      <c r="B73" s="4"/>
      <c r="C73" s="4"/>
      <c r="D73" s="4"/>
      <c r="E73" s="87"/>
      <c r="F73" s="5"/>
      <c r="G73" s="15"/>
      <c r="H73" s="102"/>
    </row>
    <row r="74" spans="1:8">
      <c r="A74" s="98" t="s">
        <v>72</v>
      </c>
      <c r="B74" s="4"/>
      <c r="C74" s="4"/>
      <c r="D74" s="4"/>
      <c r="E74" s="125">
        <v>0</v>
      </c>
      <c r="F74" s="5"/>
      <c r="G74" s="15"/>
      <c r="H74" s="102"/>
    </row>
    <row r="75" spans="1:8">
      <c r="A75" s="103"/>
      <c r="B75" s="4"/>
      <c r="C75" s="4"/>
      <c r="D75" s="4" t="s">
        <v>106</v>
      </c>
      <c r="E75" s="90">
        <f>E74*21%</f>
        <v>0</v>
      </c>
      <c r="F75" s="5"/>
      <c r="G75" s="15"/>
      <c r="H75" s="102"/>
    </row>
    <row r="76" spans="1:8">
      <c r="A76" s="103"/>
      <c r="B76" s="4"/>
      <c r="C76" s="4"/>
      <c r="D76" s="4"/>
      <c r="E76" s="87"/>
      <c r="F76" s="5"/>
      <c r="G76" s="15"/>
      <c r="H76" s="102"/>
    </row>
    <row r="77" spans="1:8">
      <c r="A77" s="103"/>
      <c r="B77" s="4"/>
      <c r="C77" s="4"/>
      <c r="D77" s="4" t="s">
        <v>112</v>
      </c>
      <c r="E77" s="91">
        <f>A143</f>
        <v>860</v>
      </c>
      <c r="F77" s="5"/>
      <c r="G77" s="15" t="s">
        <v>113</v>
      </c>
      <c r="H77" s="104">
        <f>H60</f>
        <v>0</v>
      </c>
    </row>
    <row r="78" spans="1:8">
      <c r="A78" s="103"/>
      <c r="B78" s="4"/>
      <c r="C78" s="4"/>
      <c r="D78" s="4"/>
      <c r="E78" s="58"/>
      <c r="F78" s="5"/>
      <c r="G78" s="15" t="s">
        <v>112</v>
      </c>
      <c r="H78" s="104">
        <f>E77</f>
        <v>860</v>
      </c>
    </row>
    <row r="79" spans="1:8">
      <c r="A79" s="103"/>
      <c r="B79" s="4"/>
      <c r="C79" s="4"/>
      <c r="D79" s="4"/>
      <c r="E79" s="58"/>
      <c r="F79" s="5"/>
      <c r="G79" s="15" t="s">
        <v>114</v>
      </c>
      <c r="H79" s="105">
        <f>SUM(H77+E77)</f>
        <v>860</v>
      </c>
    </row>
    <row r="80" spans="1:8">
      <c r="A80" s="103"/>
      <c r="B80" s="4"/>
      <c r="C80" s="4"/>
      <c r="D80" s="4"/>
      <c r="E80" s="58"/>
      <c r="F80" s="5"/>
      <c r="G80" s="15"/>
      <c r="H80" s="102"/>
    </row>
    <row r="81" spans="1:8">
      <c r="A81" s="103"/>
      <c r="B81" s="4"/>
      <c r="C81" s="4"/>
      <c r="D81" s="4"/>
      <c r="E81" s="58"/>
      <c r="F81" s="5"/>
      <c r="G81" s="15" t="s">
        <v>85</v>
      </c>
      <c r="H81" s="106">
        <f>SUM(E69,E72,E75,H61)</f>
        <v>149.1</v>
      </c>
    </row>
    <row r="82" spans="1:8" ht="13.5" thickBot="1">
      <c r="A82" s="103"/>
      <c r="B82" s="4"/>
      <c r="C82" s="4"/>
      <c r="D82" s="4"/>
      <c r="E82" s="58"/>
      <c r="F82" s="5"/>
      <c r="G82" s="15"/>
      <c r="H82" s="102"/>
    </row>
    <row r="83" spans="1:8" ht="14.25" thickTop="1" thickBot="1">
      <c r="A83" s="107"/>
      <c r="B83" s="108"/>
      <c r="C83" s="108"/>
      <c r="D83" s="108"/>
      <c r="E83" s="109"/>
      <c r="F83" s="110"/>
      <c r="G83" s="111" t="s">
        <v>113</v>
      </c>
      <c r="H83" s="112">
        <f>SUM(H79:H81)</f>
        <v>1009.1</v>
      </c>
    </row>
    <row r="84" spans="1:8" ht="13.5" thickTop="1">
      <c r="A84" s="2"/>
      <c r="B84" s="4"/>
      <c r="C84" s="4"/>
      <c r="D84" s="4"/>
      <c r="E84" s="58"/>
      <c r="F84" s="5"/>
      <c r="G84" s="15"/>
    </row>
    <row r="85" spans="1:8" ht="18.75" thickBot="1">
      <c r="A85" s="70" t="s">
        <v>115</v>
      </c>
      <c r="B85" s="4"/>
      <c r="C85" s="4"/>
      <c r="D85" s="4"/>
      <c r="E85" s="58"/>
      <c r="F85" s="5"/>
      <c r="G85" s="15"/>
    </row>
    <row r="86" spans="1:8" ht="13.5" thickTop="1">
      <c r="A86" s="92" t="s">
        <v>101</v>
      </c>
      <c r="B86" s="93"/>
      <c r="C86" s="123">
        <v>0</v>
      </c>
      <c r="D86" s="93"/>
      <c r="E86" s="94"/>
      <c r="F86" s="95"/>
      <c r="G86" s="113"/>
    </row>
    <row r="87" spans="1:8">
      <c r="A87" s="98" t="s">
        <v>102</v>
      </c>
      <c r="B87" s="4"/>
      <c r="C87" s="72">
        <v>0</v>
      </c>
      <c r="D87" s="4"/>
      <c r="E87" s="58"/>
      <c r="F87" s="5"/>
      <c r="G87" s="114"/>
    </row>
    <row r="88" spans="1:8">
      <c r="A88" s="98" t="s">
        <v>55</v>
      </c>
      <c r="B88" s="4"/>
      <c r="C88" s="85">
        <f>SUM(C86:C87)</f>
        <v>0</v>
      </c>
      <c r="D88" s="4"/>
      <c r="E88" s="58"/>
      <c r="F88" s="5"/>
      <c r="G88" s="114"/>
    </row>
    <row r="89" spans="1:8">
      <c r="A89" s="98"/>
      <c r="B89" s="4"/>
      <c r="C89" s="4"/>
      <c r="D89" s="4"/>
      <c r="E89" s="58"/>
      <c r="F89" s="5"/>
      <c r="G89" s="114"/>
    </row>
    <row r="90" spans="1:8">
      <c r="A90" s="98" t="s">
        <v>116</v>
      </c>
      <c r="B90" s="4"/>
      <c r="C90" s="73">
        <v>1</v>
      </c>
      <c r="D90" s="4"/>
      <c r="E90" s="58"/>
      <c r="F90" s="5"/>
      <c r="G90" s="114"/>
    </row>
    <row r="91" spans="1:8">
      <c r="A91" s="98" t="s">
        <v>3</v>
      </c>
      <c r="B91" s="4"/>
      <c r="C91" s="4"/>
      <c r="D91" s="4"/>
      <c r="E91" s="58"/>
      <c r="F91" s="5"/>
      <c r="G91" s="114"/>
    </row>
    <row r="92" spans="1:8">
      <c r="A92" s="98" t="s">
        <v>111</v>
      </c>
      <c r="B92" s="4"/>
      <c r="C92" s="4"/>
      <c r="D92" s="71">
        <v>50</v>
      </c>
      <c r="E92" s="58"/>
      <c r="F92" s="5" t="s">
        <v>117</v>
      </c>
      <c r="G92" s="121">
        <f>E130</f>
        <v>0</v>
      </c>
    </row>
    <row r="93" spans="1:8">
      <c r="A93" s="98" t="s">
        <v>105</v>
      </c>
      <c r="B93" s="4"/>
      <c r="C93" s="4"/>
      <c r="D93" s="71">
        <v>50</v>
      </c>
      <c r="E93" s="58"/>
      <c r="F93" s="5"/>
      <c r="G93" s="115"/>
    </row>
    <row r="94" spans="1:8">
      <c r="A94" s="98" t="s">
        <v>107</v>
      </c>
      <c r="B94" s="4"/>
      <c r="C94" s="4"/>
      <c r="D94" s="126">
        <v>0</v>
      </c>
      <c r="E94" s="58"/>
      <c r="F94" s="5"/>
      <c r="G94" s="115"/>
    </row>
    <row r="95" spans="1:8">
      <c r="A95" s="98" t="s">
        <v>65</v>
      </c>
      <c r="B95" s="4"/>
      <c r="C95" s="4"/>
      <c r="D95" s="127">
        <f>C115</f>
        <v>185</v>
      </c>
      <c r="E95" s="58"/>
      <c r="F95" s="5"/>
      <c r="G95" s="115"/>
    </row>
    <row r="96" spans="1:8">
      <c r="A96" s="103"/>
      <c r="B96" s="4"/>
      <c r="C96" s="4"/>
      <c r="D96" s="62"/>
      <c r="E96" s="58"/>
      <c r="F96" s="5"/>
      <c r="G96" s="115"/>
    </row>
    <row r="97" spans="1:7">
      <c r="A97" s="103"/>
      <c r="B97" s="4"/>
      <c r="C97" s="4" t="s">
        <v>112</v>
      </c>
      <c r="D97" s="116">
        <f>SUM(D92:D96)</f>
        <v>285</v>
      </c>
      <c r="E97" s="58"/>
      <c r="F97" s="5" t="s">
        <v>113</v>
      </c>
      <c r="G97" s="117">
        <f>G92</f>
        <v>0</v>
      </c>
    </row>
    <row r="98" spans="1:7">
      <c r="A98" s="103"/>
      <c r="B98" s="4"/>
      <c r="C98" s="4"/>
      <c r="D98" s="4"/>
      <c r="E98" s="58"/>
      <c r="F98" s="5" t="s">
        <v>118</v>
      </c>
      <c r="G98" s="117">
        <f>SUM(D92:D96)</f>
        <v>285</v>
      </c>
    </row>
    <row r="99" spans="1:7">
      <c r="A99" s="103"/>
      <c r="B99" s="4"/>
      <c r="C99" s="4"/>
      <c r="D99" s="4"/>
      <c r="E99" s="58"/>
      <c r="F99" s="5" t="s">
        <v>114</v>
      </c>
      <c r="G99" s="118">
        <f>SUM(G97:G98)</f>
        <v>285</v>
      </c>
    </row>
    <row r="100" spans="1:7">
      <c r="A100" s="103"/>
      <c r="B100" s="4"/>
      <c r="C100" s="4"/>
      <c r="D100" s="4"/>
      <c r="E100" s="58"/>
      <c r="F100" s="5"/>
      <c r="G100" s="115"/>
    </row>
    <row r="101" spans="1:7">
      <c r="A101" s="103"/>
      <c r="B101" s="4"/>
      <c r="C101" s="4"/>
      <c r="D101" s="4"/>
      <c r="E101" s="58"/>
      <c r="F101" s="5" t="s">
        <v>85</v>
      </c>
      <c r="G101" s="119">
        <f>(D92+D95+G92)*21%</f>
        <v>49.35</v>
      </c>
    </row>
    <row r="102" spans="1:7" ht="13.5" thickBot="1">
      <c r="A102" s="103"/>
      <c r="B102" s="4"/>
      <c r="C102" s="4"/>
      <c r="D102" s="4"/>
      <c r="E102" s="58"/>
      <c r="F102" s="5"/>
      <c r="G102" s="115"/>
    </row>
    <row r="103" spans="1:7" ht="14.25" thickTop="1" thickBot="1">
      <c r="A103" s="107"/>
      <c r="B103" s="108"/>
      <c r="C103" s="108"/>
      <c r="D103" s="108"/>
      <c r="E103" s="109"/>
      <c r="F103" s="110" t="s">
        <v>113</v>
      </c>
      <c r="G103" s="120">
        <f>SUM(G99:G101)</f>
        <v>334.35</v>
      </c>
    </row>
    <row r="104" spans="1:7" ht="13.5" thickTop="1">
      <c r="A104" s="2"/>
      <c r="B104" s="4"/>
      <c r="C104" s="4"/>
      <c r="D104" s="4"/>
      <c r="E104" s="58"/>
      <c r="F104" s="5"/>
      <c r="G104" s="15"/>
    </row>
    <row r="105" spans="1:7">
      <c r="A105" s="2"/>
      <c r="B105" s="4"/>
      <c r="C105" s="32" t="s">
        <v>7</v>
      </c>
      <c r="D105" s="32" t="s">
        <v>8</v>
      </c>
      <c r="E105" s="58"/>
      <c r="F105" s="5"/>
      <c r="G105" s="15"/>
    </row>
    <row r="106" spans="1:7">
      <c r="A106" s="2"/>
      <c r="B106" s="4"/>
      <c r="D106" s="24"/>
      <c r="E106" s="58"/>
      <c r="F106" s="5"/>
      <c r="G106" s="15"/>
    </row>
    <row r="107" spans="1:7">
      <c r="A107" s="2"/>
      <c r="B107" s="4"/>
      <c r="C107" s="32" t="s">
        <v>5</v>
      </c>
      <c r="D107" s="32" t="s">
        <v>6</v>
      </c>
      <c r="E107" s="58"/>
      <c r="F107" s="5"/>
      <c r="G107" s="15"/>
    </row>
    <row r="108" spans="1:7">
      <c r="A108" s="2"/>
      <c r="B108" s="4"/>
      <c r="C108" s="33"/>
      <c r="D108" s="33"/>
      <c r="E108" s="58"/>
      <c r="F108" s="5"/>
      <c r="G108" s="15"/>
    </row>
    <row r="109" spans="1:7">
      <c r="A109" s="2"/>
      <c r="B109" s="4"/>
      <c r="C109" s="35" t="s">
        <v>86</v>
      </c>
      <c r="E109" s="58"/>
      <c r="F109" s="5"/>
      <c r="G109" s="15"/>
    </row>
    <row r="110" spans="1:7">
      <c r="A110" s="2"/>
      <c r="B110" s="4"/>
      <c r="C110" s="4"/>
      <c r="D110" s="4"/>
      <c r="E110" s="58"/>
      <c r="F110" s="5"/>
      <c r="G110" s="15"/>
    </row>
    <row r="111" spans="1:7" hidden="1">
      <c r="A111" s="2"/>
      <c r="B111" s="4"/>
      <c r="C111" s="4"/>
      <c r="D111" s="4"/>
      <c r="E111" s="58"/>
      <c r="F111" s="5"/>
      <c r="G111" s="15"/>
    </row>
    <row r="112" spans="1:7" hidden="1">
      <c r="A112" s="2"/>
      <c r="B112" s="4"/>
      <c r="C112" s="4"/>
      <c r="D112" s="4"/>
      <c r="E112" s="58"/>
      <c r="F112" s="5"/>
      <c r="G112" s="15"/>
    </row>
    <row r="113" spans="1:7" hidden="1">
      <c r="A113" s="2">
        <f>(A133+ROUNDDOWN((D51+D52-1)/C134,0)*A134)+20</f>
        <v>87.31</v>
      </c>
      <c r="B113" s="4"/>
      <c r="C113" s="4">
        <f>IF(C90=1,185,0)</f>
        <v>185</v>
      </c>
      <c r="D113" s="4">
        <f>IF(C90=2,335,0)</f>
        <v>0</v>
      </c>
      <c r="E113" s="58">
        <f>IF(C90&gt;2,(335+(C90-2)*200),0)</f>
        <v>0</v>
      </c>
      <c r="F113" s="5"/>
      <c r="G113" s="15"/>
    </row>
    <row r="114" spans="1:7" hidden="1">
      <c r="A114" s="2"/>
      <c r="B114" s="4"/>
      <c r="C114" s="4"/>
      <c r="D114" s="4"/>
      <c r="E114" s="58"/>
      <c r="F114" s="5"/>
      <c r="G114" s="15"/>
    </row>
    <row r="115" spans="1:7" hidden="1">
      <c r="A115" s="2"/>
      <c r="B115" s="4"/>
      <c r="C115" s="4">
        <f>SUM(C113:E113)</f>
        <v>185</v>
      </c>
      <c r="D115" s="4"/>
      <c r="E115" s="58"/>
      <c r="F115" s="5"/>
      <c r="G115" s="15"/>
    </row>
    <row r="116" spans="1:7" hidden="1">
      <c r="A116" s="2"/>
      <c r="B116" s="4"/>
      <c r="C116" s="4"/>
      <c r="D116" s="4"/>
      <c r="E116" s="58"/>
      <c r="F116" s="5"/>
      <c r="G116" s="15"/>
    </row>
    <row r="117" spans="1:7" hidden="1">
      <c r="A117" s="2"/>
      <c r="B117" s="4"/>
      <c r="C117" s="4"/>
      <c r="D117" s="4"/>
      <c r="E117" s="58"/>
      <c r="F117" s="5"/>
      <c r="G117" s="15"/>
    </row>
    <row r="118" spans="1:7" hidden="1">
      <c r="A118" s="2"/>
      <c r="B118" s="4"/>
      <c r="C118" s="4"/>
      <c r="D118" s="4"/>
      <c r="E118" s="58"/>
      <c r="F118" s="5"/>
      <c r="G118" s="15"/>
    </row>
    <row r="119" spans="1:7" hidden="1">
      <c r="A119" s="2" t="s">
        <v>87</v>
      </c>
      <c r="B119" s="4"/>
      <c r="C119" s="4">
        <f>C88</f>
        <v>0</v>
      </c>
      <c r="D119" s="4"/>
      <c r="E119" s="58"/>
      <c r="F119" s="5"/>
      <c r="G119" s="15"/>
    </row>
    <row r="120" spans="1:7" hidden="1">
      <c r="A120" s="2" t="s">
        <v>49</v>
      </c>
      <c r="B120" s="4"/>
      <c r="C120" s="4" t="s">
        <v>49</v>
      </c>
      <c r="D120" s="4" t="s">
        <v>88</v>
      </c>
      <c r="E120" s="58" t="s">
        <v>89</v>
      </c>
      <c r="F120" s="5"/>
      <c r="G120" s="15"/>
    </row>
    <row r="121" spans="1:7" hidden="1">
      <c r="A121" s="2">
        <v>0</v>
      </c>
      <c r="B121" s="4"/>
      <c r="C121" s="4">
        <v>7500</v>
      </c>
      <c r="D121" s="4">
        <v>1.4250000000000001E-2</v>
      </c>
      <c r="E121" s="58">
        <f>IF(C88&lt;C121,C88*D121,C121*D121)</f>
        <v>0</v>
      </c>
      <c r="F121" s="5"/>
      <c r="G121" s="15"/>
    </row>
    <row r="122" spans="1:7" hidden="1">
      <c r="A122" s="2">
        <v>7500</v>
      </c>
      <c r="B122" s="4"/>
      <c r="C122" s="4">
        <v>17500</v>
      </c>
      <c r="D122" s="4">
        <v>1.14E-2</v>
      </c>
      <c r="E122" s="58" t="str">
        <f>IF(C88&lt;=A122," ",IF(C88&lt;C122,(C88-C121)*D122,(C122-A122)*D122))</f>
        <v xml:space="preserve"> </v>
      </c>
      <c r="F122" s="5"/>
      <c r="G122" s="15"/>
    </row>
    <row r="123" spans="1:7" hidden="1">
      <c r="A123" s="2">
        <v>17500</v>
      </c>
      <c r="B123" s="4"/>
      <c r="C123" s="4">
        <v>30000</v>
      </c>
      <c r="D123" s="4">
        <v>6.8399999999999997E-3</v>
      </c>
      <c r="E123" s="58" t="str">
        <f>IF(C88&lt;=A123," ",IF(C88&lt;C123,(C88-C122)*D123,(C123-A123)*D123))</f>
        <v xml:space="preserve"> </v>
      </c>
      <c r="F123" s="5"/>
      <c r="G123" s="15"/>
    </row>
    <row r="124" spans="1:7" hidden="1">
      <c r="A124" s="2">
        <v>30000</v>
      </c>
      <c r="B124" s="4"/>
      <c r="C124" s="4">
        <v>45495</v>
      </c>
      <c r="D124" s="4">
        <v>5.7000000000000002E-3</v>
      </c>
      <c r="E124" s="58" t="str">
        <f>IF(C88&lt;=A124," ",IF(C88&lt;C124,(C88-C123)*D124,(C124-A124)*D124))</f>
        <v xml:space="preserve"> </v>
      </c>
      <c r="F124" s="5"/>
      <c r="G124" s="15"/>
    </row>
    <row r="125" spans="1:7" hidden="1">
      <c r="A125" s="2">
        <v>45495</v>
      </c>
      <c r="B125" s="4"/>
      <c r="C125" s="4">
        <v>64095</v>
      </c>
      <c r="D125" s="4">
        <v>4.5599999999999998E-3</v>
      </c>
      <c r="E125" s="58" t="str">
        <f>IF(C88&lt;=A125," ",IF(C88&lt;C125,(C88-C124)*D125,(C125-A125)*D125))</f>
        <v xml:space="preserve"> </v>
      </c>
      <c r="F125" s="5"/>
      <c r="G125" s="15"/>
    </row>
    <row r="126" spans="1:7" hidden="1">
      <c r="A126" s="2">
        <v>64095</v>
      </c>
      <c r="B126" s="4"/>
      <c r="C126" s="4">
        <v>250095</v>
      </c>
      <c r="D126" s="4">
        <v>2.2799999999999999E-3</v>
      </c>
      <c r="E126" s="58" t="str">
        <f>IF(C88&lt;=A126," ",IF(C88&lt;C126,(C88-C125)*D126,(C126-A126)*D126))</f>
        <v xml:space="preserve"> </v>
      </c>
      <c r="F126" s="5"/>
      <c r="G126" s="15"/>
    </row>
    <row r="127" spans="1:7" hidden="1">
      <c r="A127" s="2">
        <v>250095</v>
      </c>
      <c r="B127" s="4"/>
      <c r="C127" s="4">
        <f>C88</f>
        <v>0</v>
      </c>
      <c r="D127" s="4">
        <v>4.5600000000000003E-4</v>
      </c>
      <c r="E127" s="58" t="str">
        <f>IF(C88&lt;=A127,"E90",IF(C88&lt;C127,(C88-C126)*D127,(C127-A127)*D127))</f>
        <v>E90</v>
      </c>
      <c r="F127" s="5"/>
      <c r="G127" s="15"/>
    </row>
    <row r="128" spans="1:7" hidden="1">
      <c r="A128" s="2"/>
      <c r="B128" s="4"/>
      <c r="C128" s="4"/>
      <c r="D128" s="4"/>
      <c r="E128" s="58"/>
      <c r="F128" s="5"/>
      <c r="G128" s="15"/>
    </row>
    <row r="129" spans="1:7" hidden="1">
      <c r="A129" s="2" t="s">
        <v>51</v>
      </c>
      <c r="B129" s="4"/>
      <c r="C129" s="4"/>
      <c r="D129" s="4" t="s">
        <v>90</v>
      </c>
      <c r="E129" s="58">
        <f>SUM(E121:E128)</f>
        <v>0</v>
      </c>
      <c r="F129" s="5"/>
      <c r="G129" s="15"/>
    </row>
    <row r="130" spans="1:7" hidden="1">
      <c r="A130" s="2"/>
      <c r="B130" s="4"/>
      <c r="C130" s="4"/>
      <c r="D130" s="4" t="s">
        <v>91</v>
      </c>
      <c r="E130" s="58">
        <f>E129/4</f>
        <v>0</v>
      </c>
      <c r="F130" s="5"/>
      <c r="G130" s="15"/>
    </row>
    <row r="131" spans="1:7" hidden="1">
      <c r="A131" s="2"/>
      <c r="B131" s="4"/>
      <c r="C131" s="4"/>
      <c r="D131" s="4"/>
      <c r="E131" s="58"/>
      <c r="F131" s="5"/>
      <c r="G131" s="15"/>
    </row>
    <row r="132" spans="1:7" hidden="1">
      <c r="A132" s="2" t="s">
        <v>92</v>
      </c>
      <c r="B132" s="4"/>
      <c r="C132" s="4"/>
      <c r="D132" s="4"/>
      <c r="E132" s="58"/>
      <c r="F132" s="5" t="s">
        <v>93</v>
      </c>
      <c r="G132" s="15"/>
    </row>
    <row r="133" spans="1:7" hidden="1">
      <c r="A133" s="2">
        <v>67.31</v>
      </c>
      <c r="B133" s="4" t="s">
        <v>94</v>
      </c>
      <c r="C133" s="4">
        <v>25000</v>
      </c>
      <c r="D133" s="4"/>
      <c r="E133" s="58"/>
      <c r="F133" s="5"/>
      <c r="G133" s="15"/>
    </row>
    <row r="134" spans="1:7" hidden="1">
      <c r="A134" s="2">
        <v>23.56</v>
      </c>
      <c r="B134" s="4" t="s">
        <v>95</v>
      </c>
      <c r="C134" s="4">
        <v>25000</v>
      </c>
      <c r="D134" s="4" t="s">
        <v>96</v>
      </c>
      <c r="E134" s="58"/>
      <c r="F134" s="5"/>
      <c r="G134" s="15"/>
    </row>
    <row r="135" spans="1:7" hidden="1">
      <c r="A135" s="2"/>
      <c r="B135" s="4"/>
      <c r="C135" s="4"/>
      <c r="D135" s="4"/>
      <c r="E135" s="58"/>
      <c r="F135" s="5"/>
      <c r="G135" s="15"/>
    </row>
    <row r="136" spans="1:7" hidden="1">
      <c r="A136" s="2"/>
      <c r="B136" s="4"/>
      <c r="C136" s="4"/>
      <c r="D136" s="4"/>
      <c r="E136" s="58"/>
      <c r="F136" s="5"/>
      <c r="G136" s="15"/>
    </row>
    <row r="137" spans="1:7" hidden="1">
      <c r="A137" s="2"/>
      <c r="B137" s="4"/>
      <c r="C137" s="4"/>
      <c r="D137" s="4"/>
      <c r="E137" s="58"/>
      <c r="F137" s="5"/>
      <c r="G137" s="15">
        <f>SUM(E71,E74)</f>
        <v>660</v>
      </c>
    </row>
    <row r="138" spans="1:7" hidden="1">
      <c r="A138" s="2" t="s">
        <v>97</v>
      </c>
      <c r="B138" s="4"/>
      <c r="C138" s="4" t="s">
        <v>49</v>
      </c>
      <c r="D138" s="4" t="s">
        <v>98</v>
      </c>
      <c r="E138" s="58"/>
      <c r="F138" s="5"/>
      <c r="G138" s="15"/>
    </row>
    <row r="139" spans="1:7" hidden="1">
      <c r="A139" s="2"/>
      <c r="B139" s="4"/>
      <c r="C139" s="4">
        <f>E62</f>
        <v>0</v>
      </c>
      <c r="D139" s="4">
        <f>IF(E62=0,575,550)</f>
        <v>575</v>
      </c>
      <c r="E139" s="58"/>
      <c r="F139" s="5"/>
      <c r="G139" s="15"/>
    </row>
    <row r="140" spans="1:7" hidden="1">
      <c r="A140" s="2"/>
      <c r="B140" s="4"/>
      <c r="C140" s="4"/>
      <c r="D140" s="4"/>
      <c r="E140" s="58"/>
      <c r="F140" s="5"/>
      <c r="G140" s="15"/>
    </row>
    <row r="141" spans="1:7" hidden="1">
      <c r="A141" s="2"/>
      <c r="B141" s="4"/>
      <c r="C141" s="4"/>
      <c r="D141" s="4"/>
      <c r="E141" s="58"/>
      <c r="F141" s="5"/>
      <c r="G141" s="15"/>
    </row>
    <row r="142" spans="1:7" hidden="1">
      <c r="A142" s="2"/>
      <c r="B142" s="4"/>
      <c r="C142" s="4"/>
      <c r="D142" s="4"/>
      <c r="E142" s="58"/>
      <c r="F142" s="5"/>
      <c r="G142" s="15"/>
    </row>
    <row r="143" spans="1:7" hidden="1">
      <c r="A143" s="2">
        <f>E61+E62+E66+E68+E71+E74</f>
        <v>860</v>
      </c>
      <c r="B143" s="4"/>
      <c r="C143" s="4"/>
      <c r="D143" s="4"/>
      <c r="E143" s="58" t="s">
        <v>81</v>
      </c>
      <c r="F143" s="5"/>
      <c r="G143" s="15"/>
    </row>
    <row r="144" spans="1:7" hidden="1">
      <c r="A144" s="2"/>
      <c r="B144" s="4"/>
      <c r="C144" s="4"/>
      <c r="D144" s="4"/>
      <c r="E144" s="58" t="s">
        <v>82</v>
      </c>
      <c r="F144" s="5"/>
      <c r="G144" s="15"/>
    </row>
    <row r="145" spans="1:7" hidden="1">
      <c r="A145" s="2"/>
      <c r="B145" s="4"/>
      <c r="C145" s="4"/>
      <c r="D145" s="4"/>
      <c r="E145" s="58"/>
      <c r="F145" s="5"/>
      <c r="G145" s="15"/>
    </row>
    <row r="146" spans="1:7" hidden="1">
      <c r="A146" s="2"/>
      <c r="B146" s="4"/>
      <c r="C146" s="4"/>
      <c r="D146" s="4"/>
      <c r="E146" s="58"/>
      <c r="F146" s="5"/>
      <c r="G146" s="15"/>
    </row>
    <row r="147" spans="1:7" hidden="1">
      <c r="A147" s="2"/>
      <c r="B147" s="4"/>
      <c r="C147" s="4"/>
      <c r="D147" s="4"/>
      <c r="E147" s="58"/>
      <c r="F147" s="5"/>
      <c r="G147" s="15"/>
    </row>
    <row r="148" spans="1:7" hidden="1">
      <c r="A148" s="2"/>
      <c r="B148" s="4"/>
      <c r="C148" s="4"/>
      <c r="D148" s="4"/>
      <c r="E148" s="58"/>
      <c r="F148" s="5"/>
      <c r="G148" s="15"/>
    </row>
    <row r="149" spans="1:7" hidden="1">
      <c r="A149" s="2"/>
      <c r="B149" s="4"/>
      <c r="C149" s="4"/>
      <c r="D149" s="4"/>
      <c r="E149" s="58"/>
      <c r="F149" s="5"/>
      <c r="G149" s="15"/>
    </row>
    <row r="150" spans="1:7" hidden="1">
      <c r="A150" s="2"/>
      <c r="B150" s="4"/>
      <c r="C150" s="4"/>
      <c r="D150" s="4"/>
      <c r="E150" s="58"/>
      <c r="F150" s="5"/>
      <c r="G150" s="15"/>
    </row>
    <row r="151" spans="1:7" hidden="1">
      <c r="A151" s="2"/>
      <c r="B151" s="4"/>
      <c r="C151" s="4"/>
      <c r="D151" s="4"/>
      <c r="E151" s="58"/>
      <c r="F151" s="5"/>
      <c r="G151" s="15"/>
    </row>
    <row r="152" spans="1:7" hidden="1">
      <c r="A152" s="2"/>
      <c r="B152" s="4"/>
      <c r="C152" s="4"/>
      <c r="D152" s="4"/>
      <c r="E152" s="58"/>
      <c r="F152" s="5"/>
      <c r="G152" s="15"/>
    </row>
    <row r="153" spans="1:7" hidden="1">
      <c r="A153" s="2"/>
      <c r="B153" s="4"/>
      <c r="C153" s="4"/>
      <c r="D153" s="4"/>
      <c r="E153" s="58"/>
      <c r="F153" s="5"/>
      <c r="G153" s="15"/>
    </row>
    <row r="154" spans="1:7" hidden="1">
      <c r="A154" s="2"/>
      <c r="B154" s="4"/>
      <c r="C154" s="4"/>
      <c r="D154" s="4"/>
      <c r="E154" s="58"/>
      <c r="F154" s="5"/>
      <c r="G154" s="15"/>
    </row>
    <row r="155" spans="1:7" hidden="1">
      <c r="A155" s="2"/>
      <c r="B155" s="4"/>
      <c r="C155" s="4"/>
      <c r="D155" s="4"/>
      <c r="E155" s="58"/>
      <c r="F155" s="5"/>
      <c r="G155" s="15"/>
    </row>
    <row r="156" spans="1:7" hidden="1">
      <c r="A156" s="2"/>
      <c r="B156" s="4"/>
      <c r="C156" s="4"/>
      <c r="D156" s="4"/>
      <c r="E156" s="58"/>
      <c r="F156" s="5"/>
      <c r="G156" s="15"/>
    </row>
    <row r="157" spans="1:7" hidden="1">
      <c r="A157" s="2"/>
      <c r="B157" s="4"/>
      <c r="C157" s="4"/>
      <c r="D157" s="4"/>
      <c r="E157" s="58"/>
      <c r="F157" s="5"/>
      <c r="G157" s="15"/>
    </row>
    <row r="158" spans="1:7" hidden="1">
      <c r="A158" s="2"/>
      <c r="B158" s="4"/>
      <c r="C158" s="4"/>
      <c r="D158" s="4"/>
      <c r="E158" s="58"/>
      <c r="F158" s="5"/>
      <c r="G158" s="15"/>
    </row>
    <row r="159" spans="1:7" hidden="1">
      <c r="A159" s="2"/>
      <c r="B159" s="4"/>
      <c r="C159" s="4"/>
      <c r="D159" s="4"/>
      <c r="E159" s="58"/>
      <c r="F159" s="5"/>
      <c r="G159" s="15"/>
    </row>
    <row r="160" spans="1:7" hidden="1">
      <c r="A160" s="2"/>
      <c r="B160" s="4"/>
      <c r="C160" s="4"/>
      <c r="D160" s="4"/>
      <c r="E160" s="58"/>
      <c r="F160" s="5"/>
      <c r="G160" s="15"/>
    </row>
    <row r="161" spans="1:7" hidden="1">
      <c r="A161" s="2"/>
      <c r="B161" s="4"/>
      <c r="C161" s="4"/>
      <c r="D161" s="4"/>
      <c r="E161" s="58"/>
      <c r="F161" s="5"/>
      <c r="G161" s="15"/>
    </row>
    <row r="162" spans="1:7" hidden="1">
      <c r="A162" s="2"/>
      <c r="B162" s="4"/>
      <c r="C162" s="4"/>
      <c r="D162" s="4"/>
      <c r="E162" s="58"/>
      <c r="F162" s="5"/>
      <c r="G162" s="15"/>
    </row>
    <row r="163" spans="1:7" hidden="1">
      <c r="A163" s="2"/>
      <c r="B163" s="4"/>
      <c r="C163" s="4"/>
      <c r="D163" s="4"/>
      <c r="E163" s="58"/>
      <c r="F163" s="5"/>
      <c r="G163" s="15"/>
    </row>
    <row r="164" spans="1:7" hidden="1">
      <c r="A164" s="2"/>
      <c r="B164" s="4"/>
      <c r="C164" s="4"/>
      <c r="D164" s="4"/>
      <c r="E164" s="58"/>
      <c r="F164" s="5"/>
      <c r="G164" s="15"/>
    </row>
    <row r="165" spans="1:7" hidden="1">
      <c r="A165" s="2"/>
      <c r="B165" s="4"/>
      <c r="C165" s="4"/>
      <c r="D165" s="4"/>
      <c r="E165" s="58"/>
      <c r="F165" s="5"/>
      <c r="G165" s="15"/>
    </row>
    <row r="166" spans="1:7" hidden="1">
      <c r="A166" s="2"/>
      <c r="B166" s="4"/>
      <c r="C166" s="4"/>
      <c r="D166" s="4"/>
      <c r="E166" s="58"/>
      <c r="F166" s="5"/>
      <c r="G166" s="15"/>
    </row>
    <row r="167" spans="1:7" hidden="1">
      <c r="A167" s="2"/>
      <c r="B167" s="4"/>
      <c r="C167" s="4"/>
      <c r="D167" s="4"/>
      <c r="E167" s="58"/>
      <c r="F167" s="5"/>
      <c r="G167" s="15"/>
    </row>
    <row r="168" spans="1:7" hidden="1">
      <c r="A168" s="2"/>
      <c r="B168" s="4"/>
      <c r="C168" s="4"/>
      <c r="D168" s="4"/>
      <c r="E168" s="58"/>
      <c r="F168" s="5"/>
      <c r="G168" s="15"/>
    </row>
    <row r="169" spans="1:7" hidden="1">
      <c r="A169" s="2"/>
      <c r="B169" s="4"/>
      <c r="C169" s="4"/>
      <c r="D169" s="4"/>
      <c r="E169" s="58"/>
      <c r="F169" s="5"/>
      <c r="G169" s="15"/>
    </row>
    <row r="170" spans="1:7" hidden="1">
      <c r="A170" s="2"/>
      <c r="B170" s="4"/>
      <c r="C170" s="4"/>
      <c r="D170" s="4"/>
      <c r="E170" s="58"/>
      <c r="F170" s="5"/>
      <c r="G170" s="15"/>
    </row>
    <row r="171" spans="1:7" hidden="1">
      <c r="A171" s="2"/>
      <c r="B171" s="4"/>
      <c r="C171" s="4"/>
      <c r="D171" s="4"/>
      <c r="E171" s="58"/>
      <c r="F171" s="5"/>
      <c r="G171" s="15"/>
    </row>
    <row r="172" spans="1:7" hidden="1">
      <c r="A172" s="2"/>
      <c r="B172" s="4"/>
      <c r="C172" s="4"/>
      <c r="D172" s="4">
        <f>ROUNDUP(D64+D65,-2)</f>
        <v>100</v>
      </c>
      <c r="E172" s="58"/>
      <c r="F172" s="5"/>
      <c r="G172" s="15"/>
    </row>
    <row r="173" spans="1:7" hidden="1">
      <c r="A173" s="2"/>
      <c r="B173" s="4"/>
      <c r="C173" s="4"/>
      <c r="D173" s="4"/>
      <c r="E173" s="58"/>
      <c r="F173" s="5"/>
      <c r="G173" s="15"/>
    </row>
    <row r="174" spans="1:7" hidden="1">
      <c r="A174" s="2"/>
      <c r="B174" s="4"/>
      <c r="C174" s="4"/>
      <c r="D174" s="4"/>
      <c r="E174" s="58"/>
      <c r="F174" s="5"/>
      <c r="G174" s="15"/>
    </row>
    <row r="175" spans="1:7" hidden="1">
      <c r="A175" s="2"/>
      <c r="B175" s="4"/>
      <c r="C175" s="4"/>
      <c r="D175" s="4"/>
      <c r="E175" s="58"/>
      <c r="F175" s="5"/>
      <c r="G175" s="15"/>
    </row>
    <row r="176" spans="1:7" hidden="1">
      <c r="A176" s="2" t="s">
        <v>87</v>
      </c>
      <c r="B176" s="4"/>
      <c r="C176" s="62">
        <f>D55</f>
        <v>0</v>
      </c>
      <c r="D176" s="4"/>
      <c r="E176" s="58"/>
      <c r="F176" s="5"/>
      <c r="G176" s="15"/>
    </row>
    <row r="177" spans="1:23" hidden="1">
      <c r="A177" s="2">
        <v>0</v>
      </c>
      <c r="B177" s="4"/>
      <c r="C177" s="4">
        <v>7500</v>
      </c>
      <c r="D177" s="4">
        <v>1.4250000000000001E-2</v>
      </c>
      <c r="E177" s="58"/>
      <c r="F177" s="5">
        <f>IF(D55&lt;C177,D55*D177,C177*D177)</f>
        <v>0</v>
      </c>
      <c r="G177" s="15"/>
    </row>
    <row r="178" spans="1:23" hidden="1">
      <c r="A178" s="2">
        <v>7500</v>
      </c>
      <c r="B178" s="4"/>
      <c r="C178" s="4">
        <v>17500</v>
      </c>
      <c r="D178" s="4">
        <v>1.14E-2</v>
      </c>
      <c r="E178" s="58"/>
      <c r="F178" s="5" t="str">
        <f>IF(D55&lt;=A178," ",IF(D55&lt;C178,(D55-C177)*D178,(C178-A178)*D178))</f>
        <v xml:space="preserve"> </v>
      </c>
      <c r="G178" s="15"/>
    </row>
    <row r="179" spans="1:23" hidden="1">
      <c r="A179" s="2">
        <v>17500</v>
      </c>
      <c r="B179" s="4"/>
      <c r="C179" s="4">
        <v>30000</v>
      </c>
      <c r="D179" s="4">
        <v>6.8399999999999997E-3</v>
      </c>
      <c r="E179" s="58"/>
      <c r="F179" s="5" t="str">
        <f>IF(D55&lt;=A179," ",IF(D55&lt;C179,(D55-C178)*D179,(C179-A179)*D179))</f>
        <v xml:space="preserve"> </v>
      </c>
      <c r="G179" s="15"/>
    </row>
    <row r="180" spans="1:23" hidden="1">
      <c r="A180" s="2">
        <v>30000</v>
      </c>
      <c r="B180" s="4"/>
      <c r="C180" s="4">
        <v>45495</v>
      </c>
      <c r="D180" s="4">
        <v>5.7000000000000002E-3</v>
      </c>
      <c r="E180" s="58"/>
      <c r="F180" s="5" t="str">
        <f>IF(D55&lt;=A180," ",IF(D55&lt;C180,(D55-C179)*D180,(C180-A180)*D180))</f>
        <v xml:space="preserve"> </v>
      </c>
      <c r="G180" s="15"/>
    </row>
    <row r="181" spans="1:23" hidden="1">
      <c r="A181" s="2">
        <v>45495</v>
      </c>
      <c r="B181" s="4"/>
      <c r="C181" s="4">
        <v>64095</v>
      </c>
      <c r="D181" s="4">
        <v>4.5599999999999998E-3</v>
      </c>
      <c r="E181" s="58"/>
      <c r="F181" s="5" t="str">
        <f>IF(D55&lt;=A181," ",IF(D55&lt;C181,(D55-C180)*D181,(C181-A181)*D181))</f>
        <v xml:space="preserve"> </v>
      </c>
      <c r="G181" s="15"/>
    </row>
    <row r="182" spans="1:23" hidden="1">
      <c r="A182" s="2">
        <v>64095</v>
      </c>
      <c r="B182" s="4"/>
      <c r="C182" s="4">
        <v>250095</v>
      </c>
      <c r="D182" s="4">
        <v>2.2799999999999999E-3</v>
      </c>
      <c r="E182" s="58"/>
      <c r="F182" s="5" t="str">
        <f>IF(D55&lt;=A182," ",IF(D55&lt;C182,(D55-C181)*D182,(C182-A182)*D182))</f>
        <v xml:space="preserve"> </v>
      </c>
      <c r="G182" s="15"/>
    </row>
    <row r="183" spans="1:23" hidden="1">
      <c r="A183" s="2">
        <v>250095</v>
      </c>
      <c r="B183" s="4"/>
      <c r="C183" s="4">
        <v>999999999</v>
      </c>
      <c r="D183" s="4">
        <v>4.5600000000000003E-4</v>
      </c>
      <c r="E183" s="58"/>
      <c r="F183" s="5" t="str">
        <f>IF(D55&lt;=A183," ",IF(D55&lt;C183,(D55-C182)*D183,(C183-A183)*D183))</f>
        <v xml:space="preserve"> </v>
      </c>
      <c r="G183" s="15"/>
    </row>
    <row r="184" spans="1:23" hidden="1">
      <c r="A184" s="2">
        <v>10075000</v>
      </c>
      <c r="B184" s="4"/>
      <c r="C184" s="4">
        <f>$C$100</f>
        <v>0</v>
      </c>
      <c r="D184" s="4">
        <v>4.5600000000000003E-4</v>
      </c>
      <c r="E184" s="58" t="str">
        <f>IF(D55&lt;=A184,"E90",IF(D55&lt;C184,(D55-C183)*D184,(C184-A184)*D184))</f>
        <v>E90</v>
      </c>
      <c r="F184" s="5"/>
      <c r="G184" s="15"/>
    </row>
    <row r="185" spans="1:23" hidden="1">
      <c r="A185" s="2"/>
      <c r="B185" s="4"/>
      <c r="C185" s="4"/>
      <c r="D185" s="4"/>
      <c r="E185" s="58"/>
      <c r="F185" s="5"/>
      <c r="G185" s="15"/>
    </row>
    <row r="186" spans="1:23" hidden="1">
      <c r="A186" s="2" t="s">
        <v>51</v>
      </c>
      <c r="B186" s="4"/>
      <c r="C186" s="4"/>
      <c r="D186" s="4"/>
      <c r="E186" s="58">
        <f>SUM(F177:F184)</f>
        <v>0</v>
      </c>
      <c r="F186" s="5"/>
      <c r="G186" s="15"/>
    </row>
    <row r="187" spans="1:23" hidden="1">
      <c r="A187" s="2"/>
      <c r="B187" s="4"/>
      <c r="C187" s="4"/>
      <c r="D187" s="4"/>
      <c r="E187" s="58"/>
      <c r="F187" s="5"/>
      <c r="G187" s="15"/>
    </row>
    <row r="188" spans="1:23" hidden="1">
      <c r="A188" s="2"/>
      <c r="B188" s="4"/>
      <c r="C188" s="4"/>
      <c r="D188" s="4"/>
      <c r="E188" s="58"/>
      <c r="F188" s="5"/>
      <c r="G188" s="15"/>
    </row>
    <row r="190" spans="1:23">
      <c r="D190" s="24"/>
    </row>
    <row r="191" spans="1:23">
      <c r="F191" s="25"/>
    </row>
    <row r="192" spans="1:23">
      <c r="F192" s="24"/>
      <c r="G192" s="23"/>
      <c r="H192" s="33"/>
      <c r="I192" s="33"/>
      <c r="J192" s="33"/>
      <c r="K192" s="33"/>
      <c r="L192" s="33"/>
      <c r="M192" s="33"/>
      <c r="N192" s="33"/>
      <c r="O192" s="33"/>
      <c r="P192" s="33"/>
      <c r="Q192" s="33"/>
      <c r="R192" s="33"/>
      <c r="S192" s="33"/>
      <c r="T192" s="33"/>
      <c r="U192" s="33"/>
      <c r="V192" s="33"/>
      <c r="W192" s="33"/>
    </row>
    <row r="193" spans="1:23">
      <c r="B193" s="33"/>
      <c r="F193" s="34"/>
      <c r="G193" s="33"/>
      <c r="H193" s="33"/>
      <c r="I193" s="33"/>
      <c r="J193" s="33"/>
      <c r="K193" s="33"/>
      <c r="L193" s="33"/>
      <c r="M193" s="33"/>
      <c r="N193" s="33"/>
      <c r="O193" s="33"/>
      <c r="P193" s="33"/>
      <c r="Q193" s="33"/>
      <c r="R193" s="33"/>
      <c r="S193" s="33"/>
      <c r="T193" s="33"/>
      <c r="U193" s="33"/>
      <c r="V193" s="33"/>
      <c r="W193" s="33"/>
    </row>
    <row r="194" spans="1:23">
      <c r="B194" s="33"/>
      <c r="E194" s="33"/>
      <c r="F194" s="33"/>
      <c r="G194" s="33"/>
      <c r="H194" s="33"/>
      <c r="I194" s="33"/>
      <c r="J194" s="33"/>
      <c r="K194" s="33"/>
      <c r="L194" s="33"/>
      <c r="M194" s="33"/>
      <c r="N194" s="33"/>
      <c r="O194" s="33"/>
      <c r="P194" s="33"/>
      <c r="Q194" s="33"/>
      <c r="R194" s="33"/>
      <c r="S194" s="33"/>
      <c r="T194" s="33"/>
      <c r="U194" s="33"/>
      <c r="V194" s="33"/>
      <c r="W194" s="33"/>
    </row>
    <row r="195" spans="1:23">
      <c r="B195" s="33"/>
      <c r="E195" s="33"/>
      <c r="F195" s="33"/>
      <c r="G195" s="33"/>
      <c r="H195" s="33"/>
      <c r="I195" s="33"/>
      <c r="J195" s="33"/>
      <c r="K195" s="33"/>
      <c r="L195" s="33"/>
      <c r="M195" s="33"/>
      <c r="N195" s="33"/>
      <c r="O195" s="33"/>
      <c r="P195" s="33"/>
      <c r="Q195" s="33"/>
      <c r="R195" s="33"/>
      <c r="S195" s="33"/>
      <c r="T195" s="33"/>
      <c r="U195" s="33"/>
      <c r="V195" s="33"/>
      <c r="W195" s="33"/>
    </row>
    <row r="196" spans="1:23">
      <c r="B196" s="33"/>
      <c r="C196" s="33"/>
      <c r="D196" s="33"/>
      <c r="E196" s="33"/>
      <c r="F196" s="33"/>
      <c r="G196" s="33"/>
      <c r="H196" s="33"/>
      <c r="I196" s="33"/>
      <c r="J196" s="33"/>
      <c r="K196" s="33"/>
      <c r="L196" s="33"/>
      <c r="M196" s="33"/>
      <c r="N196" s="33"/>
      <c r="O196" s="33"/>
      <c r="P196" s="33"/>
      <c r="Q196" s="33"/>
      <c r="R196" s="33"/>
      <c r="S196" s="33"/>
      <c r="T196" s="33"/>
      <c r="U196" s="33"/>
      <c r="V196" s="33"/>
      <c r="W196" s="33"/>
    </row>
    <row r="197" spans="1:23">
      <c r="B197" s="33"/>
      <c r="C197" s="33"/>
      <c r="D197" s="33"/>
      <c r="E197" s="33"/>
      <c r="F197" s="33"/>
      <c r="G197" s="33"/>
      <c r="H197" s="33"/>
      <c r="I197" s="33"/>
      <c r="J197" s="33"/>
      <c r="K197" s="33"/>
      <c r="L197" s="33"/>
      <c r="M197" s="33"/>
      <c r="N197" s="33"/>
      <c r="O197" s="33"/>
      <c r="P197" s="33"/>
      <c r="Q197" s="33"/>
      <c r="R197" s="33"/>
      <c r="S197" s="33"/>
      <c r="T197" s="33"/>
      <c r="U197" s="33"/>
      <c r="V197" s="33"/>
      <c r="W197" s="33"/>
    </row>
    <row r="198" spans="1:23">
      <c r="B198" s="33"/>
      <c r="C198" s="33"/>
      <c r="D198" s="33"/>
      <c r="E198" s="33"/>
      <c r="F198" s="33"/>
      <c r="G198" s="33"/>
      <c r="H198" s="33"/>
      <c r="I198" s="33"/>
      <c r="J198" s="33"/>
      <c r="K198" s="33"/>
      <c r="L198" s="33"/>
      <c r="M198" s="33"/>
      <c r="N198" s="33"/>
      <c r="O198" s="33"/>
      <c r="P198" s="33"/>
      <c r="Q198" s="33"/>
      <c r="R198" s="33"/>
      <c r="S198" s="33"/>
      <c r="T198" s="33"/>
      <c r="U198" s="33"/>
      <c r="V198" s="33"/>
      <c r="W198" s="33"/>
    </row>
    <row r="199" spans="1:23">
      <c r="B199" s="33"/>
      <c r="C199" s="33"/>
      <c r="D199" s="33"/>
      <c r="E199" s="33"/>
      <c r="F199" s="33"/>
      <c r="G199" s="33"/>
      <c r="H199" s="33"/>
      <c r="I199" s="33"/>
      <c r="J199" s="33"/>
      <c r="K199" s="33"/>
      <c r="L199" s="33"/>
      <c r="M199" s="33"/>
      <c r="N199" s="33"/>
      <c r="O199" s="33"/>
      <c r="P199" s="33"/>
      <c r="Q199" s="33"/>
      <c r="R199" s="33"/>
      <c r="S199" s="33"/>
      <c r="T199" s="33"/>
      <c r="U199" s="33"/>
      <c r="V199" s="33"/>
      <c r="W199" s="33"/>
    </row>
    <row r="200" spans="1:23">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hidden="1">
      <c r="B201" s="33"/>
      <c r="C201" s="33"/>
      <c r="D201" s="33"/>
      <c r="E201" s="33"/>
      <c r="F201" s="33"/>
      <c r="G201" s="33"/>
      <c r="H201" s="33"/>
      <c r="I201" s="33"/>
      <c r="J201" s="33"/>
      <c r="K201" s="33"/>
      <c r="L201" s="33"/>
      <c r="M201" s="33"/>
      <c r="N201" s="33"/>
      <c r="O201" s="33"/>
      <c r="P201" s="33"/>
      <c r="Q201" s="33"/>
      <c r="R201" s="33"/>
      <c r="S201" s="33"/>
      <c r="T201" s="33"/>
      <c r="U201" s="33"/>
      <c r="V201" s="33"/>
      <c r="W201" s="33"/>
    </row>
    <row r="202" spans="1:23" hidden="1">
      <c r="A202" s="6" t="s">
        <v>9</v>
      </c>
      <c r="B202" s="33" t="s">
        <v>9</v>
      </c>
      <c r="C202" s="33" t="s">
        <v>81</v>
      </c>
      <c r="D202" s="33" t="s">
        <v>81</v>
      </c>
      <c r="E202" s="33">
        <f>IF(B36*33-33&lt;0,0,B36*33-33)</f>
        <v>0</v>
      </c>
      <c r="F202" s="33"/>
      <c r="G202" s="33" t="s">
        <v>81</v>
      </c>
      <c r="H202" s="33"/>
      <c r="I202" s="33"/>
      <c r="J202" s="33"/>
      <c r="K202" s="33"/>
      <c r="L202" s="33"/>
      <c r="M202" s="33"/>
      <c r="N202" s="33"/>
      <c r="O202" s="33"/>
      <c r="P202" s="33"/>
      <c r="Q202" s="33"/>
      <c r="R202" s="33"/>
      <c r="S202" s="33"/>
      <c r="T202" s="33"/>
      <c r="U202" s="33"/>
      <c r="V202" s="33"/>
      <c r="W202" s="33"/>
    </row>
    <row r="203" spans="1:23" ht="15.75" hidden="1">
      <c r="A203" s="36" t="s">
        <v>10</v>
      </c>
      <c r="B203" s="36" t="s">
        <v>11</v>
      </c>
      <c r="C203" s="33" t="s">
        <v>82</v>
      </c>
      <c r="D203" s="33" t="s">
        <v>82</v>
      </c>
      <c r="E203" s="33"/>
      <c r="F203" s="33"/>
      <c r="G203" s="33" t="s">
        <v>82</v>
      </c>
      <c r="H203" s="33"/>
      <c r="I203" s="33"/>
      <c r="J203" s="33"/>
      <c r="K203" s="33"/>
      <c r="L203" s="33"/>
      <c r="M203" s="33"/>
      <c r="N203" s="33"/>
      <c r="O203" s="33"/>
      <c r="P203" s="33"/>
      <c r="Q203" s="33"/>
      <c r="R203" s="33"/>
      <c r="S203" s="33"/>
      <c r="T203" s="33"/>
      <c r="U203" s="33"/>
      <c r="V203" s="33"/>
      <c r="W203" s="33"/>
    </row>
    <row r="204" spans="1:23" ht="15.75" hidden="1">
      <c r="A204" s="36" t="s">
        <v>12</v>
      </c>
      <c r="B204" s="36" t="s">
        <v>13</v>
      </c>
      <c r="C204" s="33"/>
      <c r="D204" s="33"/>
      <c r="E204" s="33"/>
      <c r="F204" s="33"/>
      <c r="G204" s="33"/>
      <c r="H204" s="33"/>
      <c r="I204" s="33"/>
      <c r="J204" s="33"/>
      <c r="K204" s="33"/>
      <c r="L204" s="33"/>
      <c r="M204" s="33"/>
      <c r="N204" s="33"/>
      <c r="O204" s="33"/>
      <c r="P204" s="33"/>
      <c r="Q204" s="33"/>
      <c r="R204" s="33"/>
      <c r="S204" s="33"/>
      <c r="T204" s="33"/>
      <c r="U204" s="33"/>
      <c r="V204" s="33"/>
      <c r="W204" s="33"/>
    </row>
    <row r="205" spans="1:23" ht="15.75" hidden="1">
      <c r="A205" s="36" t="s">
        <v>14</v>
      </c>
      <c r="B205" s="36" t="s">
        <v>15</v>
      </c>
      <c r="C205" s="37">
        <f>B7*12.5/100</f>
        <v>0</v>
      </c>
      <c r="D205" s="33"/>
      <c r="E205" s="33"/>
      <c r="F205" s="33"/>
      <c r="G205" s="33"/>
      <c r="H205" s="33"/>
      <c r="I205" s="33"/>
      <c r="J205" s="33"/>
      <c r="K205" s="33"/>
      <c r="L205" s="33"/>
      <c r="M205" s="33"/>
      <c r="N205" s="33"/>
      <c r="O205" s="33"/>
      <c r="P205" s="33"/>
      <c r="Q205" s="33"/>
      <c r="R205" s="33"/>
      <c r="S205" s="33"/>
      <c r="T205" s="33"/>
      <c r="U205" s="33"/>
      <c r="V205" s="33"/>
      <c r="W205" s="33"/>
    </row>
    <row r="206" spans="1:23" ht="15.75" hidden="1">
      <c r="A206" s="36" t="s">
        <v>16</v>
      </c>
      <c r="B206" s="36" t="s">
        <v>17</v>
      </c>
      <c r="C206" s="33">
        <f>B7*10%</f>
        <v>0</v>
      </c>
      <c r="D206" s="33"/>
      <c r="E206" s="33"/>
      <c r="F206" s="33"/>
      <c r="G206" s="33"/>
      <c r="H206" s="33"/>
      <c r="I206" s="33"/>
      <c r="J206" s="33"/>
      <c r="K206" s="33"/>
      <c r="L206" s="33"/>
      <c r="M206" s="33"/>
      <c r="N206" s="33"/>
      <c r="O206" s="33"/>
      <c r="P206" s="33"/>
      <c r="Q206" s="33"/>
      <c r="R206" s="33"/>
      <c r="S206" s="33"/>
      <c r="T206" s="33"/>
      <c r="U206" s="33"/>
      <c r="V206" s="33"/>
      <c r="W206" s="33"/>
    </row>
    <row r="207" spans="1:23" ht="15.75" hidden="1">
      <c r="A207" s="36" t="s">
        <v>18</v>
      </c>
      <c r="B207" s="36" t="s">
        <v>19</v>
      </c>
      <c r="C207" s="33">
        <f>IF(B7&gt;195695.88,11741.75+(B7-195695.88)*12.5%,B7*6%)</f>
        <v>0</v>
      </c>
      <c r="D207" s="33">
        <f>IF(B7&gt;204917.15,12295.03+(B7-204917.15)*12.5%,B7*6%)</f>
        <v>0</v>
      </c>
      <c r="E207" s="33">
        <f>IF(B7&gt;215163,12909.78+(B7-215163)*12.5%,B7*6%)</f>
        <v>0</v>
      </c>
      <c r="F207" s="33"/>
      <c r="G207" s="33"/>
      <c r="H207" s="33"/>
      <c r="I207" s="33"/>
      <c r="J207" s="33"/>
      <c r="K207" s="33"/>
      <c r="L207" s="33"/>
      <c r="M207" s="33"/>
      <c r="N207" s="33"/>
      <c r="O207" s="33"/>
      <c r="P207" s="33"/>
      <c r="Q207" s="33"/>
      <c r="R207" s="33"/>
      <c r="S207" s="33"/>
      <c r="T207" s="33"/>
      <c r="U207" s="33"/>
      <c r="V207" s="33"/>
      <c r="W207" s="33"/>
    </row>
    <row r="208" spans="1:23" ht="15.75" hidden="1">
      <c r="A208" s="36" t="s">
        <v>20</v>
      </c>
      <c r="B208" s="36" t="s">
        <v>21</v>
      </c>
      <c r="C208" s="33">
        <f>IF(B7&gt;195695.88,9784.79+(B7-195695.88)*10%,B7*5%)</f>
        <v>0</v>
      </c>
      <c r="D208" s="33">
        <f>IF(B7&gt;204917.15,10245.86+(B7-204917.15)*10%,B7*5%)</f>
        <v>0</v>
      </c>
      <c r="E208" s="33">
        <f>IF(B7&gt;215163,10758.15+(B7-215163)*10%,B7*5%)</f>
        <v>0</v>
      </c>
      <c r="F208" s="33"/>
      <c r="G208" s="33"/>
      <c r="H208" s="33"/>
      <c r="I208" s="33"/>
      <c r="J208" s="33"/>
      <c r="K208" s="33"/>
      <c r="L208" s="33"/>
      <c r="M208" s="33"/>
      <c r="N208" s="33"/>
      <c r="O208" s="33"/>
      <c r="P208" s="33"/>
      <c r="Q208" s="33"/>
      <c r="R208" s="33"/>
      <c r="S208" s="33"/>
      <c r="T208" s="33"/>
      <c r="U208" s="33"/>
      <c r="V208" s="33"/>
      <c r="W208" s="33"/>
    </row>
    <row r="209" spans="1:23" ht="15.75" hidden="1">
      <c r="A209" s="36" t="s">
        <v>22</v>
      </c>
      <c r="B209" s="36" t="s">
        <v>23</v>
      </c>
      <c r="C209" s="33"/>
      <c r="D209" s="33"/>
      <c r="E209" s="33"/>
      <c r="F209" s="33"/>
      <c r="G209" s="33"/>
      <c r="H209" s="33"/>
      <c r="I209" s="33"/>
      <c r="J209" s="33"/>
      <c r="K209" s="33"/>
      <c r="L209" s="33"/>
      <c r="M209" s="33"/>
      <c r="N209" s="33"/>
      <c r="O209" s="33"/>
      <c r="P209" s="33"/>
      <c r="Q209" s="33"/>
      <c r="R209" s="33"/>
      <c r="S209" s="33"/>
      <c r="T209" s="33"/>
      <c r="U209" s="33"/>
      <c r="V209" s="33"/>
      <c r="W209" s="33"/>
    </row>
    <row r="210" spans="1:23" ht="15.75" hidden="1">
      <c r="A210" s="36" t="s">
        <v>24</v>
      </c>
      <c r="B210" s="36" t="s">
        <v>25</v>
      </c>
      <c r="C210" s="33">
        <f>IF(B10="oui",C206,C205)</f>
        <v>0</v>
      </c>
      <c r="D210" s="33"/>
      <c r="E210" s="33" t="s">
        <v>83</v>
      </c>
      <c r="F210" s="33" t="s">
        <v>83</v>
      </c>
      <c r="G210" s="33" t="s">
        <v>83</v>
      </c>
      <c r="H210" s="33" t="s">
        <v>83</v>
      </c>
      <c r="I210" s="33"/>
      <c r="J210" s="33"/>
      <c r="K210" s="33"/>
      <c r="L210" s="33"/>
      <c r="M210" s="33"/>
      <c r="N210" s="33"/>
      <c r="O210" s="33"/>
      <c r="P210" s="33"/>
      <c r="Q210" s="33"/>
      <c r="R210" s="33"/>
      <c r="S210" s="33"/>
      <c r="T210" s="33"/>
      <c r="U210" s="33"/>
      <c r="V210" s="33"/>
      <c r="W210" s="33"/>
    </row>
    <row r="211" spans="1:23" ht="15.75" hidden="1">
      <c r="A211" s="36" t="s">
        <v>26</v>
      </c>
      <c r="B211" s="36" t="s">
        <v>27</v>
      </c>
      <c r="C211" s="33">
        <f>IF(C6="oui",C212,C210)</f>
        <v>0</v>
      </c>
      <c r="D211" s="33"/>
      <c r="E211" s="33" t="s">
        <v>84</v>
      </c>
      <c r="F211" s="33" t="s">
        <v>84</v>
      </c>
      <c r="G211" s="33" t="s">
        <v>84</v>
      </c>
      <c r="H211" s="33" t="s">
        <v>84</v>
      </c>
      <c r="I211" s="33"/>
      <c r="J211" s="33"/>
      <c r="K211" s="33"/>
      <c r="L211" s="33"/>
      <c r="M211" s="33"/>
      <c r="N211" s="33"/>
      <c r="O211" s="33"/>
      <c r="P211" s="33"/>
      <c r="Q211" s="33"/>
      <c r="R211" s="33"/>
      <c r="S211" s="33"/>
      <c r="T211" s="33"/>
      <c r="U211" s="33"/>
      <c r="V211" s="33"/>
      <c r="W211" s="33"/>
    </row>
    <row r="212" spans="1:23" ht="15.75" hidden="1">
      <c r="A212" s="36" t="s">
        <v>28</v>
      </c>
      <c r="B212" s="36" t="s">
        <v>29</v>
      </c>
      <c r="C212" s="33">
        <f>IF(B10="oui",C215,C213)</f>
        <v>0</v>
      </c>
      <c r="D212" s="33"/>
      <c r="E212" s="33"/>
      <c r="F212" s="33"/>
      <c r="G212" s="33"/>
      <c r="H212" s="33"/>
      <c r="I212" s="33"/>
      <c r="J212" s="33"/>
      <c r="K212" s="33"/>
      <c r="L212" s="33"/>
      <c r="M212" s="33"/>
      <c r="N212" s="33"/>
      <c r="O212" s="33"/>
      <c r="P212" s="33"/>
      <c r="Q212" s="33"/>
      <c r="R212" s="33"/>
      <c r="S212" s="33"/>
      <c r="T212" s="33"/>
      <c r="U212" s="33"/>
      <c r="V212" s="33"/>
      <c r="W212" s="33"/>
    </row>
    <row r="213" spans="1:23" ht="15.75" hidden="1">
      <c r="A213" s="36" t="s">
        <v>30</v>
      </c>
      <c r="B213" s="36" t="s">
        <v>31</v>
      </c>
      <c r="C213" s="33">
        <f>IF(AND(C8="NVT",C9="NVT"),C207,C214)</f>
        <v>0</v>
      </c>
      <c r="D213" s="33"/>
      <c r="E213" s="33"/>
      <c r="F213" s="33"/>
      <c r="G213" s="33" t="s">
        <v>83</v>
      </c>
      <c r="H213" s="33"/>
      <c r="I213" s="33"/>
      <c r="J213" s="33"/>
      <c r="K213" s="33"/>
      <c r="L213" s="33"/>
      <c r="M213" s="33"/>
      <c r="N213" s="33"/>
      <c r="O213" s="33"/>
      <c r="P213" s="33"/>
      <c r="Q213" s="33"/>
      <c r="R213" s="33"/>
      <c r="S213" s="33"/>
      <c r="T213" s="33"/>
      <c r="U213" s="33"/>
      <c r="V213" s="33"/>
      <c r="W213" s="33"/>
    </row>
    <row r="214" spans="1:23" ht="15.75" hidden="1">
      <c r="A214" s="36" t="s">
        <v>32</v>
      </c>
      <c r="B214" s="36" t="s">
        <v>33</v>
      </c>
      <c r="C214" s="33">
        <f>IF(C8="NVT",D207,E207)</f>
        <v>0</v>
      </c>
      <c r="D214" s="33"/>
      <c r="E214" s="33">
        <f>IF(C34="acquéreur",D34,0)</f>
        <v>0</v>
      </c>
      <c r="F214" s="33">
        <f>IF(C34="acquéreur",D34*21%,0)</f>
        <v>0</v>
      </c>
      <c r="G214" s="33" t="s">
        <v>84</v>
      </c>
      <c r="H214" s="33"/>
      <c r="I214" s="33"/>
      <c r="J214" s="33"/>
      <c r="K214" s="33"/>
      <c r="L214" s="33"/>
      <c r="M214" s="33"/>
      <c r="N214" s="33"/>
      <c r="O214" s="33"/>
      <c r="P214" s="33"/>
      <c r="Q214" s="33"/>
      <c r="R214" s="33"/>
      <c r="S214" s="33"/>
      <c r="T214" s="33"/>
      <c r="U214" s="33"/>
      <c r="V214" s="33"/>
      <c r="W214" s="33"/>
    </row>
    <row r="215" spans="1:23" ht="15.75" hidden="1">
      <c r="A215" s="36" t="s">
        <v>34</v>
      </c>
      <c r="B215" s="36" t="s">
        <v>35</v>
      </c>
      <c r="C215" s="33">
        <f>IF(AND(C8="NVT",C9="NVT"),C208,C216)</f>
        <v>0</v>
      </c>
      <c r="D215" s="33"/>
      <c r="E215" s="33">
        <f>IF(C35="acquéreur",D35,0)</f>
        <v>0</v>
      </c>
      <c r="F215" s="33">
        <f>IF(C36="acquéreur",D36*21%,0)</f>
        <v>0</v>
      </c>
      <c r="G215" s="33"/>
      <c r="H215" s="33"/>
      <c r="I215" s="33"/>
      <c r="J215" s="33"/>
      <c r="K215" s="33"/>
      <c r="L215" s="33"/>
      <c r="M215" s="33"/>
      <c r="N215" s="33"/>
      <c r="O215" s="33"/>
      <c r="P215" s="33"/>
      <c r="Q215" s="33"/>
      <c r="R215" s="33"/>
      <c r="S215" s="33"/>
      <c r="T215" s="33"/>
      <c r="U215" s="33"/>
      <c r="V215" s="33"/>
      <c r="W215" s="33"/>
    </row>
    <row r="216" spans="1:23" ht="15.75" hidden="1">
      <c r="A216" s="36" t="s">
        <v>36</v>
      </c>
      <c r="B216" s="36" t="s">
        <v>37</v>
      </c>
      <c r="C216" s="33">
        <f>IF(C8="NVT",D208,E208)</f>
        <v>0</v>
      </c>
      <c r="D216" s="33"/>
      <c r="E216" s="33">
        <f>IF(C36="acquéreur",D36,0)</f>
        <v>0</v>
      </c>
      <c r="F216" s="33">
        <f>IF(C37="acquéreur",D37*21%,0)</f>
        <v>0</v>
      </c>
      <c r="G216" s="33"/>
      <c r="H216" s="33"/>
      <c r="I216" s="33"/>
      <c r="J216" s="33"/>
      <c r="K216" s="33"/>
      <c r="L216" s="33"/>
      <c r="M216" s="33"/>
      <c r="N216" s="33"/>
      <c r="O216" s="33"/>
      <c r="P216" s="33"/>
      <c r="Q216" s="33"/>
      <c r="R216" s="33"/>
      <c r="S216" s="33"/>
      <c r="T216" s="33"/>
      <c r="U216" s="33"/>
      <c r="V216" s="33"/>
      <c r="W216" s="33"/>
    </row>
    <row r="217" spans="1:23" ht="15.75" hidden="1">
      <c r="A217" s="36" t="s">
        <v>38</v>
      </c>
      <c r="B217" s="36" t="s">
        <v>39</v>
      </c>
      <c r="C217" s="33"/>
      <c r="D217" s="33"/>
      <c r="E217" s="33">
        <f>IF(C37="acquéreur",D37,0)</f>
        <v>0</v>
      </c>
      <c r="F217" s="33">
        <f>SUM(F214:F216)</f>
        <v>0</v>
      </c>
      <c r="G217" s="33"/>
      <c r="H217" s="33"/>
      <c r="I217" s="33"/>
      <c r="J217" s="33"/>
      <c r="K217" s="33"/>
      <c r="L217" s="33"/>
      <c r="M217" s="33"/>
      <c r="N217" s="33"/>
      <c r="O217" s="33"/>
      <c r="P217" s="33"/>
      <c r="Q217" s="33"/>
      <c r="R217" s="33"/>
      <c r="S217" s="33"/>
      <c r="T217" s="33"/>
      <c r="U217" s="33"/>
      <c r="V217" s="33"/>
      <c r="W217" s="33"/>
    </row>
    <row r="218" spans="1:23" ht="15.75" hidden="1">
      <c r="A218" s="36" t="s">
        <v>40</v>
      </c>
      <c r="B218" s="36" t="s">
        <v>41</v>
      </c>
      <c r="C218" s="33"/>
      <c r="D218" s="33"/>
      <c r="E218" s="33">
        <f>SUM(E214:E217)</f>
        <v>0</v>
      </c>
      <c r="F218" s="33"/>
      <c r="G218" s="33"/>
      <c r="H218" s="33"/>
      <c r="I218" s="33"/>
      <c r="J218" s="33"/>
      <c r="K218" s="33"/>
      <c r="L218" s="33"/>
      <c r="M218" s="33"/>
      <c r="N218" s="33"/>
      <c r="O218" s="33"/>
      <c r="P218" s="33"/>
      <c r="Q218" s="33"/>
      <c r="R218" s="33"/>
      <c r="S218" s="33"/>
      <c r="T218" s="33"/>
      <c r="U218" s="33"/>
      <c r="V218" s="33"/>
      <c r="W218" s="33"/>
    </row>
    <row r="219" spans="1:23" ht="15.75" hidden="1">
      <c r="A219" s="36" t="s">
        <v>42</v>
      </c>
      <c r="B219" s="36" t="s">
        <v>43</v>
      </c>
      <c r="C219" s="33"/>
      <c r="D219" s="33"/>
      <c r="E219" s="33"/>
      <c r="F219" s="33"/>
      <c r="G219" s="33"/>
      <c r="H219" s="33"/>
      <c r="I219" s="33"/>
      <c r="J219" s="33"/>
      <c r="K219" s="33"/>
      <c r="L219" s="33"/>
      <c r="M219" s="33"/>
      <c r="N219" s="33"/>
      <c r="O219" s="33"/>
      <c r="P219" s="33"/>
      <c r="Q219" s="33"/>
      <c r="R219" s="33"/>
      <c r="S219" s="33"/>
      <c r="T219" s="33"/>
      <c r="U219" s="33"/>
      <c r="V219" s="33"/>
      <c r="W219" s="33"/>
    </row>
    <row r="220" spans="1:23" ht="15.75" hidden="1">
      <c r="A220" s="36" t="s">
        <v>44</v>
      </c>
      <c r="B220" s="33"/>
      <c r="C220" s="33"/>
      <c r="D220" s="33"/>
      <c r="E220" s="33">
        <f>IF(C34="vendeur",D34,0)</f>
        <v>0</v>
      </c>
      <c r="F220" s="33"/>
      <c r="G220" s="33"/>
      <c r="H220" s="33"/>
      <c r="I220" s="33"/>
      <c r="J220" s="33"/>
      <c r="K220" s="33"/>
      <c r="L220" s="33"/>
      <c r="M220" s="33"/>
      <c r="N220" s="33"/>
      <c r="O220" s="33"/>
      <c r="P220" s="33"/>
      <c r="Q220" s="33"/>
      <c r="R220" s="33"/>
      <c r="S220" s="33"/>
      <c r="T220" s="33"/>
      <c r="U220" s="33"/>
      <c r="V220" s="33"/>
      <c r="W220" s="33"/>
    </row>
    <row r="221" spans="1:23" ht="15.75" hidden="1">
      <c r="A221" s="36" t="s">
        <v>45</v>
      </c>
      <c r="B221" s="33"/>
      <c r="C221" s="33"/>
      <c r="D221" s="33"/>
      <c r="E221" s="33">
        <f>IF(C35="vendeur",D35,0)</f>
        <v>0</v>
      </c>
      <c r="F221" s="33">
        <f>IF(C34="vendeur",D34*21%,0)</f>
        <v>0</v>
      </c>
      <c r="G221" s="33"/>
      <c r="H221" s="33"/>
      <c r="I221" s="33"/>
      <c r="J221" s="33"/>
      <c r="K221" s="33"/>
      <c r="L221" s="33"/>
      <c r="M221" s="33"/>
      <c r="N221" s="33"/>
      <c r="O221" s="33"/>
      <c r="P221" s="33"/>
      <c r="Q221" s="33"/>
      <c r="R221" s="33"/>
      <c r="S221" s="33"/>
      <c r="T221" s="33"/>
      <c r="U221" s="33"/>
      <c r="V221" s="33"/>
      <c r="W221" s="33"/>
    </row>
    <row r="222" spans="1:23" ht="15.75" hidden="1">
      <c r="A222" s="36" t="s">
        <v>46</v>
      </c>
      <c r="B222" s="33"/>
      <c r="C222" s="33"/>
      <c r="D222" s="33"/>
      <c r="E222" s="33">
        <f>IF(C36="vendeur",D36,0)</f>
        <v>0</v>
      </c>
      <c r="F222" s="33">
        <f>IF(C36="vendeur",D36*21%,0)</f>
        <v>0</v>
      </c>
      <c r="G222" s="33"/>
      <c r="H222" s="33"/>
      <c r="I222" s="33"/>
      <c r="J222" s="33"/>
      <c r="K222" s="33"/>
      <c r="L222" s="33"/>
      <c r="M222" s="33"/>
      <c r="N222" s="33"/>
      <c r="O222" s="33"/>
      <c r="P222" s="33"/>
      <c r="Q222" s="33"/>
      <c r="R222" s="33"/>
      <c r="S222" s="33"/>
      <c r="T222" s="33"/>
      <c r="U222" s="33"/>
      <c r="V222" s="33"/>
      <c r="W222" s="33"/>
    </row>
    <row r="223" spans="1:23" hidden="1">
      <c r="B223" s="33"/>
      <c r="C223" s="33"/>
      <c r="D223" s="33"/>
      <c r="E223" s="33">
        <f>IF(C37="vendeur",D37,0)</f>
        <v>0</v>
      </c>
      <c r="F223" s="33">
        <f>IF(C37="vendeur",D37*21%,0)</f>
        <v>0</v>
      </c>
      <c r="G223" s="33"/>
      <c r="H223" s="33"/>
      <c r="I223" s="33"/>
      <c r="J223" s="33"/>
      <c r="K223" s="33"/>
      <c r="L223" s="33"/>
      <c r="M223" s="33"/>
      <c r="N223" s="33"/>
      <c r="O223" s="33"/>
      <c r="P223" s="33"/>
      <c r="Q223" s="33"/>
      <c r="R223" s="33"/>
      <c r="S223" s="33"/>
      <c r="T223" s="33"/>
      <c r="U223" s="33"/>
      <c r="V223" s="33"/>
      <c r="W223" s="33"/>
    </row>
    <row r="224" spans="1:23" hidden="1">
      <c r="A224" s="38"/>
      <c r="B224" s="33"/>
      <c r="C224" s="33"/>
      <c r="D224" s="33"/>
      <c r="E224" s="33">
        <f>SUM(E220:E223)</f>
        <v>0</v>
      </c>
      <c r="F224" s="33">
        <f>SUM(F221:F223)</f>
        <v>0</v>
      </c>
      <c r="G224" s="33"/>
      <c r="H224" s="33"/>
      <c r="I224" s="33"/>
      <c r="J224" s="33"/>
      <c r="K224" s="33"/>
      <c r="L224" s="33"/>
      <c r="M224" s="33"/>
      <c r="N224" s="33"/>
      <c r="O224" s="33"/>
      <c r="P224" s="33"/>
      <c r="Q224" s="33"/>
      <c r="R224" s="33"/>
      <c r="S224" s="33"/>
      <c r="T224" s="33"/>
      <c r="U224" s="33"/>
      <c r="V224" s="33"/>
      <c r="W224" s="33"/>
    </row>
    <row r="225" spans="1:23" hidden="1">
      <c r="B225" s="33"/>
      <c r="C225" s="33"/>
      <c r="D225" s="33"/>
      <c r="E225" s="33"/>
      <c r="F225" s="33"/>
      <c r="G225" s="33"/>
      <c r="H225" s="33"/>
      <c r="I225" s="33"/>
      <c r="J225" s="33"/>
      <c r="K225" s="33"/>
      <c r="L225" s="33"/>
      <c r="M225" s="33"/>
      <c r="N225" s="33"/>
      <c r="O225" s="33"/>
      <c r="P225" s="33"/>
      <c r="Q225" s="33"/>
      <c r="R225" s="33"/>
      <c r="S225" s="33"/>
      <c r="T225" s="33"/>
      <c r="U225" s="33"/>
      <c r="V225" s="33"/>
      <c r="W225" s="33"/>
    </row>
    <row r="226" spans="1:23" hidden="1">
      <c r="B226" s="33"/>
      <c r="C226" s="33"/>
      <c r="D226" s="33"/>
      <c r="E226" s="33"/>
      <c r="F226" s="33"/>
      <c r="G226" s="33"/>
      <c r="H226" s="33"/>
      <c r="I226" s="33"/>
      <c r="J226" s="33"/>
      <c r="K226" s="33"/>
      <c r="L226" s="33"/>
      <c r="M226" s="33"/>
      <c r="N226" s="33"/>
      <c r="O226" s="33"/>
      <c r="P226" s="33"/>
      <c r="Q226" s="33"/>
      <c r="R226" s="33"/>
      <c r="S226" s="33"/>
      <c r="T226" s="33"/>
      <c r="U226" s="33"/>
      <c r="V226" s="33"/>
      <c r="W226" s="33"/>
    </row>
    <row r="227" spans="1:23" hidden="1">
      <c r="B227" s="18">
        <f>IF(B10=1,-1500,0)</f>
        <v>0</v>
      </c>
      <c r="C227" s="33">
        <f>IF(AND(C6=1,B10=1),-750,0)</f>
        <v>0</v>
      </c>
      <c r="D227" s="33"/>
      <c r="E227" s="33"/>
      <c r="F227" s="33"/>
      <c r="G227" s="33"/>
      <c r="H227" s="33"/>
      <c r="I227" s="33"/>
      <c r="J227" s="33"/>
      <c r="K227" s="33"/>
      <c r="L227" s="33"/>
      <c r="M227" s="33"/>
      <c r="N227" s="33"/>
      <c r="O227" s="33"/>
      <c r="P227" s="33"/>
      <c r="Q227" s="33"/>
      <c r="R227" s="33"/>
      <c r="S227" s="33"/>
      <c r="T227" s="33"/>
      <c r="U227" s="33"/>
      <c r="V227" s="33"/>
      <c r="W227" s="33"/>
    </row>
    <row r="228" spans="1:23" hidden="1">
      <c r="B228" s="18">
        <f>IF(B10=1,-750,0)</f>
        <v>0</v>
      </c>
      <c r="C228" s="33">
        <f>IF(AND(C6=0,B10=1),-1500,0)</f>
        <v>0</v>
      </c>
      <c r="D228" s="33"/>
      <c r="E228" s="33"/>
      <c r="F228" s="33"/>
      <c r="G228" s="33"/>
      <c r="H228" s="33"/>
      <c r="I228" s="33"/>
      <c r="J228" s="33"/>
      <c r="K228" s="33"/>
      <c r="L228" s="33"/>
      <c r="M228" s="33"/>
      <c r="N228" s="33"/>
      <c r="O228" s="33"/>
      <c r="P228" s="33"/>
      <c r="Q228" s="33"/>
      <c r="R228" s="33"/>
      <c r="S228" s="33"/>
      <c r="T228" s="33"/>
      <c r="U228" s="33"/>
      <c r="V228" s="33"/>
      <c r="W228" s="33"/>
    </row>
    <row r="229" spans="1:23" hidden="1">
      <c r="B229" s="33"/>
      <c r="C229" s="33"/>
      <c r="D229" s="33"/>
      <c r="E229" s="33"/>
      <c r="F229" s="33"/>
      <c r="G229" s="33"/>
      <c r="H229" s="33"/>
      <c r="I229" s="33"/>
      <c r="J229" s="33"/>
      <c r="K229" s="33"/>
      <c r="L229" s="33"/>
      <c r="M229" s="33"/>
      <c r="N229" s="33"/>
      <c r="O229" s="33"/>
      <c r="P229" s="33"/>
      <c r="Q229" s="33"/>
      <c r="R229" s="33"/>
      <c r="S229" s="33"/>
      <c r="T229" s="33"/>
      <c r="U229" s="33"/>
      <c r="V229" s="33"/>
      <c r="W229" s="33"/>
    </row>
    <row r="230" spans="1:23" hidden="1">
      <c r="B230" s="33"/>
      <c r="C230" s="33"/>
      <c r="D230" s="33"/>
      <c r="E230" s="33"/>
      <c r="F230" s="33"/>
      <c r="G230" s="33"/>
      <c r="H230" s="33"/>
      <c r="I230" s="33"/>
      <c r="J230" s="33"/>
      <c r="K230" s="33"/>
      <c r="L230" s="33"/>
      <c r="M230" s="33"/>
      <c r="N230" s="33"/>
      <c r="O230" s="33"/>
      <c r="P230" s="33"/>
      <c r="Q230" s="33"/>
      <c r="R230" s="33"/>
      <c r="S230" s="33"/>
      <c r="T230" s="33"/>
      <c r="U230" s="33"/>
      <c r="V230" s="33"/>
      <c r="W230" s="33"/>
    </row>
    <row r="231" spans="1:23" ht="13.5" hidden="1" thickBot="1">
      <c r="B231" s="33"/>
      <c r="C231" s="33"/>
      <c r="D231" s="33"/>
      <c r="E231" s="33"/>
      <c r="F231" s="33"/>
      <c r="G231" s="33"/>
      <c r="H231" s="33"/>
      <c r="I231" s="33"/>
      <c r="J231" s="33"/>
      <c r="K231" s="33"/>
      <c r="L231" s="33"/>
      <c r="M231" s="33"/>
      <c r="N231" s="33"/>
      <c r="O231" s="33"/>
      <c r="P231" s="33"/>
      <c r="Q231" s="33"/>
      <c r="R231" s="33"/>
      <c r="S231" s="33"/>
      <c r="T231" s="33"/>
      <c r="U231" s="33"/>
      <c r="V231" s="33"/>
      <c r="W231" s="33"/>
    </row>
    <row r="232" spans="1:23" ht="13.5" hidden="1" thickBot="1">
      <c r="B232" s="39"/>
      <c r="C232" s="33"/>
      <c r="D232" s="33"/>
      <c r="E232" s="33"/>
      <c r="F232" s="33"/>
      <c r="G232" s="33"/>
      <c r="H232" s="40"/>
      <c r="I232" s="40"/>
      <c r="J232" s="40"/>
      <c r="K232" s="40"/>
      <c r="L232" s="40"/>
      <c r="M232" s="40"/>
      <c r="N232" s="40"/>
      <c r="O232" s="40"/>
      <c r="P232" s="40"/>
      <c r="Q232" s="40"/>
      <c r="R232" s="40"/>
      <c r="S232" s="40"/>
      <c r="T232" s="40"/>
      <c r="U232" s="40"/>
      <c r="V232" s="40"/>
      <c r="W232" s="40"/>
    </row>
    <row r="233" spans="1:23" ht="13.5" hidden="1" thickBot="1">
      <c r="E233" s="40"/>
      <c r="F233" s="33"/>
      <c r="G233" s="40"/>
    </row>
    <row r="234" spans="1:23" ht="13.5" hidden="1" thickBot="1">
      <c r="F234" s="33"/>
    </row>
    <row r="235" spans="1:23" ht="13.5" hidden="1" thickBot="1">
      <c r="F235" s="40"/>
    </row>
    <row r="236" spans="1:23" hidden="1">
      <c r="A236" s="6" t="s">
        <v>1</v>
      </c>
      <c r="C236" s="6" t="s">
        <v>47</v>
      </c>
      <c r="D236" s="6" t="s">
        <v>48</v>
      </c>
    </row>
    <row r="237" spans="1:23" hidden="1">
      <c r="D237" s="6">
        <v>525</v>
      </c>
    </row>
    <row r="238" spans="1:23" hidden="1">
      <c r="D238" s="6">
        <v>100</v>
      </c>
    </row>
    <row r="239" spans="1:23" hidden="1">
      <c r="D239" s="6">
        <v>675</v>
      </c>
    </row>
    <row r="240" spans="1:23" hidden="1"/>
    <row r="241" spans="1:6" hidden="1"/>
    <row r="242" spans="1:6" hidden="1"/>
    <row r="243" spans="1:6" ht="14.25" hidden="1">
      <c r="A243" s="41" t="s">
        <v>49</v>
      </c>
      <c r="B243" s="41"/>
      <c r="C243" s="41" t="s">
        <v>49</v>
      </c>
      <c r="D243" s="42" t="s">
        <v>50</v>
      </c>
      <c r="E243" s="43"/>
      <c r="F243" s="41" t="s">
        <v>4</v>
      </c>
    </row>
    <row r="244" spans="1:6" ht="15" hidden="1">
      <c r="A244" s="44">
        <v>0</v>
      </c>
      <c r="B244" s="45"/>
      <c r="C244" s="44">
        <v>7500</v>
      </c>
      <c r="D244" s="46">
        <v>4.5600000000000002E-2</v>
      </c>
      <c r="E244" s="47"/>
      <c r="F244" s="44">
        <f>IF($B$7&lt;C244,$B$7*D244,C244*D244)</f>
        <v>0</v>
      </c>
    </row>
    <row r="245" spans="1:6" ht="15" hidden="1">
      <c r="A245" s="44">
        <v>7500</v>
      </c>
      <c r="B245" s="45"/>
      <c r="C245" s="44">
        <v>17500</v>
      </c>
      <c r="D245" s="46">
        <v>2.8500000000000001E-2</v>
      </c>
      <c r="E245" s="47"/>
      <c r="F245" s="45" t="str">
        <f t="shared" ref="F245:F250" si="0">IF($B$7&lt;=A245," ",IF($B$7&lt;C245,($B$7-C244)*D245,(C245-A245)*D245))</f>
        <v xml:space="preserve"> </v>
      </c>
    </row>
    <row r="246" spans="1:6" ht="15" hidden="1">
      <c r="A246" s="44">
        <v>17500</v>
      </c>
      <c r="B246" s="45"/>
      <c r="C246" s="44">
        <v>30000</v>
      </c>
      <c r="D246" s="46">
        <v>2.2800000000000001E-2</v>
      </c>
      <c r="E246" s="47"/>
      <c r="F246" s="45" t="str">
        <f t="shared" si="0"/>
        <v xml:space="preserve"> </v>
      </c>
    </row>
    <row r="247" spans="1:6" ht="15" hidden="1">
      <c r="A247" s="44">
        <v>30000</v>
      </c>
      <c r="B247" s="45"/>
      <c r="C247" s="44">
        <v>45495</v>
      </c>
      <c r="D247" s="46">
        <v>1.7100000000000001E-2</v>
      </c>
      <c r="E247" s="47"/>
      <c r="F247" s="45" t="str">
        <f t="shared" si="0"/>
        <v xml:space="preserve"> </v>
      </c>
    </row>
    <row r="248" spans="1:6" ht="15" hidden="1">
      <c r="A248" s="44">
        <v>45495</v>
      </c>
      <c r="B248" s="45"/>
      <c r="C248" s="44">
        <v>64095</v>
      </c>
      <c r="D248" s="46">
        <v>1.14E-2</v>
      </c>
      <c r="E248" s="47"/>
      <c r="F248" s="45" t="str">
        <f t="shared" si="0"/>
        <v xml:space="preserve"> </v>
      </c>
    </row>
    <row r="249" spans="1:6" ht="15" hidden="1">
      <c r="A249" s="44">
        <v>64095</v>
      </c>
      <c r="B249" s="45"/>
      <c r="C249" s="44">
        <v>250095</v>
      </c>
      <c r="D249" s="46">
        <v>5.7000000000000002E-3</v>
      </c>
      <c r="E249" s="47"/>
      <c r="F249" s="45" t="str">
        <f t="shared" si="0"/>
        <v xml:space="preserve"> </v>
      </c>
    </row>
    <row r="250" spans="1:6" ht="15" hidden="1">
      <c r="A250" s="44">
        <v>250095</v>
      </c>
      <c r="B250" s="45"/>
      <c r="C250" s="44">
        <f>$B$7</f>
        <v>0</v>
      </c>
      <c r="D250" s="46">
        <v>5.6999999999999998E-4</v>
      </c>
      <c r="E250" s="47"/>
      <c r="F250" s="45" t="str">
        <f t="shared" si="0"/>
        <v xml:space="preserve"> </v>
      </c>
    </row>
    <row r="251" spans="1:6" ht="15" hidden="1">
      <c r="A251" s="48"/>
      <c r="B251" s="49"/>
      <c r="C251" s="49"/>
      <c r="D251" s="50"/>
      <c r="E251" s="51"/>
      <c r="F251" s="51"/>
    </row>
    <row r="252" spans="1:6" ht="15" hidden="1">
      <c r="A252" s="41" t="s">
        <v>51</v>
      </c>
      <c r="B252" s="52"/>
      <c r="C252" s="49"/>
      <c r="D252" s="53"/>
      <c r="E252" s="51"/>
      <c r="F252" s="54">
        <f>SUM(F244:F251)</f>
        <v>0</v>
      </c>
    </row>
  </sheetData>
  <sheetProtection password="B1D3" sheet="1" objects="1" scenarios="1"/>
  <phoneticPr fontId="0" type="noConversion"/>
  <dataValidations count="8">
    <dataValidation type="list" allowBlank="1" showInputMessage="1" showErrorMessage="1" sqref="C37 C41:C42">
      <formula1>$G$213:$G$214</formula1>
    </dataValidation>
    <dataValidation type="list" allowBlank="1" showInputMessage="1" showErrorMessage="1" sqref="C36">
      <formula1>$G$210:$G$211</formula1>
    </dataValidation>
    <dataValidation type="list" allowBlank="1" showInputMessage="1" showErrorMessage="1" sqref="C35">
      <formula1>$F$210:$F$211</formula1>
    </dataValidation>
    <dataValidation type="list" allowBlank="1" showInputMessage="1" showErrorMessage="1" sqref="C34">
      <formula1>$E$210:$E$211</formula1>
    </dataValidation>
    <dataValidation type="list" allowBlank="1" showInputMessage="1" showErrorMessage="1" sqref="C10">
      <formula1>$D$202:$D$203</formula1>
    </dataValidation>
    <dataValidation type="list" allowBlank="1" showInputMessage="1" showErrorMessage="1" sqref="C9">
      <formula1>$C$202:$C$203</formula1>
    </dataValidation>
    <dataValidation type="list" allowBlank="1" showInputMessage="1" showErrorMessage="1" sqref="C11">
      <formula1>$G$202:$G$203</formula1>
    </dataValidation>
    <dataValidation type="list" allowBlank="1" showInputMessage="1" showErrorMessage="1" sqref="C57">
      <formula1>$E$143:$E$144</formula1>
    </dataValidation>
  </dataValidations>
  <hyperlinks>
    <hyperlink ref="D107" r:id="rId1"/>
    <hyperlink ref="C107" r:id="rId2"/>
    <hyperlink ref="C105" r:id="rId3"/>
    <hyperlink ref="D105" r:id="rId4"/>
    <hyperlink ref="B10" r:id="rId5"/>
    <hyperlink ref="C109"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VBIBPHMH</vt:lpstr>
      <vt:lpstr>VBIBPHMH!_1._Zegels_Minuut_Brevet</vt:lpstr>
      <vt:lpstr>VBIBPHMH!_2._Registratie_Minuut_Brevet</vt:lpstr>
      <vt:lpstr>VBIBPHMH!_3._Registratie_aanhangsel</vt:lpstr>
      <vt:lpstr>VBIBPHMH!Aard</vt:lpstr>
      <vt:lpstr>VBIBPHMH!Afdrukbereik</vt:lpstr>
      <vt:lpstr>VBIBPHMH!Datum</vt:lpstr>
      <vt:lpstr>VBIBPHMH!KOSTENFICHE</vt:lpstr>
      <vt:lpstr>VBIBPHMH!Naam</vt:lpstr>
      <vt:lpstr>VBIBPHMH!Rep.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2014-11-20T08:59:08Z</dcterms:modified>
</cp:coreProperties>
</file>