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DONBIW" sheetId="1" r:id="rId1"/>
    <sheet name="Blad1" sheetId="2" state="hidden" r:id="rId2"/>
    <sheet name="Blad2" sheetId="3" state="hidden" r:id="rId3"/>
  </sheets>
  <definedNames>
    <definedName name="_xlnm.Print_Area" localSheetId="0">DONBIW!$A$1:$M$89</definedName>
    <definedName name="Last_Row">IF(Values_Entered,Header_Row+Number_of_Payments,Header_Row)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M179" i="1" l="1"/>
  <c r="K179" i="1"/>
  <c r="J179" i="1"/>
  <c r="I179" i="1"/>
  <c r="H179" i="1"/>
  <c r="G179" i="1"/>
  <c r="F179" i="1"/>
  <c r="A179" i="1"/>
  <c r="AL165" i="1"/>
  <c r="AK165" i="1"/>
  <c r="AJ165" i="1"/>
  <c r="AI165" i="1"/>
  <c r="AH165" i="1"/>
  <c r="AG165" i="1"/>
  <c r="AF165" i="1"/>
  <c r="AE165" i="1"/>
  <c r="AA165" i="1"/>
  <c r="W193" i="1"/>
  <c r="V193" i="1"/>
  <c r="U193" i="1"/>
  <c r="T193" i="1"/>
  <c r="S193" i="1"/>
  <c r="R193" i="1"/>
  <c r="Q193" i="1"/>
  <c r="P193" i="1"/>
  <c r="O193" i="1"/>
  <c r="W191" i="1"/>
  <c r="V191" i="1"/>
  <c r="U191" i="1"/>
  <c r="T191" i="1"/>
  <c r="S191" i="1"/>
  <c r="R191" i="1"/>
  <c r="Q191" i="1"/>
  <c r="P191" i="1"/>
  <c r="O191" i="1"/>
  <c r="W189" i="1"/>
  <c r="V189" i="1"/>
  <c r="U189" i="1"/>
  <c r="T189" i="1"/>
  <c r="S189" i="1"/>
  <c r="R189" i="1"/>
  <c r="Q189" i="1"/>
  <c r="P189" i="1"/>
  <c r="O189" i="1"/>
  <c r="W187" i="1"/>
  <c r="V187" i="1"/>
  <c r="U187" i="1"/>
  <c r="T187" i="1"/>
  <c r="S187" i="1"/>
  <c r="R187" i="1"/>
  <c r="Q187" i="1"/>
  <c r="P187" i="1"/>
  <c r="O187" i="1"/>
  <c r="W185" i="1"/>
  <c r="V185" i="1"/>
  <c r="U185" i="1"/>
  <c r="T185" i="1"/>
  <c r="S185" i="1"/>
  <c r="R185" i="1"/>
  <c r="Q185" i="1"/>
  <c r="P185" i="1"/>
  <c r="O185" i="1"/>
  <c r="W183" i="1"/>
  <c r="V183" i="1"/>
  <c r="U183" i="1"/>
  <c r="T183" i="1"/>
  <c r="S183" i="1"/>
  <c r="R183" i="1"/>
  <c r="Q183" i="1"/>
  <c r="P183" i="1"/>
  <c r="O183" i="1"/>
  <c r="W181" i="1"/>
  <c r="V181" i="1"/>
  <c r="U181" i="1"/>
  <c r="T181" i="1"/>
  <c r="S181" i="1"/>
  <c r="R181" i="1"/>
  <c r="Q181" i="1"/>
  <c r="P181" i="1"/>
  <c r="O181" i="1"/>
  <c r="W179" i="1"/>
  <c r="V179" i="1"/>
  <c r="W175" i="1"/>
  <c r="V175" i="1"/>
  <c r="U175" i="1"/>
  <c r="T175" i="1"/>
  <c r="R175" i="1"/>
  <c r="Q175" i="1"/>
  <c r="P175" i="1"/>
  <c r="O175" i="1"/>
  <c r="W173" i="1"/>
  <c r="V173" i="1"/>
  <c r="U173" i="1"/>
  <c r="T173" i="1"/>
  <c r="S173" i="1"/>
  <c r="R173" i="1"/>
  <c r="Q173" i="1"/>
  <c r="P173" i="1"/>
  <c r="O173" i="1"/>
  <c r="M173" i="1"/>
  <c r="K173" i="1"/>
  <c r="J173" i="1"/>
  <c r="I173" i="1"/>
  <c r="G173" i="1"/>
  <c r="F173" i="1"/>
  <c r="E173" i="1"/>
  <c r="A173" i="1"/>
  <c r="M164" i="1"/>
  <c r="K164" i="1"/>
  <c r="J164" i="1"/>
  <c r="I164" i="1"/>
  <c r="H164" i="1"/>
  <c r="G164" i="1"/>
  <c r="F164" i="1"/>
  <c r="E164" i="1"/>
  <c r="A164" i="1"/>
  <c r="M162" i="1"/>
  <c r="K162" i="1"/>
  <c r="J162" i="1"/>
  <c r="I162" i="1"/>
  <c r="H162" i="1"/>
  <c r="G162" i="1"/>
  <c r="F162" i="1"/>
  <c r="E162" i="1"/>
  <c r="A162" i="1"/>
  <c r="M160" i="1"/>
  <c r="K160" i="1"/>
  <c r="J160" i="1"/>
  <c r="I160" i="1"/>
  <c r="H160" i="1"/>
  <c r="G160" i="1"/>
  <c r="F160" i="1"/>
  <c r="E160" i="1"/>
  <c r="A160" i="1"/>
  <c r="AL159" i="1"/>
  <c r="AK159" i="1"/>
  <c r="AJ159" i="1"/>
  <c r="AI159" i="1"/>
  <c r="AH159" i="1"/>
  <c r="AG159" i="1"/>
  <c r="AF159" i="1"/>
  <c r="AE159" i="1"/>
  <c r="M158" i="1"/>
  <c r="K158" i="1"/>
  <c r="J158" i="1"/>
  <c r="I158" i="1"/>
  <c r="H158" i="1"/>
  <c r="G158" i="1"/>
  <c r="F158" i="1"/>
  <c r="E158" i="1"/>
  <c r="A158" i="1"/>
  <c r="M156" i="1"/>
  <c r="K156" i="1"/>
  <c r="J156" i="1"/>
  <c r="I156" i="1"/>
  <c r="H156" i="1"/>
  <c r="G156" i="1"/>
  <c r="F156" i="1"/>
  <c r="E156" i="1"/>
  <c r="A156" i="1"/>
  <c r="M154" i="1"/>
  <c r="K154" i="1"/>
  <c r="J154" i="1"/>
  <c r="I154" i="1"/>
  <c r="H154" i="1"/>
  <c r="G154" i="1"/>
  <c r="F154" i="1"/>
  <c r="E154" i="1"/>
  <c r="A154" i="1"/>
  <c r="M152" i="1"/>
  <c r="K152" i="1"/>
  <c r="J152" i="1"/>
  <c r="I152" i="1"/>
  <c r="H152" i="1"/>
  <c r="G152" i="1"/>
  <c r="F152" i="1"/>
  <c r="E152" i="1"/>
  <c r="A152" i="1"/>
  <c r="M150" i="1"/>
  <c r="K150" i="1"/>
  <c r="J150" i="1"/>
  <c r="I150" i="1"/>
  <c r="H150" i="1"/>
  <c r="G150" i="1"/>
  <c r="F150" i="1"/>
  <c r="E150" i="1"/>
  <c r="A150" i="1"/>
  <c r="M148" i="1"/>
  <c r="K148" i="1"/>
  <c r="J148" i="1"/>
  <c r="I148" i="1"/>
  <c r="H148" i="1"/>
  <c r="G148" i="1"/>
  <c r="F148" i="1"/>
  <c r="E148" i="1"/>
  <c r="A148" i="1"/>
  <c r="M146" i="1"/>
  <c r="K146" i="1"/>
  <c r="J146" i="1"/>
  <c r="I146" i="1"/>
  <c r="H146" i="1"/>
  <c r="G146" i="1"/>
  <c r="F146" i="1"/>
  <c r="E146" i="1"/>
  <c r="A146" i="1"/>
  <c r="M144" i="1"/>
  <c r="K144" i="1"/>
  <c r="J144" i="1"/>
  <c r="I144" i="1"/>
  <c r="H144" i="1"/>
  <c r="G144" i="1"/>
  <c r="F144" i="1"/>
  <c r="E144" i="1"/>
  <c r="A144" i="1"/>
  <c r="U179" i="1"/>
  <c r="T179" i="1"/>
  <c r="S179" i="1"/>
  <c r="R179" i="1"/>
  <c r="Q179" i="1"/>
  <c r="P179" i="1"/>
  <c r="O179" i="1"/>
  <c r="W177" i="1"/>
  <c r="V177" i="1"/>
  <c r="U177" i="1"/>
  <c r="T177" i="1"/>
  <c r="S177" i="1"/>
  <c r="R177" i="1"/>
  <c r="Q177" i="1"/>
  <c r="P177" i="1"/>
  <c r="O177" i="1"/>
  <c r="M175" i="1"/>
  <c r="K175" i="1"/>
  <c r="J175" i="1"/>
  <c r="I175" i="1"/>
  <c r="H175" i="1"/>
  <c r="E175" i="1"/>
  <c r="AL161" i="1"/>
  <c r="AK161" i="1"/>
  <c r="AJ161" i="1"/>
  <c r="AI161" i="1"/>
  <c r="AH161" i="1"/>
  <c r="AG161" i="1"/>
  <c r="AF161" i="1"/>
  <c r="AE161" i="1"/>
  <c r="AA161" i="1"/>
  <c r="M177" i="1"/>
  <c r="K177" i="1"/>
  <c r="J177" i="1"/>
  <c r="I177" i="1"/>
  <c r="H177" i="1"/>
  <c r="G177" i="1"/>
  <c r="F177" i="1"/>
  <c r="E177" i="1"/>
  <c r="A177" i="1"/>
  <c r="AL163" i="1"/>
  <c r="AK163" i="1"/>
  <c r="AJ163" i="1"/>
  <c r="AI163" i="1"/>
  <c r="AH163" i="1"/>
  <c r="AG163" i="1"/>
  <c r="AF163" i="1"/>
  <c r="AE163" i="1"/>
  <c r="AA163" i="1"/>
  <c r="E1120" i="1" l="1"/>
  <c r="A1120" i="1"/>
  <c r="E1020" i="1"/>
  <c r="A1020" i="1"/>
  <c r="E920" i="1"/>
  <c r="A920" i="1"/>
  <c r="E820" i="1"/>
  <c r="A820" i="1"/>
  <c r="E720" i="1"/>
  <c r="A720" i="1"/>
  <c r="E620" i="1"/>
  <c r="A620" i="1"/>
  <c r="E520" i="1"/>
  <c r="A520" i="1"/>
  <c r="E420" i="1"/>
  <c r="A420" i="1"/>
  <c r="E319" i="1"/>
  <c r="A319" i="1"/>
  <c r="O1210" i="2"/>
  <c r="M996" i="2"/>
  <c r="M995" i="2"/>
  <c r="M893" i="2"/>
  <c r="M892" i="2"/>
  <c r="M790" i="2"/>
  <c r="M789" i="2"/>
  <c r="M687" i="2"/>
  <c r="M686" i="2"/>
  <c r="M584" i="2"/>
  <c r="M583" i="2"/>
  <c r="M481" i="2"/>
  <c r="M480" i="2"/>
  <c r="M378" i="2"/>
  <c r="M377" i="2"/>
  <c r="M275" i="2"/>
  <c r="M274" i="2"/>
  <c r="M172" i="2"/>
  <c r="M171" i="2"/>
  <c r="E1118" i="3"/>
  <c r="A1118" i="3"/>
  <c r="E1018" i="3"/>
  <c r="A1018" i="3"/>
  <c r="E918" i="3"/>
  <c r="A918" i="3"/>
  <c r="E818" i="3"/>
  <c r="A818" i="3"/>
  <c r="E718" i="3"/>
  <c r="A718" i="3"/>
  <c r="E618" i="3"/>
  <c r="A618" i="3"/>
  <c r="E518" i="3"/>
  <c r="A518" i="3"/>
  <c r="E418" i="3"/>
  <c r="A418" i="3"/>
  <c r="E317" i="3"/>
  <c r="A317" i="3"/>
  <c r="A1116" i="3"/>
  <c r="A1115" i="3"/>
  <c r="A1016" i="3"/>
  <c r="A1015" i="3"/>
  <c r="A916" i="3"/>
  <c r="A915" i="3"/>
  <c r="A816" i="3"/>
  <c r="A815" i="3"/>
  <c r="A716" i="3"/>
  <c r="A715" i="3"/>
  <c r="A616" i="3"/>
  <c r="A615" i="3"/>
  <c r="A516" i="3"/>
  <c r="A515" i="3"/>
  <c r="A416" i="3"/>
  <c r="A415" i="3"/>
  <c r="A316" i="3"/>
  <c r="A315" i="3"/>
  <c r="O1209" i="2"/>
  <c r="M994" i="2"/>
  <c r="M993" i="2"/>
  <c r="M891" i="2"/>
  <c r="M890" i="2"/>
  <c r="M788" i="2"/>
  <c r="M787" i="2"/>
  <c r="M685" i="2"/>
  <c r="M684" i="2"/>
  <c r="M582" i="2"/>
  <c r="M581" i="2"/>
  <c r="M479" i="2"/>
  <c r="M478" i="2"/>
  <c r="M376" i="2"/>
  <c r="M375" i="2"/>
  <c r="M273" i="2"/>
  <c r="M272" i="2"/>
  <c r="A1118" i="1"/>
  <c r="A1117" i="1"/>
  <c r="A1018" i="1"/>
  <c r="A1017" i="1"/>
  <c r="A918" i="1"/>
  <c r="A917" i="1"/>
  <c r="A818" i="1"/>
  <c r="A817" i="1"/>
  <c r="A718" i="1"/>
  <c r="A717" i="1"/>
  <c r="A618" i="1"/>
  <c r="A617" i="1"/>
  <c r="A518" i="1"/>
  <c r="A517" i="1"/>
  <c r="A418" i="1"/>
  <c r="A417" i="1"/>
  <c r="A318" i="1"/>
  <c r="A317" i="1"/>
  <c r="H241" i="1"/>
  <c r="G241" i="1" s="1"/>
  <c r="F241" i="1"/>
  <c r="E241" i="1" s="1"/>
  <c r="H240" i="1"/>
  <c r="G240" i="1" s="1"/>
  <c r="F240" i="1"/>
  <c r="E240" i="1" s="1"/>
  <c r="H239" i="1"/>
  <c r="G239" i="1" s="1"/>
  <c r="F239" i="1"/>
  <c r="E239" i="1"/>
  <c r="H238" i="1"/>
  <c r="G238" i="1" s="1"/>
  <c r="F238" i="1"/>
  <c r="E238" i="1" s="1"/>
  <c r="H237" i="1"/>
  <c r="G237" i="1" s="1"/>
  <c r="F237" i="1"/>
  <c r="E237" i="1" s="1"/>
  <c r="H236" i="1"/>
  <c r="G236" i="1" s="1"/>
  <c r="F236" i="1"/>
  <c r="E236" i="1" s="1"/>
  <c r="H235" i="1"/>
  <c r="G235" i="1" s="1"/>
  <c r="F235" i="1"/>
  <c r="E235" i="1" s="1"/>
  <c r="H234" i="1"/>
  <c r="G234" i="1" s="1"/>
  <c r="F234" i="1"/>
  <c r="E234" i="1" s="1"/>
  <c r="H233" i="1"/>
  <c r="G233" i="1" s="1"/>
  <c r="F233" i="1"/>
  <c r="E233" i="1" s="1"/>
  <c r="H232" i="1"/>
  <c r="G232" i="1" s="1"/>
  <c r="F232" i="1"/>
  <c r="E232" i="1" s="1"/>
  <c r="H231" i="1"/>
  <c r="G231" i="1" s="1"/>
  <c r="F231" i="1"/>
  <c r="E231" i="1"/>
  <c r="E1121" i="3"/>
  <c r="A1121" i="3"/>
  <c r="E1021" i="3"/>
  <c r="A1021" i="3"/>
  <c r="E921" i="3"/>
  <c r="A921" i="3"/>
  <c r="E821" i="3"/>
  <c r="A821" i="3"/>
  <c r="E721" i="3"/>
  <c r="A721" i="3"/>
  <c r="E621" i="3"/>
  <c r="A621" i="3"/>
  <c r="E521" i="3"/>
  <c r="A521" i="3"/>
  <c r="E421" i="3"/>
  <c r="A421" i="3"/>
  <c r="E321" i="3"/>
  <c r="A321" i="3"/>
  <c r="O1213" i="2"/>
  <c r="M999" i="2"/>
  <c r="M896" i="2"/>
  <c r="M793" i="2"/>
  <c r="M690" i="2"/>
  <c r="M587" i="2"/>
  <c r="M484" i="2"/>
  <c r="M381" i="2"/>
  <c r="M278" i="2"/>
  <c r="M175" i="2"/>
  <c r="E1123" i="1"/>
  <c r="A1123" i="1"/>
  <c r="E1023" i="1"/>
  <c r="A1023" i="1"/>
  <c r="E923" i="1"/>
  <c r="A923" i="1"/>
  <c r="E823" i="1"/>
  <c r="A823" i="1"/>
  <c r="E723" i="1"/>
  <c r="A723" i="1"/>
  <c r="E623" i="1"/>
  <c r="A623" i="1"/>
  <c r="E523" i="1"/>
  <c r="A523" i="1"/>
  <c r="E423" i="1"/>
  <c r="A423" i="1"/>
  <c r="E323" i="1"/>
  <c r="A323" i="1"/>
  <c r="E1122" i="1"/>
  <c r="A1122" i="1"/>
  <c r="E1022" i="1"/>
  <c r="A1022" i="1"/>
  <c r="E922" i="1"/>
  <c r="A922" i="1"/>
  <c r="E822" i="1"/>
  <c r="A822" i="1"/>
  <c r="E722" i="1"/>
  <c r="A722" i="1"/>
  <c r="E622" i="1"/>
  <c r="A622" i="1"/>
  <c r="E522" i="1"/>
  <c r="A522" i="1"/>
  <c r="E422" i="1"/>
  <c r="A422" i="1"/>
  <c r="E322" i="1"/>
  <c r="A322" i="1"/>
  <c r="O1212" i="2"/>
  <c r="M998" i="2"/>
  <c r="M895" i="2"/>
  <c r="M792" i="2"/>
  <c r="M689" i="2"/>
  <c r="M586" i="2"/>
  <c r="M483" i="2"/>
  <c r="M380" i="2"/>
  <c r="M277" i="2"/>
  <c r="M174" i="2"/>
  <c r="E1120" i="3"/>
  <c r="A1120" i="3"/>
  <c r="E1020" i="3"/>
  <c r="A1020" i="3"/>
  <c r="E920" i="3"/>
  <c r="A920" i="3"/>
  <c r="E820" i="3"/>
  <c r="A820" i="3"/>
  <c r="E720" i="3"/>
  <c r="A720" i="3"/>
  <c r="E620" i="3"/>
  <c r="A620" i="3"/>
  <c r="E520" i="3"/>
  <c r="A520" i="3"/>
  <c r="E420" i="3"/>
  <c r="A420" i="3"/>
  <c r="E320" i="3"/>
  <c r="A320" i="3"/>
  <c r="E1119" i="3"/>
  <c r="A1119" i="3"/>
  <c r="E1019" i="3"/>
  <c r="A1019" i="3"/>
  <c r="E919" i="3"/>
  <c r="A919" i="3"/>
  <c r="E819" i="3"/>
  <c r="A819" i="3"/>
  <c r="E719" i="3"/>
  <c r="A719" i="3"/>
  <c r="E619" i="3"/>
  <c r="A619" i="3"/>
  <c r="E519" i="3"/>
  <c r="A519" i="3"/>
  <c r="E419" i="3"/>
  <c r="A419" i="3"/>
  <c r="E319" i="3"/>
  <c r="A319" i="3"/>
  <c r="O1211" i="2"/>
  <c r="M997" i="2"/>
  <c r="M894" i="2"/>
  <c r="M791" i="2"/>
  <c r="M688" i="2"/>
  <c r="M585" i="2"/>
  <c r="M482" i="2"/>
  <c r="M379" i="2"/>
  <c r="M276" i="2"/>
  <c r="M173" i="2"/>
  <c r="E1121" i="1"/>
  <c r="A1121" i="1"/>
  <c r="E1021" i="1"/>
  <c r="A1021" i="1"/>
  <c r="E921" i="1"/>
  <c r="A921" i="1"/>
  <c r="E821" i="1"/>
  <c r="A821" i="1"/>
  <c r="E721" i="1"/>
  <c r="A721" i="1"/>
  <c r="E621" i="1"/>
  <c r="A621" i="1"/>
  <c r="E521" i="1"/>
  <c r="A521" i="1"/>
  <c r="E421" i="1"/>
  <c r="A421" i="1"/>
  <c r="E321" i="1"/>
  <c r="A321" i="1"/>
  <c r="M169" i="2"/>
  <c r="K1135" i="3" l="1"/>
  <c r="K1134" i="3"/>
  <c r="K1133" i="3"/>
  <c r="K1132" i="3"/>
  <c r="K1131" i="3"/>
  <c r="K1130" i="3"/>
  <c r="K1129" i="3"/>
  <c r="K1128" i="3"/>
  <c r="E1135" i="3"/>
  <c r="E1134" i="3"/>
  <c r="E1133" i="3"/>
  <c r="E1132" i="3"/>
  <c r="E1131" i="3"/>
  <c r="E1130" i="3"/>
  <c r="E1129" i="3"/>
  <c r="E1128" i="3"/>
  <c r="K1035" i="3"/>
  <c r="K1034" i="3"/>
  <c r="K1033" i="3"/>
  <c r="K1032" i="3"/>
  <c r="K1031" i="3"/>
  <c r="K1030" i="3"/>
  <c r="K1029" i="3"/>
  <c r="K1028" i="3"/>
  <c r="E1035" i="3"/>
  <c r="E1034" i="3"/>
  <c r="E1033" i="3"/>
  <c r="E1032" i="3"/>
  <c r="E1031" i="3"/>
  <c r="E1030" i="3"/>
  <c r="E1029" i="3"/>
  <c r="E1028" i="3"/>
  <c r="K935" i="3"/>
  <c r="K934" i="3"/>
  <c r="K933" i="3"/>
  <c r="K932" i="3"/>
  <c r="K931" i="3"/>
  <c r="K930" i="3"/>
  <c r="K929" i="3"/>
  <c r="K928" i="3"/>
  <c r="E935" i="3"/>
  <c r="E934" i="3"/>
  <c r="E933" i="3"/>
  <c r="E932" i="3"/>
  <c r="E931" i="3"/>
  <c r="E930" i="3"/>
  <c r="E929" i="3"/>
  <c r="E928" i="3"/>
  <c r="K835" i="3"/>
  <c r="K834" i="3"/>
  <c r="K833" i="3"/>
  <c r="K832" i="3"/>
  <c r="K831" i="3"/>
  <c r="K830" i="3"/>
  <c r="K829" i="3"/>
  <c r="K828" i="3"/>
  <c r="E835" i="3"/>
  <c r="E834" i="3"/>
  <c r="E833" i="3"/>
  <c r="E832" i="3"/>
  <c r="E831" i="3"/>
  <c r="E830" i="3"/>
  <c r="E829" i="3"/>
  <c r="E828" i="3"/>
  <c r="K735" i="3"/>
  <c r="K734" i="3"/>
  <c r="K733" i="3"/>
  <c r="K732" i="3"/>
  <c r="K731" i="3"/>
  <c r="K730" i="3"/>
  <c r="K729" i="3"/>
  <c r="K728" i="3"/>
  <c r="E735" i="3"/>
  <c r="E734" i="3"/>
  <c r="E733" i="3"/>
  <c r="E732" i="3"/>
  <c r="E731" i="3"/>
  <c r="E730" i="3"/>
  <c r="E729" i="3"/>
  <c r="E728" i="3"/>
  <c r="K635" i="3"/>
  <c r="K634" i="3"/>
  <c r="K633" i="3"/>
  <c r="K632" i="3"/>
  <c r="K631" i="3"/>
  <c r="K630" i="3"/>
  <c r="K629" i="3"/>
  <c r="E635" i="3"/>
  <c r="E634" i="3"/>
  <c r="E633" i="3"/>
  <c r="E632" i="3"/>
  <c r="E631" i="3"/>
  <c r="E630" i="3"/>
  <c r="E629" i="3"/>
  <c r="K535" i="3" l="1"/>
  <c r="K534" i="3"/>
  <c r="K533" i="3"/>
  <c r="K532" i="3"/>
  <c r="K531" i="3"/>
  <c r="K530" i="3"/>
  <c r="K529" i="3"/>
  <c r="E535" i="3"/>
  <c r="E534" i="3"/>
  <c r="E533" i="3"/>
  <c r="E532" i="3"/>
  <c r="E531" i="3"/>
  <c r="E530" i="3"/>
  <c r="E529" i="3"/>
  <c r="K435" i="3" l="1"/>
  <c r="K434" i="3"/>
  <c r="K433" i="3"/>
  <c r="K432" i="3"/>
  <c r="K431" i="3"/>
  <c r="K430" i="3"/>
  <c r="K429" i="3"/>
  <c r="K428" i="3"/>
  <c r="E435" i="3"/>
  <c r="F435" i="3" s="1"/>
  <c r="E434" i="3"/>
  <c r="F434" i="3" s="1"/>
  <c r="E433" i="3"/>
  <c r="F433" i="3" s="1"/>
  <c r="E432" i="3"/>
  <c r="F432" i="3" s="1"/>
  <c r="E431" i="3"/>
  <c r="F431" i="3" s="1"/>
  <c r="E430" i="3"/>
  <c r="F430" i="3" s="1"/>
  <c r="E429" i="3"/>
  <c r="F429" i="3" s="1"/>
  <c r="E428" i="3"/>
  <c r="F428" i="3" s="1"/>
  <c r="E416" i="3"/>
  <c r="E414" i="3"/>
  <c r="E415" i="3" s="1"/>
  <c r="E314" i="3"/>
  <c r="E315" i="3" s="1"/>
  <c r="K335" i="3"/>
  <c r="K334" i="3"/>
  <c r="K333" i="3"/>
  <c r="K332" i="3"/>
  <c r="K331" i="3"/>
  <c r="K330" i="3"/>
  <c r="K329" i="3"/>
  <c r="E335" i="3"/>
  <c r="F335" i="3" s="1"/>
  <c r="E334" i="3"/>
  <c r="F334" i="3" s="1"/>
  <c r="E333" i="3"/>
  <c r="F333" i="3" s="1"/>
  <c r="E332" i="3"/>
  <c r="F332" i="3" s="1"/>
  <c r="E331" i="3"/>
  <c r="F331" i="3" s="1"/>
  <c r="E330" i="3"/>
  <c r="F330" i="3" s="1"/>
  <c r="E329" i="3"/>
  <c r="F329" i="3" s="1"/>
  <c r="E316" i="3"/>
  <c r="F1135" i="3"/>
  <c r="F1134" i="3"/>
  <c r="F1133" i="3"/>
  <c r="F1132" i="3"/>
  <c r="F1131" i="3"/>
  <c r="F1130" i="3"/>
  <c r="F1129" i="3"/>
  <c r="F1128" i="3"/>
  <c r="E1116" i="3"/>
  <c r="K1111" i="3"/>
  <c r="A1111" i="3"/>
  <c r="K1110" i="3"/>
  <c r="A1110" i="3"/>
  <c r="K1109" i="3"/>
  <c r="A1109" i="3"/>
  <c r="K1108" i="3"/>
  <c r="A1108" i="3"/>
  <c r="E1103" i="3"/>
  <c r="A1100" i="3"/>
  <c r="A1099" i="3"/>
  <c r="A1098" i="3"/>
  <c r="A1097" i="3"/>
  <c r="A1092" i="3"/>
  <c r="A1091" i="3"/>
  <c r="A1090" i="3"/>
  <c r="A1089" i="3"/>
  <c r="A1088" i="3"/>
  <c r="A1083" i="3"/>
  <c r="A1082" i="3"/>
  <c r="A1081" i="3"/>
  <c r="A1080" i="3"/>
  <c r="A1079" i="3"/>
  <c r="A1078" i="3"/>
  <c r="A1077" i="3"/>
  <c r="A1076" i="3"/>
  <c r="F1035" i="3"/>
  <c r="F1034" i="3"/>
  <c r="F1033" i="3"/>
  <c r="F1032" i="3"/>
  <c r="F1031" i="3"/>
  <c r="F1030" i="3"/>
  <c r="F1029" i="3"/>
  <c r="F1028" i="3"/>
  <c r="E1016" i="3"/>
  <c r="K1011" i="3"/>
  <c r="A1011" i="3"/>
  <c r="K1010" i="3"/>
  <c r="A1010" i="3"/>
  <c r="K1009" i="3"/>
  <c r="A1009" i="3"/>
  <c r="K1008" i="3"/>
  <c r="A1008" i="3"/>
  <c r="E1003" i="3"/>
  <c r="A1000" i="3"/>
  <c r="A999" i="3"/>
  <c r="A998" i="3"/>
  <c r="A997" i="3"/>
  <c r="A992" i="3"/>
  <c r="A991" i="3"/>
  <c r="A990" i="3"/>
  <c r="A989" i="3"/>
  <c r="A988" i="3"/>
  <c r="A983" i="3"/>
  <c r="A982" i="3"/>
  <c r="A981" i="3"/>
  <c r="A980" i="3"/>
  <c r="A979" i="3"/>
  <c r="A978" i="3"/>
  <c r="A977" i="3"/>
  <c r="A976" i="3"/>
  <c r="F935" i="3"/>
  <c r="F934" i="3"/>
  <c r="F933" i="3"/>
  <c r="F932" i="3"/>
  <c r="F931" i="3"/>
  <c r="F930" i="3"/>
  <c r="F929" i="3"/>
  <c r="F928" i="3"/>
  <c r="E916" i="3"/>
  <c r="E914" i="3"/>
  <c r="E915" i="3" s="1"/>
  <c r="K911" i="3"/>
  <c r="A911" i="3"/>
  <c r="K910" i="3"/>
  <c r="A910" i="3"/>
  <c r="K909" i="3"/>
  <c r="A909" i="3"/>
  <c r="K908" i="3"/>
  <c r="A908" i="3"/>
  <c r="E903" i="3"/>
  <c r="A900" i="3"/>
  <c r="A899" i="3"/>
  <c r="A898" i="3"/>
  <c r="A897" i="3"/>
  <c r="A892" i="3"/>
  <c r="A891" i="3"/>
  <c r="A890" i="3"/>
  <c r="A889" i="3"/>
  <c r="A888" i="3"/>
  <c r="A883" i="3"/>
  <c r="A882" i="3"/>
  <c r="A881" i="3"/>
  <c r="A880" i="3"/>
  <c r="A879" i="3"/>
  <c r="A878" i="3"/>
  <c r="A877" i="3"/>
  <c r="A876" i="3"/>
  <c r="F835" i="3"/>
  <c r="F834" i="3"/>
  <c r="F833" i="3"/>
  <c r="F832" i="3"/>
  <c r="F831" i="3"/>
  <c r="F830" i="3"/>
  <c r="F829" i="3"/>
  <c r="F828" i="3"/>
  <c r="E816" i="3"/>
  <c r="K811" i="3"/>
  <c r="A811" i="3"/>
  <c r="K810" i="3"/>
  <c r="A810" i="3"/>
  <c r="K809" i="3"/>
  <c r="A809" i="3"/>
  <c r="K808" i="3"/>
  <c r="A808" i="3"/>
  <c r="E803" i="3"/>
  <c r="A800" i="3"/>
  <c r="A799" i="3"/>
  <c r="A798" i="3"/>
  <c r="A797" i="3"/>
  <c r="A792" i="3"/>
  <c r="A791" i="3"/>
  <c r="A790" i="3"/>
  <c r="A789" i="3"/>
  <c r="A788" i="3"/>
  <c r="A783" i="3"/>
  <c r="A782" i="3"/>
  <c r="A781" i="3"/>
  <c r="A780" i="3"/>
  <c r="A779" i="3"/>
  <c r="A778" i="3"/>
  <c r="A777" i="3"/>
  <c r="A776" i="3"/>
  <c r="F735" i="3"/>
  <c r="F734" i="3"/>
  <c r="F733" i="3"/>
  <c r="F732" i="3"/>
  <c r="F731" i="3"/>
  <c r="F730" i="3"/>
  <c r="F729" i="3"/>
  <c r="F728" i="3"/>
  <c r="E716" i="3"/>
  <c r="K711" i="3"/>
  <c r="A711" i="3"/>
  <c r="K710" i="3"/>
  <c r="A710" i="3"/>
  <c r="K709" i="3"/>
  <c r="A709" i="3"/>
  <c r="K708" i="3"/>
  <c r="A708" i="3"/>
  <c r="E703" i="3"/>
  <c r="A700" i="3"/>
  <c r="A699" i="3"/>
  <c r="A698" i="3"/>
  <c r="A697" i="3"/>
  <c r="A692" i="3"/>
  <c r="A691" i="3"/>
  <c r="A690" i="3"/>
  <c r="A689" i="3"/>
  <c r="A688" i="3"/>
  <c r="A683" i="3"/>
  <c r="A682" i="3"/>
  <c r="A681" i="3"/>
  <c r="A680" i="3"/>
  <c r="A679" i="3"/>
  <c r="A678" i="3"/>
  <c r="A677" i="3"/>
  <c r="A676" i="3"/>
  <c r="F635" i="3"/>
  <c r="F634" i="3"/>
  <c r="F633" i="3"/>
  <c r="F632" i="3"/>
  <c r="F631" i="3"/>
  <c r="F630" i="3"/>
  <c r="F629" i="3"/>
  <c r="E616" i="3"/>
  <c r="E614" i="3"/>
  <c r="E615" i="3" s="1"/>
  <c r="K611" i="3"/>
  <c r="A611" i="3"/>
  <c r="K610" i="3"/>
  <c r="A610" i="3"/>
  <c r="K609" i="3"/>
  <c r="A609" i="3"/>
  <c r="K608" i="3"/>
  <c r="A608" i="3"/>
  <c r="E603" i="3"/>
  <c r="A600" i="3"/>
  <c r="A599" i="3"/>
  <c r="A598" i="3"/>
  <c r="A597" i="3"/>
  <c r="A592" i="3"/>
  <c r="A591" i="3"/>
  <c r="A590" i="3"/>
  <c r="A589" i="3"/>
  <c r="A588" i="3"/>
  <c r="A583" i="3"/>
  <c r="A582" i="3"/>
  <c r="A581" i="3"/>
  <c r="A580" i="3"/>
  <c r="A579" i="3"/>
  <c r="A578" i="3"/>
  <c r="A577" i="3"/>
  <c r="A576" i="3"/>
  <c r="F535" i="3"/>
  <c r="F534" i="3"/>
  <c r="F533" i="3"/>
  <c r="F532" i="3"/>
  <c r="F531" i="3"/>
  <c r="F530" i="3"/>
  <c r="F529" i="3"/>
  <c r="E516" i="3"/>
  <c r="K511" i="3"/>
  <c r="A511" i="3"/>
  <c r="K510" i="3"/>
  <c r="A510" i="3"/>
  <c r="K509" i="3"/>
  <c r="A509" i="3"/>
  <c r="K508" i="3"/>
  <c r="A508" i="3"/>
  <c r="E503" i="3"/>
  <c r="A500" i="3"/>
  <c r="A499" i="3"/>
  <c r="A498" i="3"/>
  <c r="A497" i="3"/>
  <c r="A492" i="3"/>
  <c r="A491" i="3"/>
  <c r="A490" i="3"/>
  <c r="A489" i="3"/>
  <c r="A488" i="3"/>
  <c r="A483" i="3"/>
  <c r="A482" i="3"/>
  <c r="A481" i="3"/>
  <c r="A480" i="3"/>
  <c r="A479" i="3"/>
  <c r="A478" i="3"/>
  <c r="A477" i="3"/>
  <c r="A476" i="3"/>
  <c r="K411" i="3"/>
  <c r="A411" i="3"/>
  <c r="K410" i="3"/>
  <c r="A410" i="3"/>
  <c r="K409" i="3"/>
  <c r="A409" i="3"/>
  <c r="K408" i="3"/>
  <c r="A408" i="3"/>
  <c r="E403" i="3"/>
  <c r="A400" i="3"/>
  <c r="A399" i="3"/>
  <c r="A398" i="3"/>
  <c r="A397" i="3"/>
  <c r="A392" i="3"/>
  <c r="A391" i="3"/>
  <c r="A390" i="3"/>
  <c r="A389" i="3"/>
  <c r="A388" i="3"/>
  <c r="A383" i="3"/>
  <c r="A382" i="3"/>
  <c r="A381" i="3"/>
  <c r="A380" i="3"/>
  <c r="A379" i="3"/>
  <c r="A378" i="3"/>
  <c r="A377" i="3"/>
  <c r="A376" i="3"/>
  <c r="K311" i="3"/>
  <c r="A311" i="3"/>
  <c r="K310" i="3"/>
  <c r="A310" i="3"/>
  <c r="K309" i="3"/>
  <c r="A309" i="3"/>
  <c r="K308" i="3"/>
  <c r="A308" i="3"/>
  <c r="E303" i="3"/>
  <c r="A300" i="3"/>
  <c r="A299" i="3"/>
  <c r="A298" i="3"/>
  <c r="A297" i="3"/>
  <c r="A292" i="3"/>
  <c r="A291" i="3"/>
  <c r="A290" i="3"/>
  <c r="A289" i="3"/>
  <c r="A288" i="3"/>
  <c r="A283" i="3"/>
  <c r="A282" i="3"/>
  <c r="A281" i="3"/>
  <c r="A280" i="3"/>
  <c r="A279" i="3"/>
  <c r="A278" i="3"/>
  <c r="A277" i="3"/>
  <c r="A276" i="3"/>
  <c r="M270" i="3"/>
  <c r="F270" i="3"/>
  <c r="K1037" i="3" l="1"/>
  <c r="K837" i="3"/>
  <c r="K737" i="3"/>
  <c r="K1137" i="3"/>
  <c r="F937" i="3"/>
  <c r="K937" i="3"/>
  <c r="F737" i="3"/>
  <c r="E1014" i="3"/>
  <c r="E1015" i="3" s="1"/>
  <c r="K437" i="3"/>
  <c r="F437" i="3"/>
  <c r="F1037" i="3"/>
  <c r="F1137" i="3"/>
  <c r="E514" i="3"/>
  <c r="E515" i="3" s="1"/>
  <c r="F837" i="3"/>
  <c r="E814" i="3"/>
  <c r="E815" i="3" s="1"/>
  <c r="E1114" i="3"/>
  <c r="E1115" i="3" s="1"/>
  <c r="E714" i="3"/>
  <c r="E715" i="3" s="1"/>
  <c r="E1137" i="1"/>
  <c r="E1136" i="1"/>
  <c r="E1135" i="1"/>
  <c r="E1134" i="1"/>
  <c r="E1133" i="1"/>
  <c r="E1132" i="1"/>
  <c r="E1131" i="1"/>
  <c r="E1130" i="1"/>
  <c r="E1037" i="1"/>
  <c r="E1036" i="1"/>
  <c r="E1035" i="1"/>
  <c r="E1034" i="1"/>
  <c r="E1033" i="1"/>
  <c r="E1032" i="1"/>
  <c r="E1031" i="1"/>
  <c r="E1030" i="1"/>
  <c r="E937" i="1"/>
  <c r="E936" i="1"/>
  <c r="E935" i="1"/>
  <c r="E934" i="1"/>
  <c r="E933" i="1"/>
  <c r="E932" i="1"/>
  <c r="E931" i="1"/>
  <c r="E930" i="1"/>
  <c r="E837" i="1"/>
  <c r="E836" i="1"/>
  <c r="E835" i="1"/>
  <c r="E834" i="1"/>
  <c r="E833" i="1"/>
  <c r="E832" i="1"/>
  <c r="E831" i="1"/>
  <c r="E830" i="1"/>
  <c r="E737" i="1"/>
  <c r="E736" i="1"/>
  <c r="E735" i="1"/>
  <c r="E734" i="1"/>
  <c r="E733" i="1"/>
  <c r="E732" i="1"/>
  <c r="E731" i="1"/>
  <c r="E730" i="1"/>
  <c r="E637" i="1"/>
  <c r="E636" i="1"/>
  <c r="E635" i="1"/>
  <c r="E634" i="1"/>
  <c r="E633" i="1"/>
  <c r="E632" i="1"/>
  <c r="E631" i="1"/>
  <c r="E537" i="1"/>
  <c r="E536" i="1"/>
  <c r="E535" i="1"/>
  <c r="E534" i="1"/>
  <c r="E533" i="1"/>
  <c r="E532" i="1"/>
  <c r="E531" i="1"/>
  <c r="E437" i="1"/>
  <c r="E436" i="1"/>
  <c r="E435" i="1"/>
  <c r="E434" i="1"/>
  <c r="E433" i="1"/>
  <c r="E432" i="1"/>
  <c r="E431" i="1"/>
  <c r="E430" i="1"/>
  <c r="E337" i="1" l="1"/>
  <c r="E336" i="1"/>
  <c r="E335" i="1"/>
  <c r="E334" i="1"/>
  <c r="E333" i="1"/>
  <c r="E332" i="1"/>
  <c r="E331" i="1"/>
  <c r="L219" i="2"/>
  <c r="L218" i="2"/>
  <c r="L217" i="2"/>
  <c r="L216" i="2"/>
  <c r="L215" i="2"/>
  <c r="L214" i="2"/>
  <c r="L213" i="2"/>
  <c r="F219" i="2"/>
  <c r="F218" i="2"/>
  <c r="F217" i="2"/>
  <c r="F216" i="2"/>
  <c r="F215" i="2"/>
  <c r="F214" i="2"/>
  <c r="F213" i="2"/>
  <c r="X179" i="2" l="1"/>
  <c r="W179" i="2"/>
  <c r="V179" i="2"/>
  <c r="U179" i="2"/>
  <c r="T179" i="2"/>
  <c r="S179" i="2"/>
  <c r="R179" i="2"/>
  <c r="Q179" i="2"/>
  <c r="P179" i="2"/>
  <c r="X177" i="2"/>
  <c r="W177" i="2"/>
  <c r="V177" i="2"/>
  <c r="U177" i="2"/>
  <c r="T177" i="2"/>
  <c r="S177" i="2"/>
  <c r="R177" i="2"/>
  <c r="Q177" i="2"/>
  <c r="P177" i="2"/>
  <c r="X175" i="2"/>
  <c r="W175" i="2"/>
  <c r="V175" i="2"/>
  <c r="U175" i="2"/>
  <c r="T175" i="2"/>
  <c r="S175" i="2"/>
  <c r="R175" i="2"/>
  <c r="Q175" i="2"/>
  <c r="P175" i="2"/>
  <c r="X173" i="2"/>
  <c r="W173" i="2"/>
  <c r="V173" i="2"/>
  <c r="U173" i="2"/>
  <c r="T173" i="2"/>
  <c r="S173" i="2"/>
  <c r="R173" i="2"/>
  <c r="X171" i="2"/>
  <c r="W171" i="2"/>
  <c r="V171" i="2"/>
  <c r="U171" i="2"/>
  <c r="T171" i="2"/>
  <c r="S171" i="2"/>
  <c r="R171" i="2"/>
  <c r="X169" i="2"/>
  <c r="W169" i="2"/>
  <c r="V169" i="2"/>
  <c r="U169" i="2"/>
  <c r="T169" i="2"/>
  <c r="S169" i="2"/>
  <c r="R169" i="2"/>
  <c r="Q169" i="2"/>
  <c r="P169" i="2"/>
  <c r="X167" i="2"/>
  <c r="W167" i="2"/>
  <c r="V167" i="2"/>
  <c r="U167" i="2"/>
  <c r="T167" i="2"/>
  <c r="S167" i="2"/>
  <c r="R167" i="2"/>
  <c r="Q167" i="2"/>
  <c r="X165" i="2"/>
  <c r="W165" i="2"/>
  <c r="V165" i="2"/>
  <c r="U165" i="2"/>
  <c r="T165" i="2"/>
  <c r="S165" i="2"/>
  <c r="R165" i="2"/>
  <c r="X161" i="2"/>
  <c r="W161" i="2"/>
  <c r="V161" i="2"/>
  <c r="U161" i="2"/>
  <c r="T161" i="2"/>
  <c r="S161" i="2"/>
  <c r="R161" i="2"/>
  <c r="Q161" i="2"/>
  <c r="P161" i="2"/>
  <c r="X159" i="2"/>
  <c r="W159" i="2"/>
  <c r="V159" i="2"/>
  <c r="U159" i="2"/>
  <c r="S159" i="2"/>
  <c r="R159" i="2"/>
  <c r="P159" i="2"/>
  <c r="N148" i="2"/>
  <c r="X148" i="2" s="1"/>
  <c r="K148" i="2"/>
  <c r="W148" i="2" s="1"/>
  <c r="J148" i="2"/>
  <c r="V148" i="2" s="1"/>
  <c r="I148" i="2"/>
  <c r="U148" i="2" s="1"/>
  <c r="H148" i="2"/>
  <c r="T148" i="2" s="1"/>
  <c r="G148" i="2"/>
  <c r="S148" i="2" s="1"/>
  <c r="F148" i="2"/>
  <c r="R148" i="2" s="1"/>
  <c r="E148" i="2"/>
  <c r="Q148" i="2" s="1"/>
  <c r="A148" i="2"/>
  <c r="P148" i="2" s="1"/>
  <c r="N146" i="2"/>
  <c r="X146" i="2" s="1"/>
  <c r="K146" i="2"/>
  <c r="W146" i="2" s="1"/>
  <c r="J146" i="2"/>
  <c r="V146" i="2" s="1"/>
  <c r="I146" i="2"/>
  <c r="U146" i="2" s="1"/>
  <c r="H146" i="2"/>
  <c r="T146" i="2" s="1"/>
  <c r="G146" i="2"/>
  <c r="S146" i="2" s="1"/>
  <c r="F146" i="2"/>
  <c r="R146" i="2" s="1"/>
  <c r="E146" i="2"/>
  <c r="Q146" i="2" s="1"/>
  <c r="A146" i="2"/>
  <c r="P146" i="2" s="1"/>
  <c r="N144" i="2"/>
  <c r="X144" i="2" s="1"/>
  <c r="K144" i="2"/>
  <c r="W144" i="2" s="1"/>
  <c r="J144" i="2"/>
  <c r="V144" i="2" s="1"/>
  <c r="I144" i="2"/>
  <c r="U144" i="2" s="1"/>
  <c r="H144" i="2"/>
  <c r="T144" i="2" s="1"/>
  <c r="G144" i="2"/>
  <c r="S144" i="2" s="1"/>
  <c r="F144" i="2"/>
  <c r="R144" i="2" s="1"/>
  <c r="E144" i="2"/>
  <c r="Q144" i="2" s="1"/>
  <c r="A144" i="2"/>
  <c r="P144" i="2" s="1"/>
  <c r="N142" i="2"/>
  <c r="X142" i="2" s="1"/>
  <c r="K142" i="2"/>
  <c r="W142" i="2" s="1"/>
  <c r="J142" i="2"/>
  <c r="V142" i="2" s="1"/>
  <c r="I142" i="2"/>
  <c r="U142" i="2" s="1"/>
  <c r="H142" i="2"/>
  <c r="T142" i="2" s="1"/>
  <c r="G142" i="2"/>
  <c r="S142" i="2" s="1"/>
  <c r="F142" i="2"/>
  <c r="R142" i="2" s="1"/>
  <c r="E142" i="2"/>
  <c r="Q142" i="2" s="1"/>
  <c r="Q173" i="2" s="1"/>
  <c r="A142" i="2"/>
  <c r="P142" i="2" s="1"/>
  <c r="P173" i="2" s="1"/>
  <c r="N140" i="2"/>
  <c r="X140" i="2" s="1"/>
  <c r="K140" i="2"/>
  <c r="W140" i="2" s="1"/>
  <c r="J140" i="2"/>
  <c r="V140" i="2" s="1"/>
  <c r="I140" i="2"/>
  <c r="U140" i="2" s="1"/>
  <c r="H140" i="2"/>
  <c r="T140" i="2" s="1"/>
  <c r="G140" i="2"/>
  <c r="S140" i="2" s="1"/>
  <c r="F140" i="2"/>
  <c r="R140" i="2" s="1"/>
  <c r="E140" i="2"/>
  <c r="Q140" i="2" s="1"/>
  <c r="Q171" i="2" s="1"/>
  <c r="A140" i="2"/>
  <c r="P140" i="2" s="1"/>
  <c r="P171" i="2" s="1"/>
  <c r="N138" i="2"/>
  <c r="X138" i="2" s="1"/>
  <c r="K138" i="2"/>
  <c r="W138" i="2" s="1"/>
  <c r="J138" i="2"/>
  <c r="V138" i="2" s="1"/>
  <c r="I138" i="2"/>
  <c r="U138" i="2" s="1"/>
  <c r="H138" i="2"/>
  <c r="T138" i="2" s="1"/>
  <c r="G138" i="2"/>
  <c r="S138" i="2" s="1"/>
  <c r="F138" i="2"/>
  <c r="R138" i="2" s="1"/>
  <c r="E138" i="2"/>
  <c r="Q138" i="2" s="1"/>
  <c r="A138" i="2"/>
  <c r="P138" i="2" s="1"/>
  <c r="N136" i="2"/>
  <c r="X136" i="2" s="1"/>
  <c r="K136" i="2"/>
  <c r="W136" i="2" s="1"/>
  <c r="J136" i="2"/>
  <c r="V136" i="2" s="1"/>
  <c r="I136" i="2"/>
  <c r="U136" i="2" s="1"/>
  <c r="H136" i="2"/>
  <c r="T136" i="2" s="1"/>
  <c r="G136" i="2"/>
  <c r="S136" i="2" s="1"/>
  <c r="F136" i="2"/>
  <c r="R136" i="2" s="1"/>
  <c r="E136" i="2"/>
  <c r="Q136" i="2" s="1"/>
  <c r="A136" i="2"/>
  <c r="P136" i="2" s="1"/>
  <c r="P167" i="2" s="1"/>
  <c r="N134" i="2"/>
  <c r="X134" i="2" s="1"/>
  <c r="K134" i="2"/>
  <c r="W134" i="2" s="1"/>
  <c r="J134" i="2"/>
  <c r="V134" i="2" s="1"/>
  <c r="I134" i="2"/>
  <c r="U134" i="2" s="1"/>
  <c r="H134" i="2"/>
  <c r="T134" i="2" s="1"/>
  <c r="G134" i="2"/>
  <c r="S134" i="2" s="1"/>
  <c r="F134" i="2"/>
  <c r="R134" i="2" s="1"/>
  <c r="E134" i="2"/>
  <c r="Q134" i="2" s="1"/>
  <c r="Q165" i="2" s="1"/>
  <c r="A134" i="2"/>
  <c r="P134" i="2" s="1"/>
  <c r="P165" i="2" s="1"/>
  <c r="N132" i="2"/>
  <c r="X132" i="2" s="1"/>
  <c r="K132" i="2"/>
  <c r="W132" i="2" s="1"/>
  <c r="J132" i="2"/>
  <c r="V132" i="2" s="1"/>
  <c r="I132" i="2"/>
  <c r="U132" i="2" s="1"/>
  <c r="H132" i="2"/>
  <c r="T132" i="2" s="1"/>
  <c r="G132" i="2"/>
  <c r="S132" i="2" s="1"/>
  <c r="F132" i="2"/>
  <c r="R132" i="2" s="1"/>
  <c r="E132" i="2"/>
  <c r="Q132" i="2" s="1"/>
  <c r="A132" i="2"/>
  <c r="P132" i="2" s="1"/>
  <c r="N130" i="2"/>
  <c r="X130" i="2" s="1"/>
  <c r="K130" i="2"/>
  <c r="W130" i="2" s="1"/>
  <c r="J130" i="2"/>
  <c r="V130" i="2" s="1"/>
  <c r="I130" i="2"/>
  <c r="U130" i="2" s="1"/>
  <c r="H130" i="2"/>
  <c r="T130" i="2" s="1"/>
  <c r="T159" i="2" s="1"/>
  <c r="G130" i="2"/>
  <c r="S130" i="2" s="1"/>
  <c r="F130" i="2"/>
  <c r="R130" i="2" s="1"/>
  <c r="E130" i="2"/>
  <c r="Q130" i="2" s="1"/>
  <c r="Q159" i="2" s="1"/>
  <c r="A130" i="2"/>
  <c r="P130" i="2" s="1"/>
  <c r="N128" i="2"/>
  <c r="X128" i="2" s="1"/>
  <c r="X157" i="2" s="1"/>
  <c r="K128" i="2"/>
  <c r="W128" i="2" s="1"/>
  <c r="W157" i="2" s="1"/>
  <c r="J128" i="2"/>
  <c r="V128" i="2" s="1"/>
  <c r="V157" i="2" s="1"/>
  <c r="I128" i="2"/>
  <c r="U128" i="2" s="1"/>
  <c r="U157" i="2" s="1"/>
  <c r="H128" i="2"/>
  <c r="T128" i="2" s="1"/>
  <c r="T157" i="2" s="1"/>
  <c r="G128" i="2"/>
  <c r="S128" i="2" s="1"/>
  <c r="S157" i="2" s="1"/>
  <c r="F128" i="2"/>
  <c r="R128" i="2" s="1"/>
  <c r="R157" i="2" s="1"/>
  <c r="E128" i="2"/>
  <c r="Q128" i="2" s="1"/>
  <c r="Q157" i="2" s="1"/>
  <c r="AM165" i="1" l="1"/>
  <c r="AI167" i="1"/>
  <c r="AK167" i="1"/>
  <c r="AE167" i="1"/>
  <c r="AJ167" i="1"/>
  <c r="AH167" i="1"/>
  <c r="AG167" i="1"/>
  <c r="AL167" i="1"/>
  <c r="AF167" i="1"/>
  <c r="B65" i="1" l="1"/>
  <c r="G64" i="1"/>
  <c r="B60" i="1"/>
  <c r="G59" i="1"/>
  <c r="B55" i="1"/>
  <c r="G54" i="1"/>
  <c r="B50" i="1"/>
  <c r="G49" i="1"/>
  <c r="B45" i="1"/>
  <c r="G44" i="1"/>
  <c r="B40" i="1"/>
  <c r="G39" i="1"/>
  <c r="H572" i="3" s="1"/>
  <c r="B35" i="1"/>
  <c r="G34" i="1"/>
  <c r="B30" i="1"/>
  <c r="G29" i="1"/>
  <c r="B25" i="1"/>
  <c r="A128" i="2"/>
  <c r="J1248" i="2"/>
  <c r="E1248" i="2"/>
  <c r="I1242" i="2"/>
  <c r="A1242" i="2"/>
  <c r="I1241" i="2"/>
  <c r="K1241" i="2" s="1"/>
  <c r="M1241" i="2" s="1"/>
  <c r="A1241" i="2"/>
  <c r="F1241" i="2" s="1"/>
  <c r="G1241" i="2" s="1"/>
  <c r="I1240" i="2"/>
  <c r="A1240" i="2"/>
  <c r="E1235" i="2"/>
  <c r="A1232" i="2"/>
  <c r="A1230" i="2"/>
  <c r="A1229" i="2"/>
  <c r="A1228" i="2"/>
  <c r="A1227" i="2"/>
  <c r="A1218" i="2"/>
  <c r="A1217" i="2"/>
  <c r="A1216" i="2"/>
  <c r="A1215" i="2"/>
  <c r="A1214" i="2"/>
  <c r="F1210" i="2"/>
  <c r="F1231" i="2" s="1"/>
  <c r="G1231" i="2" s="1"/>
  <c r="O1215" i="2"/>
  <c r="I1025" i="2"/>
  <c r="A1025" i="2"/>
  <c r="I1024" i="2"/>
  <c r="A1024" i="2"/>
  <c r="I1023" i="2"/>
  <c r="A1023" i="2"/>
  <c r="A1015" i="2"/>
  <c r="A1013" i="2"/>
  <c r="A1012" i="2"/>
  <c r="A1011" i="2"/>
  <c r="A1010" i="2"/>
  <c r="A1001" i="2"/>
  <c r="A1000" i="2"/>
  <c r="A999" i="2"/>
  <c r="A998" i="2"/>
  <c r="A997" i="2"/>
  <c r="I922" i="2"/>
  <c r="A922" i="2"/>
  <c r="I921" i="2"/>
  <c r="A921" i="2"/>
  <c r="I920" i="2"/>
  <c r="A920" i="2"/>
  <c r="A912" i="2"/>
  <c r="A910" i="2"/>
  <c r="A909" i="2"/>
  <c r="A908" i="2"/>
  <c r="A907" i="2"/>
  <c r="A898" i="2"/>
  <c r="A897" i="2"/>
  <c r="A896" i="2"/>
  <c r="A895" i="2"/>
  <c r="A894" i="2"/>
  <c r="I819" i="2"/>
  <c r="A819" i="2"/>
  <c r="I818" i="2"/>
  <c r="A818" i="2"/>
  <c r="I817" i="2"/>
  <c r="A817" i="2"/>
  <c r="A809" i="2"/>
  <c r="A807" i="2"/>
  <c r="A806" i="2"/>
  <c r="A805" i="2"/>
  <c r="A804" i="2"/>
  <c r="A795" i="2"/>
  <c r="A794" i="2"/>
  <c r="A793" i="2"/>
  <c r="A792" i="2"/>
  <c r="A791" i="2"/>
  <c r="I716" i="2"/>
  <c r="A716" i="2"/>
  <c r="I715" i="2"/>
  <c r="A715" i="2"/>
  <c r="I714" i="2"/>
  <c r="A714" i="2"/>
  <c r="A706" i="2"/>
  <c r="A704" i="2"/>
  <c r="A703" i="2"/>
  <c r="A702" i="2"/>
  <c r="A701" i="2"/>
  <c r="A692" i="2"/>
  <c r="A691" i="2"/>
  <c r="A690" i="2"/>
  <c r="A689" i="2"/>
  <c r="A688" i="2"/>
  <c r="I613" i="2"/>
  <c r="A613" i="2"/>
  <c r="I612" i="2"/>
  <c r="A612" i="2"/>
  <c r="I611" i="2"/>
  <c r="A611" i="2"/>
  <c r="A603" i="2"/>
  <c r="A601" i="2"/>
  <c r="A600" i="2"/>
  <c r="A599" i="2"/>
  <c r="A598" i="2"/>
  <c r="A589" i="2"/>
  <c r="A588" i="2"/>
  <c r="A587" i="2"/>
  <c r="A586" i="2"/>
  <c r="A585" i="2"/>
  <c r="I510" i="2"/>
  <c r="A510" i="2"/>
  <c r="I509" i="2"/>
  <c r="A509" i="2"/>
  <c r="I508" i="2"/>
  <c r="A508" i="2"/>
  <c r="A500" i="2"/>
  <c r="A498" i="2"/>
  <c r="A497" i="2"/>
  <c r="A496" i="2"/>
  <c r="A495" i="2"/>
  <c r="A486" i="2"/>
  <c r="A485" i="2"/>
  <c r="A484" i="2"/>
  <c r="A483" i="2"/>
  <c r="A482" i="2"/>
  <c r="L425" i="2"/>
  <c r="I407" i="2"/>
  <c r="A407" i="2"/>
  <c r="I406" i="2"/>
  <c r="A406" i="2"/>
  <c r="I405" i="2"/>
  <c r="A405" i="2"/>
  <c r="A397" i="2"/>
  <c r="A395" i="2"/>
  <c r="A394" i="2"/>
  <c r="A393" i="2"/>
  <c r="A392" i="2"/>
  <c r="A383" i="2"/>
  <c r="A382" i="2"/>
  <c r="A381" i="2"/>
  <c r="A380" i="2"/>
  <c r="A379" i="2"/>
  <c r="I304" i="2"/>
  <c r="A304" i="2"/>
  <c r="I303" i="2"/>
  <c r="A303" i="2"/>
  <c r="I302" i="2"/>
  <c r="A302" i="2"/>
  <c r="A294" i="2"/>
  <c r="A292" i="2"/>
  <c r="A291" i="2"/>
  <c r="A290" i="2"/>
  <c r="A289" i="2"/>
  <c r="A280" i="2"/>
  <c r="A279" i="2"/>
  <c r="A278" i="2"/>
  <c r="A277" i="2"/>
  <c r="A276" i="2"/>
  <c r="I201" i="2"/>
  <c r="A201" i="2"/>
  <c r="I200" i="2"/>
  <c r="A200" i="2"/>
  <c r="I199" i="2"/>
  <c r="A199" i="2"/>
  <c r="A191" i="2"/>
  <c r="A189" i="2"/>
  <c r="A188" i="2"/>
  <c r="A187" i="2"/>
  <c r="A186" i="2"/>
  <c r="A177" i="2"/>
  <c r="A176" i="2"/>
  <c r="A175" i="2"/>
  <c r="A174" i="2"/>
  <c r="A173" i="2"/>
  <c r="R181" i="2"/>
  <c r="G150" i="2"/>
  <c r="K150" i="2"/>
  <c r="F150" i="2"/>
  <c r="N150" i="2"/>
  <c r="W181" i="2"/>
  <c r="E150" i="2"/>
  <c r="F1218" i="2"/>
  <c r="K1268" i="2"/>
  <c r="I1268" i="2"/>
  <c r="I1266" i="2"/>
  <c r="I1264" i="2"/>
  <c r="Z1257" i="2"/>
  <c r="R1257" i="2"/>
  <c r="I1257" i="2"/>
  <c r="X1256" i="2"/>
  <c r="P1256" i="2"/>
  <c r="AD1255" i="2"/>
  <c r="V1255" i="2"/>
  <c r="N1255" i="2"/>
  <c r="AB1254" i="2"/>
  <c r="T1254" i="2"/>
  <c r="K1254" i="2"/>
  <c r="Z1253" i="2"/>
  <c r="R1253" i="2"/>
  <c r="I1253" i="2"/>
  <c r="X1252" i="2"/>
  <c r="P1252" i="2"/>
  <c r="AD1251" i="2"/>
  <c r="V1251" i="2"/>
  <c r="N1251" i="2"/>
  <c r="K1269" i="2"/>
  <c r="K1267" i="2"/>
  <c r="K1265" i="2"/>
  <c r="K1263" i="2"/>
  <c r="X1257" i="2"/>
  <c r="P1257" i="2"/>
  <c r="AD1256" i="2"/>
  <c r="V1256" i="2"/>
  <c r="N1256" i="2"/>
  <c r="AB1255" i="2"/>
  <c r="T1255" i="2"/>
  <c r="K1255" i="2"/>
  <c r="Z1254" i="2"/>
  <c r="R1254" i="2"/>
  <c r="I1254" i="2"/>
  <c r="X1253" i="2"/>
  <c r="P1253" i="2"/>
  <c r="AD1252" i="2"/>
  <c r="V1252" i="2"/>
  <c r="N1252" i="2"/>
  <c r="AB1251" i="2"/>
  <c r="T1251" i="2"/>
  <c r="K1251" i="2"/>
  <c r="I1269" i="2"/>
  <c r="I1267" i="2"/>
  <c r="I1265" i="2"/>
  <c r="I1263" i="2"/>
  <c r="AD1257" i="2"/>
  <c r="V1257" i="2"/>
  <c r="N1257" i="2"/>
  <c r="AB1256" i="2"/>
  <c r="T1256" i="2"/>
  <c r="K1256" i="2"/>
  <c r="Z1255" i="2"/>
  <c r="R1255" i="2"/>
  <c r="I1255" i="2"/>
  <c r="X1254" i="2"/>
  <c r="P1254" i="2"/>
  <c r="AD1253" i="2"/>
  <c r="V1253" i="2"/>
  <c r="N1253" i="2"/>
  <c r="AB1252" i="2"/>
  <c r="T1252" i="2"/>
  <c r="K1252" i="2"/>
  <c r="Z1251" i="2"/>
  <c r="R1251" i="2"/>
  <c r="R1260" i="2" s="1"/>
  <c r="I1251" i="2"/>
  <c r="P1251" i="2"/>
  <c r="Z1252" i="2"/>
  <c r="N1254" i="2"/>
  <c r="X1255" i="2"/>
  <c r="K1257" i="2"/>
  <c r="F1217" i="2"/>
  <c r="H1217" i="2" s="1"/>
  <c r="X1251" i="2"/>
  <c r="K1253" i="2"/>
  <c r="V1254" i="2"/>
  <c r="I1256" i="2"/>
  <c r="T1257" i="2"/>
  <c r="F1216" i="2"/>
  <c r="G1216" i="2" s="1"/>
  <c r="F1230" i="2"/>
  <c r="G1230" i="2" s="1"/>
  <c r="I1252" i="2"/>
  <c r="T1253" i="2"/>
  <c r="AD1254" i="2"/>
  <c r="R1256" i="2"/>
  <c r="AB1257" i="2"/>
  <c r="K1264" i="2"/>
  <c r="K1270" i="2" s="1"/>
  <c r="R1252" i="2"/>
  <c r="AB1253" i="2"/>
  <c r="P1255" i="2"/>
  <c r="Z1256" i="2"/>
  <c r="K1266" i="2"/>
  <c r="F1213" i="2"/>
  <c r="H1213" i="2" s="1"/>
  <c r="H1222" i="2" s="1"/>
  <c r="F1229" i="2"/>
  <c r="G1229" i="2" s="1"/>
  <c r="F1232" i="2"/>
  <c r="G1232" i="2" s="1"/>
  <c r="F1239" i="2"/>
  <c r="G1239" i="2" s="1"/>
  <c r="G1246" i="2" s="1"/>
  <c r="K1240" i="2"/>
  <c r="M1240" i="2" s="1"/>
  <c r="H1216" i="2"/>
  <c r="G1213" i="2"/>
  <c r="M795" i="2"/>
  <c r="J837" i="2" s="1"/>
  <c r="K837" i="2" s="1"/>
  <c r="M692" i="2"/>
  <c r="G74" i="1"/>
  <c r="G77" i="1"/>
  <c r="G79" i="1"/>
  <c r="G81" i="1"/>
  <c r="O144" i="1"/>
  <c r="P144" i="1"/>
  <c r="Q144" i="1"/>
  <c r="R144" i="1"/>
  <c r="U144" i="1"/>
  <c r="V144" i="1"/>
  <c r="W146" i="1"/>
  <c r="S144" i="1"/>
  <c r="T144" i="1"/>
  <c r="O146" i="1"/>
  <c r="P146" i="1"/>
  <c r="Q146" i="1"/>
  <c r="R146" i="1"/>
  <c r="S146" i="1"/>
  <c r="S175" i="1" s="1"/>
  <c r="T146" i="1"/>
  <c r="U146" i="1"/>
  <c r="V146" i="1"/>
  <c r="O148" i="1"/>
  <c r="P148" i="1"/>
  <c r="Q148" i="1"/>
  <c r="R148" i="1"/>
  <c r="S148" i="1"/>
  <c r="U148" i="1"/>
  <c r="V148" i="1"/>
  <c r="W148" i="1"/>
  <c r="T148" i="1"/>
  <c r="O150" i="1"/>
  <c r="P150" i="1"/>
  <c r="Q150" i="1"/>
  <c r="R150" i="1"/>
  <c r="S150" i="1"/>
  <c r="T150" i="1"/>
  <c r="U150" i="1"/>
  <c r="V150" i="1"/>
  <c r="W150" i="1"/>
  <c r="O152" i="1"/>
  <c r="P152" i="1"/>
  <c r="Q152" i="1"/>
  <c r="S152" i="1"/>
  <c r="T152" i="1"/>
  <c r="U152" i="1"/>
  <c r="V152" i="1"/>
  <c r="W152" i="1"/>
  <c r="O154" i="1"/>
  <c r="P154" i="1"/>
  <c r="Q154" i="1"/>
  <c r="R154" i="1"/>
  <c r="S154" i="1"/>
  <c r="T154" i="1"/>
  <c r="U154" i="1"/>
  <c r="V154" i="1"/>
  <c r="W154" i="1"/>
  <c r="O156" i="1"/>
  <c r="P156" i="1"/>
  <c r="Q156" i="1"/>
  <c r="R156" i="1"/>
  <c r="S156" i="1"/>
  <c r="U156" i="1"/>
  <c r="V156" i="1"/>
  <c r="W156" i="1"/>
  <c r="O158" i="1"/>
  <c r="P158" i="1"/>
  <c r="Q158" i="1"/>
  <c r="R158" i="1"/>
  <c r="T158" i="1"/>
  <c r="U158" i="1"/>
  <c r="V158" i="1"/>
  <c r="O160" i="1"/>
  <c r="P160" i="1"/>
  <c r="Q160" i="1"/>
  <c r="R160" i="1"/>
  <c r="S160" i="1"/>
  <c r="T160" i="1"/>
  <c r="U160" i="1"/>
  <c r="V160" i="1"/>
  <c r="W160" i="1"/>
  <c r="O162" i="1"/>
  <c r="P162" i="1"/>
  <c r="Q162" i="1"/>
  <c r="R162" i="1"/>
  <c r="S162" i="1"/>
  <c r="T162" i="1"/>
  <c r="U162" i="1"/>
  <c r="V162" i="1"/>
  <c r="W162" i="1"/>
  <c r="O164" i="1"/>
  <c r="P164" i="1"/>
  <c r="Q164" i="1"/>
  <c r="R164" i="1"/>
  <c r="S164" i="1"/>
  <c r="T164" i="1"/>
  <c r="U164" i="1"/>
  <c r="V164" i="1"/>
  <c r="W164" i="1"/>
  <c r="A278" i="1"/>
  <c r="A279" i="1"/>
  <c r="A280" i="1"/>
  <c r="A281" i="1"/>
  <c r="A282" i="1"/>
  <c r="A283" i="1"/>
  <c r="A284" i="1"/>
  <c r="A285" i="1"/>
  <c r="A290" i="1"/>
  <c r="A291" i="1"/>
  <c r="A292" i="1"/>
  <c r="A293" i="1"/>
  <c r="A294" i="1"/>
  <c r="A299" i="1"/>
  <c r="A300" i="1"/>
  <c r="A301" i="1"/>
  <c r="A302" i="1"/>
  <c r="E305" i="1"/>
  <c r="A310" i="1"/>
  <c r="K310" i="1"/>
  <c r="A311" i="1"/>
  <c r="K311" i="1"/>
  <c r="A312" i="1"/>
  <c r="K312" i="1"/>
  <c r="A313" i="1"/>
  <c r="K313" i="1"/>
  <c r="E318" i="1"/>
  <c r="F331" i="1"/>
  <c r="K331" i="1"/>
  <c r="F332" i="1"/>
  <c r="K332" i="1"/>
  <c r="F333" i="1"/>
  <c r="K333" i="1"/>
  <c r="F334" i="1"/>
  <c r="K334" i="1"/>
  <c r="F335" i="1"/>
  <c r="K335" i="1"/>
  <c r="F336" i="1"/>
  <c r="K336" i="1"/>
  <c r="F337" i="1"/>
  <c r="K337" i="1"/>
  <c r="A378" i="1"/>
  <c r="A379" i="1"/>
  <c r="A380" i="1"/>
  <c r="A381" i="1"/>
  <c r="A382" i="1"/>
  <c r="A383" i="1"/>
  <c r="A384" i="1"/>
  <c r="A385" i="1"/>
  <c r="A390" i="1"/>
  <c r="A391" i="1"/>
  <c r="A392" i="1"/>
  <c r="A393" i="1"/>
  <c r="A394" i="1"/>
  <c r="A399" i="1"/>
  <c r="A400" i="1"/>
  <c r="A401" i="1"/>
  <c r="A402" i="1"/>
  <c r="E405" i="1"/>
  <c r="A410" i="1"/>
  <c r="K410" i="1"/>
  <c r="A411" i="1"/>
  <c r="K411" i="1"/>
  <c r="A412" i="1"/>
  <c r="K412" i="1"/>
  <c r="A413" i="1"/>
  <c r="K413" i="1"/>
  <c r="E418" i="1"/>
  <c r="F430" i="1"/>
  <c r="K430" i="1"/>
  <c r="F431" i="1"/>
  <c r="K431" i="1"/>
  <c r="F432" i="1"/>
  <c r="K432" i="1"/>
  <c r="F433" i="1"/>
  <c r="K433" i="1"/>
  <c r="F434" i="1"/>
  <c r="K434" i="1"/>
  <c r="F435" i="1"/>
  <c r="K435" i="1"/>
  <c r="F436" i="1"/>
  <c r="K436" i="1"/>
  <c r="F437" i="1"/>
  <c r="K437" i="1"/>
  <c r="A478" i="1"/>
  <c r="A479" i="1"/>
  <c r="A480" i="1"/>
  <c r="A481" i="1"/>
  <c r="A482" i="1"/>
  <c r="A483" i="1"/>
  <c r="A484" i="1"/>
  <c r="A485" i="1"/>
  <c r="A490" i="1"/>
  <c r="A491" i="1"/>
  <c r="A492" i="1"/>
  <c r="A493" i="1"/>
  <c r="A494" i="1"/>
  <c r="A499" i="1"/>
  <c r="A500" i="1"/>
  <c r="A501" i="1"/>
  <c r="A502" i="1"/>
  <c r="E505" i="1"/>
  <c r="A510" i="1"/>
  <c r="K510" i="1"/>
  <c r="A511" i="1"/>
  <c r="K511" i="1"/>
  <c r="A512" i="1"/>
  <c r="K512" i="1"/>
  <c r="A513" i="1"/>
  <c r="K513" i="1"/>
  <c r="E518" i="1"/>
  <c r="F531" i="1"/>
  <c r="K531" i="1"/>
  <c r="F532" i="1"/>
  <c r="K532" i="1"/>
  <c r="F533" i="1"/>
  <c r="K533" i="1"/>
  <c r="F534" i="1"/>
  <c r="K534" i="1"/>
  <c r="F535" i="1"/>
  <c r="K535" i="1"/>
  <c r="F536" i="1"/>
  <c r="K536" i="1"/>
  <c r="F537" i="1"/>
  <c r="K537" i="1"/>
  <c r="A578" i="1"/>
  <c r="A579" i="1"/>
  <c r="A580" i="1"/>
  <c r="A581" i="1"/>
  <c r="A582" i="1"/>
  <c r="A583" i="1"/>
  <c r="A584" i="1"/>
  <c r="A585" i="1"/>
  <c r="A590" i="1"/>
  <c r="A591" i="1"/>
  <c r="A592" i="1"/>
  <c r="A593" i="1"/>
  <c r="A594" i="1"/>
  <c r="A599" i="1"/>
  <c r="A600" i="1"/>
  <c r="A601" i="1"/>
  <c r="A602" i="1"/>
  <c r="E605" i="1"/>
  <c r="A610" i="1"/>
  <c r="K610" i="1"/>
  <c r="A611" i="1"/>
  <c r="K611" i="1"/>
  <c r="A612" i="1"/>
  <c r="K612" i="1"/>
  <c r="A613" i="1"/>
  <c r="K613" i="1"/>
  <c r="E618" i="1"/>
  <c r="F631" i="1"/>
  <c r="K631" i="1"/>
  <c r="F632" i="1"/>
  <c r="K632" i="1"/>
  <c r="F633" i="1"/>
  <c r="K633" i="1"/>
  <c r="F634" i="1"/>
  <c r="K634" i="1"/>
  <c r="F635" i="1"/>
  <c r="K635" i="1"/>
  <c r="F636" i="1"/>
  <c r="K636" i="1"/>
  <c r="F637" i="1"/>
  <c r="K637" i="1"/>
  <c r="A678" i="1"/>
  <c r="A679" i="1"/>
  <c r="A680" i="1"/>
  <c r="A681" i="1"/>
  <c r="A682" i="1"/>
  <c r="A683" i="1"/>
  <c r="A684" i="1"/>
  <c r="A685" i="1"/>
  <c r="A690" i="1"/>
  <c r="A691" i="1"/>
  <c r="A692" i="1"/>
  <c r="A693" i="1"/>
  <c r="A694" i="1"/>
  <c r="A699" i="1"/>
  <c r="A700" i="1"/>
  <c r="A701" i="1"/>
  <c r="A702" i="1"/>
  <c r="E705" i="1"/>
  <c r="A710" i="1"/>
  <c r="K710" i="1"/>
  <c r="A711" i="1"/>
  <c r="K711" i="1"/>
  <c r="A712" i="1"/>
  <c r="K712" i="1"/>
  <c r="A713" i="1"/>
  <c r="K713" i="1"/>
  <c r="E718" i="1"/>
  <c r="F730" i="1"/>
  <c r="K730" i="1"/>
  <c r="F731" i="1"/>
  <c r="K731" i="1"/>
  <c r="F732" i="1"/>
  <c r="K732" i="1"/>
  <c r="F733" i="1"/>
  <c r="K733" i="1"/>
  <c r="F734" i="1"/>
  <c r="K734" i="1"/>
  <c r="F735" i="1"/>
  <c r="K735" i="1"/>
  <c r="F736" i="1"/>
  <c r="K736" i="1"/>
  <c r="F737" i="1"/>
  <c r="K737" i="1"/>
  <c r="A778" i="1"/>
  <c r="A779" i="1"/>
  <c r="A780" i="1"/>
  <c r="A781" i="1"/>
  <c r="A782" i="1"/>
  <c r="A783" i="1"/>
  <c r="A784" i="1"/>
  <c r="A785" i="1"/>
  <c r="A790" i="1"/>
  <c r="A791" i="1"/>
  <c r="A792" i="1"/>
  <c r="A793" i="1"/>
  <c r="A794" i="1"/>
  <c r="A799" i="1"/>
  <c r="A800" i="1"/>
  <c r="A801" i="1"/>
  <c r="A802" i="1"/>
  <c r="E805" i="1"/>
  <c r="A810" i="1"/>
  <c r="K810" i="1"/>
  <c r="A811" i="1"/>
  <c r="K811" i="1"/>
  <c r="A812" i="1"/>
  <c r="K812" i="1"/>
  <c r="A813" i="1"/>
  <c r="K813" i="1"/>
  <c r="E818" i="1"/>
  <c r="F830" i="1"/>
  <c r="K830" i="1"/>
  <c r="F831" i="1"/>
  <c r="K831" i="1"/>
  <c r="F832" i="1"/>
  <c r="K832" i="1"/>
  <c r="F833" i="1"/>
  <c r="K833" i="1"/>
  <c r="F834" i="1"/>
  <c r="K834" i="1"/>
  <c r="F835" i="1"/>
  <c r="K835" i="1"/>
  <c r="F836" i="1"/>
  <c r="K836" i="1"/>
  <c r="F837" i="1"/>
  <c r="K837" i="1"/>
  <c r="A878" i="1"/>
  <c r="A879" i="1"/>
  <c r="A880" i="1"/>
  <c r="A881" i="1"/>
  <c r="A882" i="1"/>
  <c r="A883" i="1"/>
  <c r="A884" i="1"/>
  <c r="A885" i="1"/>
  <c r="A890" i="1"/>
  <c r="A891" i="1"/>
  <c r="A892" i="1"/>
  <c r="A893" i="1"/>
  <c r="A894" i="1"/>
  <c r="A899" i="1"/>
  <c r="A900" i="1"/>
  <c r="A901" i="1"/>
  <c r="A902" i="1"/>
  <c r="E905" i="1"/>
  <c r="A910" i="1"/>
  <c r="K910" i="1"/>
  <c r="A911" i="1"/>
  <c r="K911" i="1"/>
  <c r="A912" i="1"/>
  <c r="K912" i="1"/>
  <c r="A913" i="1"/>
  <c r="K913" i="1"/>
  <c r="E918" i="1"/>
  <c r="F930" i="1"/>
  <c r="K930" i="1"/>
  <c r="F931" i="1"/>
  <c r="K931" i="1"/>
  <c r="F932" i="1"/>
  <c r="K932" i="1"/>
  <c r="F933" i="1"/>
  <c r="K933" i="1"/>
  <c r="F934" i="1"/>
  <c r="K934" i="1"/>
  <c r="F935" i="1"/>
  <c r="K935" i="1"/>
  <c r="F936" i="1"/>
  <c r="K936" i="1"/>
  <c r="F937" i="1"/>
  <c r="K937" i="1"/>
  <c r="A978" i="1"/>
  <c r="A979" i="1"/>
  <c r="A980" i="1"/>
  <c r="A981" i="1"/>
  <c r="A982" i="1"/>
  <c r="A983" i="1"/>
  <c r="A984" i="1"/>
  <c r="A985" i="1"/>
  <c r="A990" i="1"/>
  <c r="A991" i="1"/>
  <c r="A992" i="1"/>
  <c r="A993" i="1"/>
  <c r="A994" i="1"/>
  <c r="A999" i="1"/>
  <c r="A1000" i="1"/>
  <c r="A1001" i="1"/>
  <c r="A1002" i="1"/>
  <c r="E1005" i="1"/>
  <c r="A1010" i="1"/>
  <c r="K1010" i="1"/>
  <c r="A1011" i="1"/>
  <c r="K1011" i="1"/>
  <c r="A1012" i="1"/>
  <c r="K1012" i="1"/>
  <c r="A1013" i="1"/>
  <c r="K1013" i="1"/>
  <c r="E1018" i="1"/>
  <c r="F1030" i="1"/>
  <c r="K1030" i="1"/>
  <c r="F1031" i="1"/>
  <c r="K1031" i="1"/>
  <c r="F1032" i="1"/>
  <c r="K1032" i="1"/>
  <c r="F1033" i="1"/>
  <c r="K1033" i="1"/>
  <c r="F1034" i="1"/>
  <c r="K1034" i="1"/>
  <c r="F1035" i="1"/>
  <c r="K1035" i="1"/>
  <c r="F1036" i="1"/>
  <c r="K1036" i="1"/>
  <c r="F1037" i="1"/>
  <c r="K1037" i="1"/>
  <c r="A1078" i="1"/>
  <c r="A1079" i="1"/>
  <c r="A1080" i="1"/>
  <c r="A1081" i="1"/>
  <c r="A1082" i="1"/>
  <c r="A1083" i="1"/>
  <c r="A1084" i="1"/>
  <c r="A1085" i="1"/>
  <c r="A1090" i="1"/>
  <c r="A1091" i="1"/>
  <c r="A1092" i="1"/>
  <c r="A1093" i="1"/>
  <c r="A1094" i="1"/>
  <c r="A1099" i="1"/>
  <c r="A1100" i="1"/>
  <c r="A1101" i="1"/>
  <c r="A1102" i="1"/>
  <c r="E1105" i="1"/>
  <c r="A1110" i="1"/>
  <c r="K1110" i="1"/>
  <c r="A1111" i="1"/>
  <c r="K1111" i="1"/>
  <c r="A1112" i="1"/>
  <c r="K1112" i="1"/>
  <c r="A1113" i="1"/>
  <c r="K1113" i="1"/>
  <c r="E1118" i="1"/>
  <c r="F1130" i="1"/>
  <c r="K1130" i="1"/>
  <c r="F1131" i="1"/>
  <c r="K1131" i="1"/>
  <c r="F1132" i="1"/>
  <c r="K1132" i="1"/>
  <c r="F1133" i="1"/>
  <c r="K1133" i="1"/>
  <c r="F1134" i="1"/>
  <c r="K1134" i="1"/>
  <c r="F1135" i="1"/>
  <c r="K1135" i="1"/>
  <c r="F1136" i="1"/>
  <c r="K1136" i="1"/>
  <c r="F1137" i="1"/>
  <c r="K1137" i="1"/>
  <c r="K181" i="1"/>
  <c r="M181" i="1"/>
  <c r="AX169" i="1" l="1"/>
  <c r="AN146" i="1"/>
  <c r="AN134" i="1"/>
  <c r="AX179" i="1"/>
  <c r="AX167" i="1"/>
  <c r="AN132" i="1"/>
  <c r="AX177" i="1"/>
  <c r="AX163" i="1"/>
  <c r="AX175" i="1"/>
  <c r="AN150" i="1"/>
  <c r="AX150" i="1" s="1"/>
  <c r="AN142" i="1"/>
  <c r="AX181" i="1"/>
  <c r="AX171" i="1"/>
  <c r="AN130" i="1"/>
  <c r="AX173" i="1"/>
  <c r="AX161" i="1"/>
  <c r="AN140" i="1"/>
  <c r="AX159" i="1"/>
  <c r="AN148" i="1"/>
  <c r="AN138" i="1"/>
  <c r="AX138" i="1" s="1"/>
  <c r="AN136" i="1"/>
  <c r="AN144" i="1"/>
  <c r="AW181" i="1"/>
  <c r="AW167" i="1"/>
  <c r="AK144" i="1"/>
  <c r="AW177" i="1"/>
  <c r="AK130" i="1"/>
  <c r="AW173" i="1"/>
  <c r="AW159" i="1"/>
  <c r="AK136" i="1"/>
  <c r="AW136" i="1" s="1"/>
  <c r="AK148" i="1"/>
  <c r="AK134" i="1"/>
  <c r="AW175" i="1"/>
  <c r="AW179" i="1"/>
  <c r="AW163" i="1"/>
  <c r="AK142" i="1"/>
  <c r="AK150" i="1"/>
  <c r="AW150" i="1" s="1"/>
  <c r="AW171" i="1"/>
  <c r="AK146" i="1"/>
  <c r="AK140" i="1"/>
  <c r="AW140" i="1" s="1"/>
  <c r="AK132" i="1"/>
  <c r="AK138" i="1"/>
  <c r="AW138" i="1" s="1"/>
  <c r="AW169" i="1"/>
  <c r="AW161" i="1"/>
  <c r="AJ138" i="1"/>
  <c r="AV181" i="1"/>
  <c r="AV171" i="1"/>
  <c r="AJ132" i="1"/>
  <c r="AV132" i="1" s="1"/>
  <c r="AJ144" i="1"/>
  <c r="AV167" i="1"/>
  <c r="AV175" i="1"/>
  <c r="AJ150" i="1"/>
  <c r="AV150" i="1" s="1"/>
  <c r="AJ146" i="1"/>
  <c r="AJ142" i="1"/>
  <c r="AV142" i="1" s="1"/>
  <c r="AJ140" i="1"/>
  <c r="AJ134" i="1"/>
  <c r="AV134" i="1" s="1"/>
  <c r="AV161" i="1"/>
  <c r="AV163" i="1"/>
  <c r="AV159" i="1"/>
  <c r="AJ136" i="1"/>
  <c r="AV136" i="1" s="1"/>
  <c r="AV179" i="1"/>
  <c r="AJ148" i="1"/>
  <c r="AV148" i="1" s="1"/>
  <c r="AV177" i="1"/>
  <c r="AV169" i="1"/>
  <c r="AJ130" i="1"/>
  <c r="AV173" i="1"/>
  <c r="AU161" i="1"/>
  <c r="AU163" i="1"/>
  <c r="AI146" i="1"/>
  <c r="AU173" i="1"/>
  <c r="AI142" i="1"/>
  <c r="AI138" i="1"/>
  <c r="AI134" i="1"/>
  <c r="AU134" i="1" s="1"/>
  <c r="AI130" i="1"/>
  <c r="AU130" i="1" s="1"/>
  <c r="AU181" i="1"/>
  <c r="AU169" i="1"/>
  <c r="AI148" i="1"/>
  <c r="AI144" i="1"/>
  <c r="AU177" i="1"/>
  <c r="AU171" i="1"/>
  <c r="AU167" i="1"/>
  <c r="AU175" i="1"/>
  <c r="AU159" i="1"/>
  <c r="AI150" i="1"/>
  <c r="AI140" i="1"/>
  <c r="AI136" i="1"/>
  <c r="AI132" i="1"/>
  <c r="AU179" i="1"/>
  <c r="AT175" i="1"/>
  <c r="AT169" i="1"/>
  <c r="AH150" i="1"/>
  <c r="AH142" i="1"/>
  <c r="AT161" i="1"/>
  <c r="AT179" i="1"/>
  <c r="AH144" i="1"/>
  <c r="AH138" i="1"/>
  <c r="AT177" i="1"/>
  <c r="AT181" i="1"/>
  <c r="AT171" i="1"/>
  <c r="AT163" i="1"/>
  <c r="AH146" i="1"/>
  <c r="AH134" i="1"/>
  <c r="AT134" i="1" s="1"/>
  <c r="AH136" i="1"/>
  <c r="AT173" i="1"/>
  <c r="AT167" i="1"/>
  <c r="AH140" i="1"/>
  <c r="AT140" i="1" s="1"/>
  <c r="AH148" i="1"/>
  <c r="AH130" i="1"/>
  <c r="AT159" i="1"/>
  <c r="AH132" i="1"/>
  <c r="AS171" i="1"/>
  <c r="AG144" i="1"/>
  <c r="AS177" i="1"/>
  <c r="AG146" i="1"/>
  <c r="AS173" i="1"/>
  <c r="AS159" i="1"/>
  <c r="AG136" i="1"/>
  <c r="AS161" i="1"/>
  <c r="AG148" i="1"/>
  <c r="AS148" i="1" s="1"/>
  <c r="AG138" i="1"/>
  <c r="AS179" i="1"/>
  <c r="AS175" i="1"/>
  <c r="AS163" i="1"/>
  <c r="AG150" i="1"/>
  <c r="AG130" i="1"/>
  <c r="AS181" i="1"/>
  <c r="AS167" i="1"/>
  <c r="AG140" i="1"/>
  <c r="AG134" i="1"/>
  <c r="AG132" i="1"/>
  <c r="AG142" i="1"/>
  <c r="AS169" i="1"/>
  <c r="AF130" i="1"/>
  <c r="AF132" i="1"/>
  <c r="AR132" i="1" s="1"/>
  <c r="AF136" i="1"/>
  <c r="AF134" i="1"/>
  <c r="AR167" i="1"/>
  <c r="AR163" i="1"/>
  <c r="AR161" i="1"/>
  <c r="AR159" i="1"/>
  <c r="AR169" i="1"/>
  <c r="AF138" i="1"/>
  <c r="AR181" i="1"/>
  <c r="AR179" i="1"/>
  <c r="AR173" i="1"/>
  <c r="AR171" i="1"/>
  <c r="AF140" i="1"/>
  <c r="AR175" i="1"/>
  <c r="AF150" i="1"/>
  <c r="AF148" i="1"/>
  <c r="AF146" i="1"/>
  <c r="AF144" i="1"/>
  <c r="AR144" i="1" s="1"/>
  <c r="AF142" i="1"/>
  <c r="AR142" i="1" s="1"/>
  <c r="AR177" i="1"/>
  <c r="AQ175" i="1"/>
  <c r="AQ173" i="1"/>
  <c r="AE150" i="1"/>
  <c r="AQ171" i="1"/>
  <c r="AQ169" i="1"/>
  <c r="AQ167" i="1"/>
  <c r="AE148" i="1"/>
  <c r="AQ163" i="1"/>
  <c r="AE146" i="1"/>
  <c r="AQ146" i="1" s="1"/>
  <c r="AQ161" i="1"/>
  <c r="AE144" i="1"/>
  <c r="AQ177" i="1"/>
  <c r="AQ159" i="1"/>
  <c r="AE142" i="1"/>
  <c r="AQ142" i="1" s="1"/>
  <c r="AE140" i="1"/>
  <c r="AE138" i="1"/>
  <c r="AE136" i="1"/>
  <c r="AE134" i="1"/>
  <c r="AQ134" i="1" s="1"/>
  <c r="AE132" i="1"/>
  <c r="AE130" i="1"/>
  <c r="AQ181" i="1"/>
  <c r="AQ179" i="1"/>
  <c r="AP167" i="1"/>
  <c r="AA132" i="1"/>
  <c r="AA130" i="1"/>
  <c r="AP179" i="1"/>
  <c r="AA144" i="1"/>
  <c r="AP177" i="1"/>
  <c r="AP163" i="1"/>
  <c r="AA150" i="1"/>
  <c r="AP150" i="1" s="1"/>
  <c r="AA142" i="1"/>
  <c r="AP142" i="1" s="1"/>
  <c r="AP171" i="1"/>
  <c r="AA146" i="1"/>
  <c r="AP175" i="1"/>
  <c r="AP161" i="1"/>
  <c r="AA140" i="1"/>
  <c r="AP173" i="1"/>
  <c r="AA148" i="1"/>
  <c r="AP148" i="1" s="1"/>
  <c r="AA138" i="1"/>
  <c r="AP138" i="1" s="1"/>
  <c r="AP169" i="1" s="1"/>
  <c r="AA134" i="1"/>
  <c r="AP134" i="1" s="1"/>
  <c r="AA136" i="1"/>
  <c r="AP136" i="1" s="1"/>
  <c r="AP181" i="1"/>
  <c r="F618" i="3"/>
  <c r="F617" i="3"/>
  <c r="F616" i="3"/>
  <c r="F615" i="3"/>
  <c r="G1217" i="2"/>
  <c r="W144" i="1"/>
  <c r="I231" i="1"/>
  <c r="I233" i="1"/>
  <c r="A150" i="2"/>
  <c r="P128" i="2"/>
  <c r="P157" i="2" s="1"/>
  <c r="P181" i="2" s="1"/>
  <c r="F684" i="2"/>
  <c r="F704" i="2" s="1"/>
  <c r="G704" i="2" s="1"/>
  <c r="H772" i="3"/>
  <c r="F787" i="2"/>
  <c r="F817" i="2" s="1"/>
  <c r="G817" i="2" s="1"/>
  <c r="H872" i="3"/>
  <c r="F890" i="2"/>
  <c r="F921" i="2" s="1"/>
  <c r="G921" i="2" s="1"/>
  <c r="H972" i="3"/>
  <c r="F581" i="2"/>
  <c r="F613" i="2" s="1"/>
  <c r="G613" i="2" s="1"/>
  <c r="H672" i="3"/>
  <c r="F993" i="2"/>
  <c r="F1025" i="2" s="1"/>
  <c r="G1025" i="2" s="1"/>
  <c r="H1072" i="3"/>
  <c r="F272" i="2"/>
  <c r="F304" i="2" s="1"/>
  <c r="G304" i="2" s="1"/>
  <c r="H372" i="3"/>
  <c r="I232" i="1"/>
  <c r="I234" i="1"/>
  <c r="F375" i="2"/>
  <c r="F396" i="2" s="1"/>
  <c r="G396" i="2" s="1"/>
  <c r="H472" i="3"/>
  <c r="G1222" i="2"/>
  <c r="F478" i="2"/>
  <c r="F497" i="2" s="1"/>
  <c r="G497" i="2" s="1"/>
  <c r="I181" i="1"/>
  <c r="J181" i="1"/>
  <c r="G52" i="1" s="1"/>
  <c r="AB1260" i="2"/>
  <c r="Z1260" i="2"/>
  <c r="X1260" i="2"/>
  <c r="J836" i="2"/>
  <c r="K836" i="2" s="1"/>
  <c r="I166" i="1"/>
  <c r="K1242" i="2"/>
  <c r="M1242" i="2" s="1"/>
  <c r="F1215" i="2"/>
  <c r="H1215" i="2" s="1"/>
  <c r="F1226" i="2"/>
  <c r="G1226" i="2" s="1"/>
  <c r="F1240" i="2"/>
  <c r="N1260" i="2"/>
  <c r="K1260" i="2"/>
  <c r="I1260" i="2"/>
  <c r="F1242" i="2"/>
  <c r="G1242" i="2" s="1"/>
  <c r="AQ136" i="1"/>
  <c r="AQ132" i="1"/>
  <c r="AQ150" i="1"/>
  <c r="AQ148" i="1"/>
  <c r="AQ144" i="1"/>
  <c r="AQ140" i="1"/>
  <c r="AQ138" i="1"/>
  <c r="AQ130" i="1"/>
  <c r="AS150" i="1"/>
  <c r="AS144" i="1"/>
  <c r="AS142" i="1"/>
  <c r="AS140" i="1"/>
  <c r="AS146" i="1"/>
  <c r="AS138" i="1"/>
  <c r="AS134" i="1"/>
  <c r="AS130" i="1"/>
  <c r="AS136" i="1"/>
  <c r="AS132" i="1"/>
  <c r="AU136" i="1"/>
  <c r="AU132" i="1"/>
  <c r="AU150" i="1"/>
  <c r="AU148" i="1"/>
  <c r="AU144" i="1"/>
  <c r="AU142" i="1"/>
  <c r="AU140" i="1"/>
  <c r="AU146" i="1"/>
  <c r="AU138" i="1"/>
  <c r="AW148" i="1"/>
  <c r="AW144" i="1"/>
  <c r="AW142" i="1"/>
  <c r="AW146" i="1"/>
  <c r="AW134" i="1"/>
  <c r="AW130" i="1"/>
  <c r="AW132" i="1"/>
  <c r="T1260" i="2"/>
  <c r="AP146" i="1"/>
  <c r="AP130" i="1"/>
  <c r="AP159" i="1" s="1"/>
  <c r="AP132" i="1"/>
  <c r="AP144" i="1"/>
  <c r="AP140" i="1"/>
  <c r="AD1260" i="2"/>
  <c r="P1260" i="2"/>
  <c r="I1270" i="2"/>
  <c r="D231" i="1"/>
  <c r="D233" i="1"/>
  <c r="G1215" i="2"/>
  <c r="F1228" i="2"/>
  <c r="G1228" i="2" s="1"/>
  <c r="AR136" i="1"/>
  <c r="AR150" i="1"/>
  <c r="AR148" i="1"/>
  <c r="AR140" i="1"/>
  <c r="AR134" i="1"/>
  <c r="AR130" i="1"/>
  <c r="AR146" i="1"/>
  <c r="AR138" i="1"/>
  <c r="AT146" i="1"/>
  <c r="AT138" i="1"/>
  <c r="AT130" i="1"/>
  <c r="AT136" i="1"/>
  <c r="AT132" i="1"/>
  <c r="AT150" i="1"/>
  <c r="AT148" i="1"/>
  <c r="AT144" i="1"/>
  <c r="AT142" i="1"/>
  <c r="AV144" i="1"/>
  <c r="AV140" i="1"/>
  <c r="AV146" i="1"/>
  <c r="AV138" i="1"/>
  <c r="AV130" i="1"/>
  <c r="AX146" i="1"/>
  <c r="AX134" i="1"/>
  <c r="AX130" i="1"/>
  <c r="AX136" i="1"/>
  <c r="AX132" i="1"/>
  <c r="AX148" i="1"/>
  <c r="AX144" i="1"/>
  <c r="AX142" i="1"/>
  <c r="AX140" i="1"/>
  <c r="A166" i="1"/>
  <c r="J835" i="2"/>
  <c r="K835" i="2" s="1"/>
  <c r="J833" i="2"/>
  <c r="K833" i="2" s="1"/>
  <c r="J832" i="2"/>
  <c r="K832" i="2" s="1"/>
  <c r="J834" i="2"/>
  <c r="K834" i="2" s="1"/>
  <c r="J831" i="2"/>
  <c r="K831" i="2" s="1"/>
  <c r="J830" i="2"/>
  <c r="K830" i="2" s="1"/>
  <c r="E166" i="1"/>
  <c r="K939" i="1"/>
  <c r="F839" i="1"/>
  <c r="F1139" i="1"/>
  <c r="AQ177" i="2"/>
  <c r="AQ159" i="2"/>
  <c r="AE132" i="2"/>
  <c r="AQ132" i="2" s="1"/>
  <c r="AE128" i="2"/>
  <c r="AQ128" i="2" s="1"/>
  <c r="AE142" i="2"/>
  <c r="AQ142" i="2" s="1"/>
  <c r="AQ173" i="2" s="1"/>
  <c r="AE136" i="2"/>
  <c r="AQ136" i="2" s="1"/>
  <c r="AE146" i="2"/>
  <c r="AQ146" i="2" s="1"/>
  <c r="AQ175" i="2"/>
  <c r="AQ167" i="2"/>
  <c r="AE148" i="2"/>
  <c r="AQ148" i="2" s="1"/>
  <c r="AE140" i="2"/>
  <c r="AQ140" i="2" s="1"/>
  <c r="AQ171" i="2" s="1"/>
  <c r="AE134" i="2"/>
  <c r="AQ134" i="2" s="1"/>
  <c r="AQ165" i="2" s="1"/>
  <c r="AE138" i="2"/>
  <c r="AQ138" i="2" s="1"/>
  <c r="AE130" i="2"/>
  <c r="AQ130" i="2" s="1"/>
  <c r="AQ179" i="2"/>
  <c r="AQ169" i="2"/>
  <c r="AQ161" i="2"/>
  <c r="AE144" i="2"/>
  <c r="AQ144" i="2" s="1"/>
  <c r="AQ157" i="2"/>
  <c r="G57" i="1"/>
  <c r="D232" i="1"/>
  <c r="D234" i="1"/>
  <c r="I236" i="1"/>
  <c r="D239" i="1"/>
  <c r="AU165" i="2"/>
  <c r="AI146" i="2"/>
  <c r="AU146" i="2" s="1"/>
  <c r="AI140" i="2"/>
  <c r="AU140" i="2" s="1"/>
  <c r="AI134" i="2"/>
  <c r="AU134" i="2" s="1"/>
  <c r="AI130" i="2"/>
  <c r="AU130" i="2" s="1"/>
  <c r="AU167" i="2"/>
  <c r="AI132" i="2"/>
  <c r="AU132" i="2" s="1"/>
  <c r="AU179" i="2"/>
  <c r="AU173" i="2"/>
  <c r="AU169" i="2"/>
  <c r="AU161" i="2"/>
  <c r="AI144" i="2"/>
  <c r="AU144" i="2" s="1"/>
  <c r="AI138" i="2"/>
  <c r="AU138" i="2" s="1"/>
  <c r="AI148" i="2"/>
  <c r="AU148" i="2" s="1"/>
  <c r="AI128" i="2"/>
  <c r="AU128" i="2" s="1"/>
  <c r="AU157" i="2" s="1"/>
  <c r="AI142" i="2"/>
  <c r="AU142" i="2" s="1"/>
  <c r="AI136" i="2"/>
  <c r="AU136" i="2" s="1"/>
  <c r="AU177" i="2"/>
  <c r="AU159" i="2"/>
  <c r="AU175" i="2"/>
  <c r="AU171" i="2"/>
  <c r="I239" i="1"/>
  <c r="AF142" i="2"/>
  <c r="AR142" i="2" s="1"/>
  <c r="AF136" i="2"/>
  <c r="AR136" i="2" s="1"/>
  <c r="AR175" i="2"/>
  <c r="AR171" i="2"/>
  <c r="AR167" i="2"/>
  <c r="AF148" i="2"/>
  <c r="AR148" i="2" s="1"/>
  <c r="AR165" i="2"/>
  <c r="AF146" i="2"/>
  <c r="AR146" i="2" s="1"/>
  <c r="AF140" i="2"/>
  <c r="AR140" i="2" s="1"/>
  <c r="AF134" i="2"/>
  <c r="AR134" i="2" s="1"/>
  <c r="AF130" i="2"/>
  <c r="AR130" i="2" s="1"/>
  <c r="AR179" i="2"/>
  <c r="AR173" i="2"/>
  <c r="AR169" i="2"/>
  <c r="AR161" i="2"/>
  <c r="AF144" i="2"/>
  <c r="AR144" i="2" s="1"/>
  <c r="AF138" i="2"/>
  <c r="AR138" i="2" s="1"/>
  <c r="AR177" i="2"/>
  <c r="AR159" i="2"/>
  <c r="AF132" i="2"/>
  <c r="AR132" i="2" s="1"/>
  <c r="AF128" i="2"/>
  <c r="AR128" i="2" s="1"/>
  <c r="AR157" i="2" s="1"/>
  <c r="AJ136" i="2"/>
  <c r="AV136" i="2" s="1"/>
  <c r="AV179" i="2"/>
  <c r="AV173" i="2"/>
  <c r="AV169" i="2"/>
  <c r="AV161" i="2"/>
  <c r="AJ144" i="2"/>
  <c r="AV144" i="2" s="1"/>
  <c r="AJ138" i="2"/>
  <c r="AV138" i="2" s="1"/>
  <c r="AJ142" i="2"/>
  <c r="AV142" i="2" s="1"/>
  <c r="AV177" i="2"/>
  <c r="AV159" i="2"/>
  <c r="AJ132" i="2"/>
  <c r="AV132" i="2" s="1"/>
  <c r="AJ128" i="2"/>
  <c r="AV128" i="2" s="1"/>
  <c r="AV157" i="2" s="1"/>
  <c r="AV175" i="2"/>
  <c r="AV171" i="2"/>
  <c r="AV167" i="2"/>
  <c r="AJ148" i="2"/>
  <c r="AV148" i="2" s="1"/>
  <c r="AV165" i="2"/>
  <c r="AJ146" i="2"/>
  <c r="AV146" i="2" s="1"/>
  <c r="AJ140" i="2"/>
  <c r="AV140" i="2" s="1"/>
  <c r="AJ134" i="2"/>
  <c r="AV134" i="2" s="1"/>
  <c r="AJ130" i="2"/>
  <c r="AV130" i="2" s="1"/>
  <c r="D237" i="1"/>
  <c r="D240" i="1"/>
  <c r="K1139" i="1"/>
  <c r="K166" i="1"/>
  <c r="F166" i="1"/>
  <c r="J734" i="2"/>
  <c r="K734" i="2" s="1"/>
  <c r="I237" i="1"/>
  <c r="AS175" i="2"/>
  <c r="AS171" i="2"/>
  <c r="AS167" i="2"/>
  <c r="AG148" i="2"/>
  <c r="AS148" i="2" s="1"/>
  <c r="AS179" i="2"/>
  <c r="AG138" i="2"/>
  <c r="AS138" i="2" s="1"/>
  <c r="AS169" i="2"/>
  <c r="AS165" i="2"/>
  <c r="AG146" i="2"/>
  <c r="AS146" i="2" s="1"/>
  <c r="AG140" i="2"/>
  <c r="AS140" i="2" s="1"/>
  <c r="AG134" i="2"/>
  <c r="AS134" i="2" s="1"/>
  <c r="AG130" i="2"/>
  <c r="AS130" i="2" s="1"/>
  <c r="AS173" i="2"/>
  <c r="AS161" i="2"/>
  <c r="AG144" i="2"/>
  <c r="AS144" i="2" s="1"/>
  <c r="AS177" i="2"/>
  <c r="AS159" i="2"/>
  <c r="AG132" i="2"/>
  <c r="AS132" i="2" s="1"/>
  <c r="AG128" i="2"/>
  <c r="AS128" i="2" s="1"/>
  <c r="AS157" i="2" s="1"/>
  <c r="AG142" i="2"/>
  <c r="AS142" i="2" s="1"/>
  <c r="AG136" i="2"/>
  <c r="AS136" i="2" s="1"/>
  <c r="AW179" i="2"/>
  <c r="AW173" i="2"/>
  <c r="AW169" i="2"/>
  <c r="AW161" i="2"/>
  <c r="AK144" i="2"/>
  <c r="AW144" i="2" s="1"/>
  <c r="AK138" i="2"/>
  <c r="AW138" i="2" s="1"/>
  <c r="AK148" i="2"/>
  <c r="AW148" i="2" s="1"/>
  <c r="AK134" i="2"/>
  <c r="AW134" i="2" s="1"/>
  <c r="AW175" i="2"/>
  <c r="AW177" i="2"/>
  <c r="AW159" i="2"/>
  <c r="AK132" i="2"/>
  <c r="AW132" i="2" s="1"/>
  <c r="AK128" i="2"/>
  <c r="AW128" i="2" s="1"/>
  <c r="AW157" i="2" s="1"/>
  <c r="AW171" i="2"/>
  <c r="AK140" i="2"/>
  <c r="AW140" i="2" s="1"/>
  <c r="AK142" i="2"/>
  <c r="AW142" i="2" s="1"/>
  <c r="AK136" i="2"/>
  <c r="AW136" i="2" s="1"/>
  <c r="AW167" i="2"/>
  <c r="AK146" i="2"/>
  <c r="AW146" i="2" s="1"/>
  <c r="AW165" i="2"/>
  <c r="AK130" i="2"/>
  <c r="AW130" i="2" s="1"/>
  <c r="J733" i="2"/>
  <c r="K733" i="2" s="1"/>
  <c r="D235" i="1"/>
  <c r="D238" i="1"/>
  <c r="I240" i="1"/>
  <c r="AA128" i="2"/>
  <c r="AP128" i="2" s="1"/>
  <c r="AP157" i="2" s="1"/>
  <c r="AP177" i="2"/>
  <c r="AP159" i="2"/>
  <c r="AA132" i="2"/>
  <c r="AP132" i="2" s="1"/>
  <c r="AA142" i="2"/>
  <c r="AP142" i="2" s="1"/>
  <c r="AP173" i="2" s="1"/>
  <c r="AA136" i="2"/>
  <c r="AP136" i="2" s="1"/>
  <c r="AP167" i="2" s="1"/>
  <c r="AP175" i="2"/>
  <c r="AP171" i="2"/>
  <c r="AA148" i="2"/>
  <c r="AP148" i="2" s="1"/>
  <c r="AP165" i="2"/>
  <c r="AA146" i="2"/>
  <c r="AP146" i="2" s="1"/>
  <c r="AA140" i="2"/>
  <c r="AP140" i="2" s="1"/>
  <c r="AA134" i="2"/>
  <c r="AP134" i="2" s="1"/>
  <c r="AA130" i="2"/>
  <c r="AP130" i="2" s="1"/>
  <c r="AP179" i="2"/>
  <c r="AP169" i="2"/>
  <c r="AP161" i="2"/>
  <c r="AA144" i="2"/>
  <c r="AP144" i="2" s="1"/>
  <c r="AA138" i="2"/>
  <c r="AP138" i="2" s="1"/>
  <c r="I235" i="1"/>
  <c r="D241" i="1"/>
  <c r="AH136" i="2"/>
  <c r="AT136" i="2" s="1"/>
  <c r="AT165" i="2"/>
  <c r="AH146" i="2"/>
  <c r="AT146" i="2" s="1"/>
  <c r="AH140" i="2"/>
  <c r="AT140" i="2" s="1"/>
  <c r="AH134" i="2"/>
  <c r="AT134" i="2" s="1"/>
  <c r="AH130" i="2"/>
  <c r="AT130" i="2" s="1"/>
  <c r="AT159" i="2" s="1"/>
  <c r="AH142" i="2"/>
  <c r="AT142" i="2" s="1"/>
  <c r="AT179" i="2"/>
  <c r="AT173" i="2"/>
  <c r="AT169" i="2"/>
  <c r="AT161" i="2"/>
  <c r="AH144" i="2"/>
  <c r="AT144" i="2" s="1"/>
  <c r="AH138" i="2"/>
  <c r="AT138" i="2" s="1"/>
  <c r="AT177" i="2"/>
  <c r="AH132" i="2"/>
  <c r="AT132" i="2" s="1"/>
  <c r="AH128" i="2"/>
  <c r="AT128" i="2" s="1"/>
  <c r="AT157" i="2" s="1"/>
  <c r="AT175" i="2"/>
  <c r="AT171" i="2"/>
  <c r="AT167" i="2"/>
  <c r="AH148" i="2"/>
  <c r="AT148" i="2" s="1"/>
  <c r="AX177" i="2"/>
  <c r="AX159" i="2"/>
  <c r="AN132" i="2"/>
  <c r="AX132" i="2" s="1"/>
  <c r="AN128" i="2"/>
  <c r="AX128" i="2" s="1"/>
  <c r="AX157" i="2" s="1"/>
  <c r="AN142" i="2"/>
  <c r="AX142" i="2" s="1"/>
  <c r="AN136" i="2"/>
  <c r="AX136" i="2" s="1"/>
  <c r="AX175" i="2"/>
  <c r="AX171" i="2"/>
  <c r="AX167" i="2"/>
  <c r="AN148" i="2"/>
  <c r="AX148" i="2" s="1"/>
  <c r="AX165" i="2"/>
  <c r="AN146" i="2"/>
  <c r="AX146" i="2" s="1"/>
  <c r="AN140" i="2"/>
  <c r="AX140" i="2" s="1"/>
  <c r="AN134" i="2"/>
  <c r="AX134" i="2" s="1"/>
  <c r="AN130" i="2"/>
  <c r="AX130" i="2" s="1"/>
  <c r="AX179" i="2"/>
  <c r="AX173" i="2"/>
  <c r="AX169" i="2"/>
  <c r="AX161" i="2"/>
  <c r="AN144" i="2"/>
  <c r="AX144" i="2" s="1"/>
  <c r="AN138" i="2"/>
  <c r="AX138" i="2" s="1"/>
  <c r="K739" i="1"/>
  <c r="D236" i="1"/>
  <c r="I238" i="1"/>
  <c r="I241" i="1"/>
  <c r="W195" i="1"/>
  <c r="S195" i="1"/>
  <c r="U195" i="1"/>
  <c r="T195" i="1"/>
  <c r="V195" i="1"/>
  <c r="R195" i="1"/>
  <c r="P195" i="1"/>
  <c r="T156" i="1"/>
  <c r="J166" i="1"/>
  <c r="R152" i="1"/>
  <c r="G166" i="1"/>
  <c r="F739" i="1"/>
  <c r="K1039" i="1"/>
  <c r="H1074" i="1"/>
  <c r="G62" i="1"/>
  <c r="F1039" i="1"/>
  <c r="F939" i="1"/>
  <c r="H974" i="1"/>
  <c r="F439" i="1"/>
  <c r="Q195" i="1"/>
  <c r="K439" i="1"/>
  <c r="S158" i="1"/>
  <c r="H166" i="1"/>
  <c r="K839" i="1"/>
  <c r="W158" i="1"/>
  <c r="M166" i="1"/>
  <c r="O195" i="1"/>
  <c r="J731" i="2"/>
  <c r="K731" i="2" s="1"/>
  <c r="X181" i="2"/>
  <c r="T181" i="2"/>
  <c r="H150" i="2"/>
  <c r="J729" i="2"/>
  <c r="K729" i="2" s="1"/>
  <c r="J732" i="2"/>
  <c r="K732" i="2" s="1"/>
  <c r="V181" i="2"/>
  <c r="U181" i="2"/>
  <c r="S181" i="2"/>
  <c r="J150" i="2"/>
  <c r="I150" i="2"/>
  <c r="V1260" i="2"/>
  <c r="J727" i="2"/>
  <c r="K727" i="2" s="1"/>
  <c r="J728" i="2"/>
  <c r="K728" i="2" s="1"/>
  <c r="J730" i="2"/>
  <c r="K730" i="2" s="1"/>
  <c r="Q181" i="2"/>
  <c r="H1218" i="2"/>
  <c r="G1218" i="2"/>
  <c r="F1214" i="2"/>
  <c r="K1239" i="2"/>
  <c r="F1227" i="2"/>
  <c r="G1227" i="2" s="1"/>
  <c r="G1240" i="2"/>
  <c r="H173" i="1" l="1"/>
  <c r="H181" i="1" s="1"/>
  <c r="F1011" i="2"/>
  <c r="G1011" i="2" s="1"/>
  <c r="F601" i="2"/>
  <c r="G601" i="2" s="1"/>
  <c r="K407" i="2"/>
  <c r="M407" i="2" s="1"/>
  <c r="F395" i="2"/>
  <c r="G395" i="2" s="1"/>
  <c r="F415" i="3"/>
  <c r="F416" i="3"/>
  <c r="F417" i="3"/>
  <c r="F418" i="3"/>
  <c r="F917" i="3"/>
  <c r="F916" i="3"/>
  <c r="F918" i="3"/>
  <c r="F915" i="3"/>
  <c r="F1118" i="3"/>
  <c r="F1115" i="3"/>
  <c r="F1117" i="3"/>
  <c r="F1116" i="3"/>
  <c r="F815" i="3"/>
  <c r="F817" i="3"/>
  <c r="F818" i="3"/>
  <c r="F816" i="3"/>
  <c r="F1018" i="3"/>
  <c r="F1017" i="3"/>
  <c r="F1016" i="3"/>
  <c r="F1015" i="3"/>
  <c r="F517" i="3"/>
  <c r="F516" i="3"/>
  <c r="F515" i="3"/>
  <c r="F518" i="3"/>
  <c r="F715" i="3"/>
  <c r="F718" i="3"/>
  <c r="F717" i="3"/>
  <c r="F716" i="3"/>
  <c r="F1120" i="1"/>
  <c r="F1119" i="1"/>
  <c r="F1118" i="1"/>
  <c r="F1117" i="1"/>
  <c r="F1018" i="1"/>
  <c r="F1017" i="1"/>
  <c r="F1020" i="1"/>
  <c r="F1019" i="1"/>
  <c r="K508" i="2"/>
  <c r="M508" i="2" s="1"/>
  <c r="F500" i="2"/>
  <c r="G500" i="2" s="1"/>
  <c r="F589" i="2"/>
  <c r="H589" i="2" s="1"/>
  <c r="K613" i="2"/>
  <c r="M613" i="2" s="1"/>
  <c r="F602" i="2"/>
  <c r="G602" i="2" s="1"/>
  <c r="F599" i="2"/>
  <c r="G599" i="2" s="1"/>
  <c r="K612" i="2"/>
  <c r="M612" i="2" s="1"/>
  <c r="F381" i="2"/>
  <c r="G381" i="2" s="1"/>
  <c r="F407" i="2"/>
  <c r="G407" i="2" s="1"/>
  <c r="F392" i="2"/>
  <c r="G392" i="2" s="1"/>
  <c r="F394" i="2"/>
  <c r="G394" i="2" s="1"/>
  <c r="K406" i="2"/>
  <c r="M406" i="2" s="1"/>
  <c r="F380" i="2"/>
  <c r="H380" i="2" s="1"/>
  <c r="F404" i="2"/>
  <c r="G404" i="2" s="1"/>
  <c r="K405" i="2"/>
  <c r="M405" i="2" s="1"/>
  <c r="F379" i="2"/>
  <c r="H379" i="2" s="1"/>
  <c r="F378" i="2"/>
  <c r="H378" i="2" s="1"/>
  <c r="H387" i="2" s="1"/>
  <c r="F393" i="2"/>
  <c r="G393" i="2" s="1"/>
  <c r="F397" i="2"/>
  <c r="G397" i="2" s="1"/>
  <c r="F405" i="2"/>
  <c r="G405" i="2" s="1"/>
  <c r="F391" i="2"/>
  <c r="G391" i="2" s="1"/>
  <c r="G398" i="2" s="1"/>
  <c r="F382" i="2"/>
  <c r="H382" i="2" s="1"/>
  <c r="F406" i="2"/>
  <c r="G406" i="2" s="1"/>
  <c r="K404" i="2"/>
  <c r="M404" i="2" s="1"/>
  <c r="F383" i="2"/>
  <c r="H383" i="2" s="1"/>
  <c r="F499" i="2"/>
  <c r="G499" i="2" s="1"/>
  <c r="F481" i="2"/>
  <c r="G481" i="2" s="1"/>
  <c r="G490" i="2" s="1"/>
  <c r="M486" i="2" s="1"/>
  <c r="F494" i="2"/>
  <c r="G494" i="2" s="1"/>
  <c r="F483" i="2"/>
  <c r="H483" i="2" s="1"/>
  <c r="F486" i="2"/>
  <c r="G486" i="2" s="1"/>
  <c r="F508" i="2"/>
  <c r="G508" i="2" s="1"/>
  <c r="K507" i="2"/>
  <c r="M507" i="2" s="1"/>
  <c r="F498" i="2"/>
  <c r="G498" i="2" s="1"/>
  <c r="F496" i="2"/>
  <c r="G496" i="2" s="1"/>
  <c r="F485" i="2"/>
  <c r="G485" i="2" s="1"/>
  <c r="F507" i="2"/>
  <c r="G507" i="2" s="1"/>
  <c r="F484" i="2"/>
  <c r="G484" i="2" s="1"/>
  <c r="F495" i="2"/>
  <c r="G495" i="2" s="1"/>
  <c r="K510" i="2"/>
  <c r="M510" i="2" s="1"/>
  <c r="F302" i="2"/>
  <c r="G302" i="2" s="1"/>
  <c r="F303" i="2"/>
  <c r="G303" i="2" s="1"/>
  <c r="H874" i="1"/>
  <c r="F996" i="2"/>
  <c r="K1022" i="2"/>
  <c r="M1022" i="2" s="1"/>
  <c r="M1029" i="2" s="1"/>
  <c r="F1013" i="2"/>
  <c r="G1013" i="2" s="1"/>
  <c r="F1023" i="2"/>
  <c r="G1023" i="2" s="1"/>
  <c r="F1012" i="2"/>
  <c r="G1012" i="2" s="1"/>
  <c r="F1000" i="2"/>
  <c r="F998" i="2"/>
  <c r="F1024" i="2"/>
  <c r="G1024" i="2" s="1"/>
  <c r="F1014" i="2"/>
  <c r="G1014" i="2" s="1"/>
  <c r="K1024" i="2"/>
  <c r="M1024" i="2" s="1"/>
  <c r="F1015" i="2"/>
  <c r="G1015" i="2" s="1"/>
  <c r="F1009" i="2"/>
  <c r="G1009" i="2" s="1"/>
  <c r="G1016" i="2" s="1"/>
  <c r="K1023" i="2"/>
  <c r="M1023" i="2" s="1"/>
  <c r="F997" i="2"/>
  <c r="F999" i="2"/>
  <c r="F1010" i="2"/>
  <c r="G1010" i="2" s="1"/>
  <c r="K1025" i="2"/>
  <c r="M1025" i="2" s="1"/>
  <c r="F1022" i="2"/>
  <c r="F1001" i="2"/>
  <c r="H700" i="3"/>
  <c r="I700" i="3" s="1"/>
  <c r="H676" i="3"/>
  <c r="I676" i="3" s="1"/>
  <c r="N708" i="3"/>
  <c r="O708" i="3" s="1"/>
  <c r="H675" i="3"/>
  <c r="I675" i="3" s="1"/>
  <c r="H697" i="3"/>
  <c r="I697" i="3" s="1"/>
  <c r="H690" i="3"/>
  <c r="I690" i="3" s="1"/>
  <c r="H679" i="3"/>
  <c r="I679" i="3" s="1"/>
  <c r="H689" i="3"/>
  <c r="I689" i="3" s="1"/>
  <c r="H683" i="3"/>
  <c r="I683" i="3" s="1"/>
  <c r="H677" i="3"/>
  <c r="I677" i="3" s="1"/>
  <c r="H688" i="3"/>
  <c r="I688" i="3" s="1"/>
  <c r="H709" i="3"/>
  <c r="I709" i="3" s="1"/>
  <c r="H707" i="3"/>
  <c r="I707" i="3" s="1"/>
  <c r="H699" i="3"/>
  <c r="I699" i="3" s="1"/>
  <c r="H682" i="3"/>
  <c r="I682" i="3" s="1"/>
  <c r="H680" i="3"/>
  <c r="I680" i="3" s="1"/>
  <c r="H687" i="3"/>
  <c r="I687" i="3" s="1"/>
  <c r="I693" i="3" s="1"/>
  <c r="H678" i="3"/>
  <c r="I678" i="3" s="1"/>
  <c r="H708" i="3"/>
  <c r="I708" i="3" s="1"/>
  <c r="H696" i="3"/>
  <c r="I696" i="3" s="1"/>
  <c r="H691" i="3"/>
  <c r="I691" i="3" s="1"/>
  <c r="H681" i="3"/>
  <c r="I681" i="3" s="1"/>
  <c r="H698" i="3"/>
  <c r="I698" i="3" s="1"/>
  <c r="N705" i="3"/>
  <c r="O705" i="3" s="1"/>
  <c r="N709" i="3"/>
  <c r="O709" i="3" s="1"/>
  <c r="H692" i="3"/>
  <c r="I692" i="3" s="1"/>
  <c r="H710" i="3"/>
  <c r="I710" i="3" s="1"/>
  <c r="N706" i="3"/>
  <c r="O706" i="3" s="1"/>
  <c r="N707" i="3"/>
  <c r="O707" i="3" s="1"/>
  <c r="H711" i="3"/>
  <c r="I711" i="3" s="1"/>
  <c r="F588" i="2"/>
  <c r="F584" i="2"/>
  <c r="F597" i="2"/>
  <c r="F585" i="2"/>
  <c r="K610" i="2"/>
  <c r="M610" i="2" s="1"/>
  <c r="M617" i="2" s="1"/>
  <c r="F612" i="2"/>
  <c r="G612" i="2" s="1"/>
  <c r="F587" i="2"/>
  <c r="K611" i="2"/>
  <c r="M611" i="2" s="1"/>
  <c r="F586" i="2"/>
  <c r="F603" i="2"/>
  <c r="G603" i="2" s="1"/>
  <c r="F598" i="2"/>
  <c r="G598" i="2" s="1"/>
  <c r="F600" i="2"/>
  <c r="G600" i="2" s="1"/>
  <c r="F610" i="2"/>
  <c r="G610" i="2" s="1"/>
  <c r="G617" i="2" s="1"/>
  <c r="F611" i="2"/>
  <c r="G611" i="2" s="1"/>
  <c r="N907" i="3"/>
  <c r="O907" i="3" s="1"/>
  <c r="H887" i="3"/>
  <c r="I887" i="3" s="1"/>
  <c r="H875" i="3"/>
  <c r="H881" i="3"/>
  <c r="I881" i="3" s="1"/>
  <c r="H876" i="3"/>
  <c r="I876" i="3" s="1"/>
  <c r="H910" i="3"/>
  <c r="I910" i="3" s="1"/>
  <c r="H896" i="3"/>
  <c r="I896" i="3" s="1"/>
  <c r="I901" i="3" s="1"/>
  <c r="H883" i="3"/>
  <c r="I883" i="3" s="1"/>
  <c r="H889" i="3"/>
  <c r="I889" i="3" s="1"/>
  <c r="H909" i="3"/>
  <c r="I909" i="3" s="1"/>
  <c r="H880" i="3"/>
  <c r="I880" i="3" s="1"/>
  <c r="H897" i="3"/>
  <c r="I897" i="3" s="1"/>
  <c r="H900" i="3"/>
  <c r="I900" i="3" s="1"/>
  <c r="H899" i="3"/>
  <c r="I899" i="3" s="1"/>
  <c r="H891" i="3"/>
  <c r="I891" i="3" s="1"/>
  <c r="H908" i="3"/>
  <c r="I908" i="3" s="1"/>
  <c r="N906" i="3"/>
  <c r="O906" i="3" s="1"/>
  <c r="N905" i="3"/>
  <c r="O905" i="3" s="1"/>
  <c r="H907" i="3"/>
  <c r="I907" i="3" s="1"/>
  <c r="I912" i="3" s="1"/>
  <c r="H892" i="3"/>
  <c r="I892" i="3" s="1"/>
  <c r="H877" i="3"/>
  <c r="I877" i="3" s="1"/>
  <c r="H898" i="3"/>
  <c r="I898" i="3" s="1"/>
  <c r="N908" i="3"/>
  <c r="O908" i="3" s="1"/>
  <c r="N909" i="3"/>
  <c r="O909" i="3" s="1"/>
  <c r="H888" i="3"/>
  <c r="I888" i="3" s="1"/>
  <c r="H911" i="3"/>
  <c r="I911" i="3" s="1"/>
  <c r="H878" i="3"/>
  <c r="I878" i="3" s="1"/>
  <c r="H879" i="3"/>
  <c r="I879" i="3" s="1"/>
  <c r="H882" i="3"/>
  <c r="I882" i="3" s="1"/>
  <c r="H890" i="3"/>
  <c r="I890" i="3" s="1"/>
  <c r="N1108" i="3"/>
  <c r="O1108" i="3" s="1"/>
  <c r="H1096" i="3"/>
  <c r="I1096" i="3" s="1"/>
  <c r="H1083" i="3"/>
  <c r="I1083" i="3" s="1"/>
  <c r="H1088" i="3"/>
  <c r="I1088" i="3" s="1"/>
  <c r="H1076" i="3"/>
  <c r="I1076" i="3" s="1"/>
  <c r="H1082" i="3"/>
  <c r="I1082" i="3" s="1"/>
  <c r="N1109" i="3"/>
  <c r="O1109" i="3" s="1"/>
  <c r="H1090" i="3"/>
  <c r="I1090" i="3" s="1"/>
  <c r="N1105" i="3"/>
  <c r="O1105" i="3" s="1"/>
  <c r="H1078" i="3"/>
  <c r="I1078" i="3" s="1"/>
  <c r="H1092" i="3"/>
  <c r="I1092" i="3" s="1"/>
  <c r="H1087" i="3"/>
  <c r="I1087" i="3" s="1"/>
  <c r="H1099" i="3"/>
  <c r="I1099" i="3" s="1"/>
  <c r="H1111" i="3"/>
  <c r="I1111" i="3" s="1"/>
  <c r="H1097" i="3"/>
  <c r="I1097" i="3" s="1"/>
  <c r="H1107" i="3"/>
  <c r="I1107" i="3" s="1"/>
  <c r="H1075" i="3"/>
  <c r="I1075" i="3" s="1"/>
  <c r="H1110" i="3"/>
  <c r="I1110" i="3" s="1"/>
  <c r="H1098" i="3"/>
  <c r="I1098" i="3" s="1"/>
  <c r="H1108" i="3"/>
  <c r="I1108" i="3" s="1"/>
  <c r="H1100" i="3"/>
  <c r="I1100" i="3" s="1"/>
  <c r="H1109" i="3"/>
  <c r="I1109" i="3" s="1"/>
  <c r="N1107" i="3"/>
  <c r="O1107" i="3" s="1"/>
  <c r="H1091" i="3"/>
  <c r="I1091" i="3" s="1"/>
  <c r="H1081" i="3"/>
  <c r="I1081" i="3" s="1"/>
  <c r="H1077" i="3"/>
  <c r="I1077" i="3" s="1"/>
  <c r="H1089" i="3"/>
  <c r="I1089" i="3" s="1"/>
  <c r="H1079" i="3"/>
  <c r="I1079" i="3" s="1"/>
  <c r="H1080" i="3"/>
  <c r="I1080" i="3" s="1"/>
  <c r="N1106" i="3"/>
  <c r="O1106" i="3" s="1"/>
  <c r="K819" i="2"/>
  <c r="M819" i="2" s="1"/>
  <c r="F790" i="2"/>
  <c r="F795" i="2"/>
  <c r="F816" i="2"/>
  <c r="G816" i="2" s="1"/>
  <c r="G823" i="2" s="1"/>
  <c r="F808" i="2"/>
  <c r="G808" i="2" s="1"/>
  <c r="K818" i="2"/>
  <c r="M818" i="2" s="1"/>
  <c r="F805" i="2"/>
  <c r="G805" i="2" s="1"/>
  <c r="K817" i="2"/>
  <c r="M817" i="2" s="1"/>
  <c r="F804" i="2"/>
  <c r="G804" i="2" s="1"/>
  <c r="F818" i="2"/>
  <c r="G818" i="2" s="1"/>
  <c r="F792" i="2"/>
  <c r="F793" i="2"/>
  <c r="K816" i="2"/>
  <c r="M816" i="2" s="1"/>
  <c r="F807" i="2"/>
  <c r="G807" i="2" s="1"/>
  <c r="F819" i="2"/>
  <c r="G819" i="2" s="1"/>
  <c r="F809" i="2"/>
  <c r="G809" i="2" s="1"/>
  <c r="F794" i="2"/>
  <c r="F803" i="2"/>
  <c r="G803" i="2" s="1"/>
  <c r="G810" i="2" s="1"/>
  <c r="F791" i="2"/>
  <c r="F806" i="2"/>
  <c r="G806" i="2" s="1"/>
  <c r="H1009" i="3"/>
  <c r="I1009" i="3" s="1"/>
  <c r="H999" i="3"/>
  <c r="I999" i="3" s="1"/>
  <c r="H975" i="3"/>
  <c r="I975" i="3" s="1"/>
  <c r="N1006" i="3"/>
  <c r="O1006" i="3" s="1"/>
  <c r="H997" i="3"/>
  <c r="I997" i="3" s="1"/>
  <c r="N1009" i="3"/>
  <c r="O1009" i="3" s="1"/>
  <c r="H981" i="3"/>
  <c r="I981" i="3" s="1"/>
  <c r="H1011" i="3"/>
  <c r="I1011" i="3" s="1"/>
  <c r="H978" i="3"/>
  <c r="I978" i="3" s="1"/>
  <c r="H992" i="3"/>
  <c r="I992" i="3" s="1"/>
  <c r="H982" i="3"/>
  <c r="I982" i="3" s="1"/>
  <c r="H989" i="3"/>
  <c r="I989" i="3" s="1"/>
  <c r="H996" i="3"/>
  <c r="I996" i="3" s="1"/>
  <c r="H1000" i="3"/>
  <c r="I1000" i="3" s="1"/>
  <c r="H1010" i="3"/>
  <c r="I1010" i="3" s="1"/>
  <c r="H988" i="3"/>
  <c r="I988" i="3" s="1"/>
  <c r="N1008" i="3"/>
  <c r="O1008" i="3" s="1"/>
  <c r="H987" i="3"/>
  <c r="I987" i="3" s="1"/>
  <c r="H998" i="3"/>
  <c r="I998" i="3" s="1"/>
  <c r="N1005" i="3"/>
  <c r="O1005" i="3" s="1"/>
  <c r="H977" i="3"/>
  <c r="I977" i="3" s="1"/>
  <c r="H1007" i="3"/>
  <c r="I1007" i="3" s="1"/>
  <c r="H976" i="3"/>
  <c r="I976" i="3" s="1"/>
  <c r="H979" i="3"/>
  <c r="I979" i="3" s="1"/>
  <c r="H983" i="3"/>
  <c r="I983" i="3" s="1"/>
  <c r="H980" i="3"/>
  <c r="I980" i="3" s="1"/>
  <c r="H990" i="3"/>
  <c r="I990" i="3" s="1"/>
  <c r="H991" i="3"/>
  <c r="I991" i="3" s="1"/>
  <c r="H1008" i="3"/>
  <c r="I1008" i="3" s="1"/>
  <c r="N1007" i="3"/>
  <c r="O1007" i="3" s="1"/>
  <c r="H799" i="3"/>
  <c r="I799" i="3" s="1"/>
  <c r="H808" i="3"/>
  <c r="I808" i="3" s="1"/>
  <c r="H796" i="3"/>
  <c r="I796" i="3" s="1"/>
  <c r="H789" i="3"/>
  <c r="I789" i="3" s="1"/>
  <c r="H775" i="3"/>
  <c r="I775" i="3" s="1"/>
  <c r="H778" i="3"/>
  <c r="I778" i="3" s="1"/>
  <c r="H780" i="3"/>
  <c r="I780" i="3" s="1"/>
  <c r="H797" i="3"/>
  <c r="I797" i="3" s="1"/>
  <c r="H779" i="3"/>
  <c r="I779" i="3" s="1"/>
  <c r="H791" i="3"/>
  <c r="I791" i="3" s="1"/>
  <c r="N806" i="3"/>
  <c r="O806" i="3" s="1"/>
  <c r="N805" i="3"/>
  <c r="O805" i="3" s="1"/>
  <c r="O810" i="3" s="1"/>
  <c r="H790" i="3"/>
  <c r="I790" i="3" s="1"/>
  <c r="H783" i="3"/>
  <c r="I783" i="3" s="1"/>
  <c r="H777" i="3"/>
  <c r="I777" i="3" s="1"/>
  <c r="H807" i="3"/>
  <c r="I807" i="3" s="1"/>
  <c r="H776" i="3"/>
  <c r="I776" i="3" s="1"/>
  <c r="H787" i="3"/>
  <c r="I787" i="3" s="1"/>
  <c r="I793" i="3" s="1"/>
  <c r="N809" i="3"/>
  <c r="O809" i="3" s="1"/>
  <c r="H809" i="3"/>
  <c r="I809" i="3" s="1"/>
  <c r="H810" i="3"/>
  <c r="I810" i="3" s="1"/>
  <c r="H800" i="3"/>
  <c r="I800" i="3" s="1"/>
  <c r="H782" i="3"/>
  <c r="I782" i="3" s="1"/>
  <c r="H798" i="3"/>
  <c r="I798" i="3" s="1"/>
  <c r="H811" i="3"/>
  <c r="I811" i="3" s="1"/>
  <c r="H781" i="3"/>
  <c r="I781" i="3" s="1"/>
  <c r="H788" i="3"/>
  <c r="I788" i="3" s="1"/>
  <c r="N808" i="3"/>
  <c r="O808" i="3" s="1"/>
  <c r="N807" i="3"/>
  <c r="O807" i="3" s="1"/>
  <c r="H792" i="3"/>
  <c r="I792" i="3" s="1"/>
  <c r="F908" i="2"/>
  <c r="G908" i="2" s="1"/>
  <c r="F894" i="2"/>
  <c r="F919" i="2"/>
  <c r="G919" i="2" s="1"/>
  <c r="G926" i="2" s="1"/>
  <c r="F910" i="2"/>
  <c r="G910" i="2" s="1"/>
  <c r="F911" i="2"/>
  <c r="G911" i="2" s="1"/>
  <c r="F909" i="2"/>
  <c r="G909" i="2" s="1"/>
  <c r="F896" i="2"/>
  <c r="F897" i="2"/>
  <c r="F907" i="2"/>
  <c r="G907" i="2" s="1"/>
  <c r="K919" i="2"/>
  <c r="F922" i="2"/>
  <c r="G922" i="2" s="1"/>
  <c r="K921" i="2"/>
  <c r="M921" i="2" s="1"/>
  <c r="F893" i="2"/>
  <c r="F895" i="2"/>
  <c r="K922" i="2"/>
  <c r="M922" i="2" s="1"/>
  <c r="F898" i="2"/>
  <c r="F912" i="2"/>
  <c r="G912" i="2" s="1"/>
  <c r="F920" i="2"/>
  <c r="G920" i="2" s="1"/>
  <c r="K920" i="2"/>
  <c r="M920" i="2" s="1"/>
  <c r="F906" i="2"/>
  <c r="G906" i="2" s="1"/>
  <c r="G913" i="2" s="1"/>
  <c r="F716" i="2"/>
  <c r="G716" i="2" s="1"/>
  <c r="F706" i="2"/>
  <c r="G706" i="2" s="1"/>
  <c r="F700" i="2"/>
  <c r="G700" i="2" s="1"/>
  <c r="G707" i="2" s="1"/>
  <c r="F690" i="2"/>
  <c r="K714" i="2"/>
  <c r="M714" i="2" s="1"/>
  <c r="F705" i="2"/>
  <c r="G705" i="2" s="1"/>
  <c r="F689" i="2"/>
  <c r="F702" i="2"/>
  <c r="G702" i="2" s="1"/>
  <c r="F701" i="2"/>
  <c r="G701" i="2" s="1"/>
  <c r="K713" i="2"/>
  <c r="M713" i="2" s="1"/>
  <c r="F703" i="2"/>
  <c r="G703" i="2" s="1"/>
  <c r="F691" i="2"/>
  <c r="F714" i="2"/>
  <c r="G714" i="2" s="1"/>
  <c r="F713" i="2"/>
  <c r="G713" i="2" s="1"/>
  <c r="G720" i="2" s="1"/>
  <c r="K715" i="2"/>
  <c r="M715" i="2" s="1"/>
  <c r="K716" i="2"/>
  <c r="M716" i="2" s="1"/>
  <c r="F715" i="2"/>
  <c r="G715" i="2" s="1"/>
  <c r="F692" i="2"/>
  <c r="F687" i="2"/>
  <c r="F688" i="2"/>
  <c r="H499" i="3"/>
  <c r="I499" i="3" s="1"/>
  <c r="H510" i="3"/>
  <c r="I510" i="3" s="1"/>
  <c r="H479" i="3"/>
  <c r="I479" i="3" s="1"/>
  <c r="H508" i="3"/>
  <c r="I508" i="3" s="1"/>
  <c r="H476" i="3"/>
  <c r="I476" i="3" s="1"/>
  <c r="H490" i="3"/>
  <c r="I490" i="3" s="1"/>
  <c r="H482" i="3"/>
  <c r="I482" i="3" s="1"/>
  <c r="H487" i="3"/>
  <c r="I487" i="3" s="1"/>
  <c r="I493" i="3" s="1"/>
  <c r="H480" i="3"/>
  <c r="I480" i="3" s="1"/>
  <c r="H509" i="3"/>
  <c r="I509" i="3" s="1"/>
  <c r="H496" i="3"/>
  <c r="I496" i="3" s="1"/>
  <c r="H478" i="3"/>
  <c r="I478" i="3" s="1"/>
  <c r="H498" i="3"/>
  <c r="I498" i="3" s="1"/>
  <c r="N509" i="3"/>
  <c r="O509" i="3" s="1"/>
  <c r="N505" i="3"/>
  <c r="O505" i="3" s="1"/>
  <c r="H489" i="3"/>
  <c r="I489" i="3" s="1"/>
  <c r="N506" i="3"/>
  <c r="O506" i="3" s="1"/>
  <c r="N507" i="3"/>
  <c r="O507" i="3" s="1"/>
  <c r="H475" i="3"/>
  <c r="I475" i="3" s="1"/>
  <c r="H500" i="3"/>
  <c r="I500" i="3" s="1"/>
  <c r="H497" i="3"/>
  <c r="I497" i="3" s="1"/>
  <c r="H481" i="3"/>
  <c r="I481" i="3" s="1"/>
  <c r="H477" i="3"/>
  <c r="I477" i="3" s="1"/>
  <c r="H483" i="3"/>
  <c r="I483" i="3" s="1"/>
  <c r="H507" i="3"/>
  <c r="I507" i="3" s="1"/>
  <c r="H491" i="3"/>
  <c r="I491" i="3" s="1"/>
  <c r="H488" i="3"/>
  <c r="I488" i="3" s="1"/>
  <c r="H511" i="3"/>
  <c r="I511" i="3" s="1"/>
  <c r="N508" i="3"/>
  <c r="O508" i="3" s="1"/>
  <c r="H492" i="3"/>
  <c r="I492" i="3" s="1"/>
  <c r="H579" i="3"/>
  <c r="I579" i="3" s="1"/>
  <c r="H587" i="3"/>
  <c r="I587" i="3" s="1"/>
  <c r="H577" i="3"/>
  <c r="I577" i="3" s="1"/>
  <c r="H591" i="3"/>
  <c r="I591" i="3" s="1"/>
  <c r="H576" i="3"/>
  <c r="I576" i="3" s="1"/>
  <c r="H611" i="3"/>
  <c r="I611" i="3" s="1"/>
  <c r="N606" i="3"/>
  <c r="O606" i="3" s="1"/>
  <c r="N605" i="3"/>
  <c r="O605" i="3" s="1"/>
  <c r="H581" i="3"/>
  <c r="I581" i="3" s="1"/>
  <c r="H598" i="3"/>
  <c r="I598" i="3" s="1"/>
  <c r="H597" i="3"/>
  <c r="I597" i="3" s="1"/>
  <c r="H596" i="3"/>
  <c r="I596" i="3" s="1"/>
  <c r="I601" i="3" s="1"/>
  <c r="N608" i="3"/>
  <c r="O608" i="3" s="1"/>
  <c r="N607" i="3"/>
  <c r="O607" i="3" s="1"/>
  <c r="H588" i="3"/>
  <c r="I588" i="3" s="1"/>
  <c r="H583" i="3"/>
  <c r="I583" i="3" s="1"/>
  <c r="H582" i="3"/>
  <c r="I582" i="3" s="1"/>
  <c r="H607" i="3"/>
  <c r="I607" i="3" s="1"/>
  <c r="N609" i="3"/>
  <c r="O609" i="3" s="1"/>
  <c r="H575" i="3"/>
  <c r="I575" i="3" s="1"/>
  <c r="H600" i="3"/>
  <c r="I600" i="3" s="1"/>
  <c r="H589" i="3"/>
  <c r="I589" i="3" s="1"/>
  <c r="H580" i="3"/>
  <c r="I580" i="3" s="1"/>
  <c r="H610" i="3"/>
  <c r="I610" i="3" s="1"/>
  <c r="H578" i="3"/>
  <c r="I578" i="3" s="1"/>
  <c r="H608" i="3"/>
  <c r="I608" i="3" s="1"/>
  <c r="H592" i="3"/>
  <c r="I592" i="3" s="1"/>
  <c r="H609" i="3"/>
  <c r="I609" i="3" s="1"/>
  <c r="H599" i="3"/>
  <c r="I599" i="3" s="1"/>
  <c r="H590" i="3"/>
  <c r="I590" i="3" s="1"/>
  <c r="H397" i="3"/>
  <c r="I397" i="3" s="1"/>
  <c r="H410" i="3"/>
  <c r="I410" i="3" s="1"/>
  <c r="H392" i="3"/>
  <c r="I392" i="3" s="1"/>
  <c r="H381" i="3"/>
  <c r="I381" i="3" s="1"/>
  <c r="H380" i="3"/>
  <c r="I380" i="3" s="1"/>
  <c r="H379" i="3"/>
  <c r="I379" i="3" s="1"/>
  <c r="H408" i="3"/>
  <c r="I408" i="3" s="1"/>
  <c r="H383" i="3"/>
  <c r="I383" i="3" s="1"/>
  <c r="N409" i="3"/>
  <c r="O409" i="3" s="1"/>
  <c r="H378" i="3"/>
  <c r="I378" i="3" s="1"/>
  <c r="H376" i="3"/>
  <c r="I376" i="3" s="1"/>
  <c r="H390" i="3"/>
  <c r="I390" i="3" s="1"/>
  <c r="H382" i="3"/>
  <c r="I382" i="3" s="1"/>
  <c r="H389" i="3"/>
  <c r="I389" i="3" s="1"/>
  <c r="H387" i="3"/>
  <c r="I387" i="3" s="1"/>
  <c r="H409" i="3"/>
  <c r="I409" i="3" s="1"/>
  <c r="H396" i="3"/>
  <c r="I396" i="3" s="1"/>
  <c r="H400" i="3"/>
  <c r="I400" i="3" s="1"/>
  <c r="H398" i="3"/>
  <c r="I398" i="3" s="1"/>
  <c r="N405" i="3"/>
  <c r="O405" i="3" s="1"/>
  <c r="H407" i="3"/>
  <c r="I407" i="3" s="1"/>
  <c r="I412" i="3" s="1"/>
  <c r="N407" i="3"/>
  <c r="O407" i="3" s="1"/>
  <c r="N408" i="3"/>
  <c r="O408" i="3" s="1"/>
  <c r="H377" i="3"/>
  <c r="I377" i="3" s="1"/>
  <c r="H388" i="3"/>
  <c r="I388" i="3" s="1"/>
  <c r="H391" i="3"/>
  <c r="I391" i="3" s="1"/>
  <c r="H411" i="3"/>
  <c r="I411" i="3" s="1"/>
  <c r="H399" i="3"/>
  <c r="I399" i="3" s="1"/>
  <c r="N406" i="3"/>
  <c r="O406" i="3" s="1"/>
  <c r="H375" i="3"/>
  <c r="I375" i="3" s="1"/>
  <c r="AR181" i="2"/>
  <c r="AJ150" i="2"/>
  <c r="F509" i="2"/>
  <c r="G509" i="2" s="1"/>
  <c r="K509" i="2"/>
  <c r="M509" i="2" s="1"/>
  <c r="F510" i="2"/>
  <c r="G510" i="2" s="1"/>
  <c r="F482" i="2"/>
  <c r="F293" i="2"/>
  <c r="G293" i="2" s="1"/>
  <c r="F288" i="2"/>
  <c r="K304" i="2"/>
  <c r="M304" i="2" s="1"/>
  <c r="F280" i="2"/>
  <c r="K303" i="2"/>
  <c r="M303" i="2" s="1"/>
  <c r="F292" i="2"/>
  <c r="G292" i="2" s="1"/>
  <c r="F278" i="2"/>
  <c r="F289" i="2"/>
  <c r="G289" i="2" s="1"/>
  <c r="F277" i="2"/>
  <c r="F276" i="2"/>
  <c r="F279" i="2"/>
  <c r="K301" i="2"/>
  <c r="M301" i="2" s="1"/>
  <c r="M308" i="2" s="1"/>
  <c r="K302" i="2"/>
  <c r="M302" i="2" s="1"/>
  <c r="F290" i="2"/>
  <c r="G290" i="2" s="1"/>
  <c r="F301" i="2"/>
  <c r="F294" i="2"/>
  <c r="G294" i="2" s="1"/>
  <c r="F275" i="2"/>
  <c r="F291" i="2"/>
  <c r="G291" i="2" s="1"/>
  <c r="AP183" i="1"/>
  <c r="AA159" i="1" s="1"/>
  <c r="G1233" i="2"/>
  <c r="AE152" i="1"/>
  <c r="AR183" i="1"/>
  <c r="D243" i="1"/>
  <c r="AK150" i="2"/>
  <c r="AG150" i="2"/>
  <c r="AS181" i="2"/>
  <c r="AX183" i="1"/>
  <c r="AN152" i="1"/>
  <c r="AT183" i="1"/>
  <c r="AA152" i="1"/>
  <c r="AW183" i="1"/>
  <c r="AK152" i="1"/>
  <c r="AV183" i="1"/>
  <c r="AU183" i="1"/>
  <c r="AS183" i="1"/>
  <c r="AX181" i="2"/>
  <c r="AH152" i="1"/>
  <c r="AG152" i="1"/>
  <c r="AP181" i="2"/>
  <c r="AF152" i="1"/>
  <c r="AJ152" i="1"/>
  <c r="AI152" i="1"/>
  <c r="AQ183" i="1"/>
  <c r="I243" i="1"/>
  <c r="AI150" i="2"/>
  <c r="AN150" i="2"/>
  <c r="AU181" i="2"/>
  <c r="AV181" i="2"/>
  <c r="AH150" i="2"/>
  <c r="AF150" i="2"/>
  <c r="AE150" i="2"/>
  <c r="AT181" i="2"/>
  <c r="AA150" i="2"/>
  <c r="AW181" i="2"/>
  <c r="AQ181" i="2"/>
  <c r="P183" i="2"/>
  <c r="A152" i="2"/>
  <c r="M1239" i="2"/>
  <c r="M1246" i="2"/>
  <c r="O197" i="1"/>
  <c r="N173" i="1"/>
  <c r="N1011" i="1"/>
  <c r="O1011" i="1" s="1"/>
  <c r="H979" i="1"/>
  <c r="I979" i="1" s="1"/>
  <c r="N1010" i="1"/>
  <c r="O1010" i="1" s="1"/>
  <c r="H992" i="1"/>
  <c r="I992" i="1" s="1"/>
  <c r="H985" i="1"/>
  <c r="I985" i="1" s="1"/>
  <c r="H1002" i="1"/>
  <c r="I1002" i="1" s="1"/>
  <c r="H1012" i="1"/>
  <c r="I1012" i="1" s="1"/>
  <c r="H1001" i="1"/>
  <c r="I1001" i="1" s="1"/>
  <c r="H993" i="1"/>
  <c r="I993" i="1" s="1"/>
  <c r="H980" i="1"/>
  <c r="I980" i="1" s="1"/>
  <c r="H978" i="1"/>
  <c r="I978" i="1" s="1"/>
  <c r="H1010" i="1"/>
  <c r="I1010" i="1" s="1"/>
  <c r="H990" i="1"/>
  <c r="I990" i="1" s="1"/>
  <c r="H1009" i="1"/>
  <c r="I1009" i="1" s="1"/>
  <c r="H1013" i="1"/>
  <c r="I1013" i="1" s="1"/>
  <c r="H982" i="1"/>
  <c r="I982" i="1" s="1"/>
  <c r="H977" i="1"/>
  <c r="I977" i="1" s="1"/>
  <c r="N1008" i="1"/>
  <c r="O1008" i="1" s="1"/>
  <c r="H998" i="1"/>
  <c r="I998" i="1" s="1"/>
  <c r="H991" i="1"/>
  <c r="I991" i="1" s="1"/>
  <c r="H1011" i="1"/>
  <c r="I1011" i="1" s="1"/>
  <c r="H1000" i="1"/>
  <c r="I1000" i="1" s="1"/>
  <c r="H983" i="1"/>
  <c r="I983" i="1" s="1"/>
  <c r="H981" i="1"/>
  <c r="I981" i="1" s="1"/>
  <c r="H999" i="1"/>
  <c r="I999" i="1" s="1"/>
  <c r="H984" i="1"/>
  <c r="I984" i="1" s="1"/>
  <c r="N1007" i="1"/>
  <c r="O1007" i="1" s="1"/>
  <c r="N1009" i="1"/>
  <c r="O1009" i="1" s="1"/>
  <c r="H989" i="1"/>
  <c r="I989" i="1" s="1"/>
  <c r="H994" i="1"/>
  <c r="I994" i="1" s="1"/>
  <c r="H1083" i="1"/>
  <c r="I1083" i="1" s="1"/>
  <c r="N1111" i="1"/>
  <c r="O1111" i="1" s="1"/>
  <c r="H1101" i="1"/>
  <c r="I1101" i="1" s="1"/>
  <c r="N1107" i="1"/>
  <c r="O1107" i="1" s="1"/>
  <c r="H1080" i="1"/>
  <c r="I1080" i="1" s="1"/>
  <c r="H1084" i="1"/>
  <c r="I1084" i="1" s="1"/>
  <c r="N1108" i="1"/>
  <c r="O1108" i="1" s="1"/>
  <c r="H1093" i="1"/>
  <c r="I1093" i="1" s="1"/>
  <c r="H1089" i="1"/>
  <c r="I1089" i="1" s="1"/>
  <c r="H1112" i="1"/>
  <c r="I1112" i="1" s="1"/>
  <c r="H1085" i="1"/>
  <c r="I1085" i="1" s="1"/>
  <c r="H1098" i="1"/>
  <c r="I1098" i="1" s="1"/>
  <c r="H1102" i="1"/>
  <c r="I1102" i="1" s="1"/>
  <c r="H1090" i="1"/>
  <c r="I1090" i="1" s="1"/>
  <c r="H1078" i="1"/>
  <c r="I1078" i="1" s="1"/>
  <c r="H1077" i="1"/>
  <c r="I1077" i="1" s="1"/>
  <c r="H1082" i="1"/>
  <c r="I1082" i="1" s="1"/>
  <c r="H1094" i="1"/>
  <c r="I1094" i="1" s="1"/>
  <c r="H1100" i="1"/>
  <c r="I1100" i="1" s="1"/>
  <c r="H1113" i="1"/>
  <c r="I1113" i="1" s="1"/>
  <c r="H1110" i="1"/>
  <c r="I1110" i="1" s="1"/>
  <c r="H1092" i="1"/>
  <c r="I1092" i="1" s="1"/>
  <c r="H1091" i="1"/>
  <c r="I1091" i="1" s="1"/>
  <c r="H1099" i="1"/>
  <c r="I1099" i="1" s="1"/>
  <c r="N1109" i="1"/>
  <c r="O1109" i="1" s="1"/>
  <c r="H1081" i="1"/>
  <c r="I1081" i="1" s="1"/>
  <c r="N1110" i="1"/>
  <c r="O1110" i="1" s="1"/>
  <c r="H1111" i="1"/>
  <c r="I1111" i="1" s="1"/>
  <c r="H1109" i="1"/>
  <c r="I1109" i="1" s="1"/>
  <c r="H1079" i="1"/>
  <c r="I1079" i="1" s="1"/>
  <c r="H774" i="1"/>
  <c r="G47" i="1"/>
  <c r="H1214" i="2"/>
  <c r="G1214" i="2"/>
  <c r="A168" i="1"/>
  <c r="H484" i="2" l="1"/>
  <c r="G42" i="1"/>
  <c r="H674" i="1"/>
  <c r="H694" i="1" s="1"/>
  <c r="I694" i="1" s="1"/>
  <c r="G380" i="2"/>
  <c r="G483" i="2"/>
  <c r="G382" i="2"/>
  <c r="G514" i="2"/>
  <c r="G501" i="2"/>
  <c r="F819" i="1"/>
  <c r="F818" i="1"/>
  <c r="F817" i="1"/>
  <c r="F820" i="1"/>
  <c r="H913" i="1"/>
  <c r="I913" i="1" s="1"/>
  <c r="F917" i="1"/>
  <c r="F918" i="1"/>
  <c r="F920" i="1"/>
  <c r="F919" i="1"/>
  <c r="H481" i="2"/>
  <c r="H490" i="2" s="1"/>
  <c r="G589" i="2"/>
  <c r="H381" i="2"/>
  <c r="M411" i="2"/>
  <c r="G379" i="2"/>
  <c r="G378" i="2"/>
  <c r="G387" i="2" s="1"/>
  <c r="M383" i="2" s="1"/>
  <c r="J424" i="2" s="1"/>
  <c r="K424" i="2" s="1"/>
  <c r="AA167" i="1"/>
  <c r="G24" i="1" s="1"/>
  <c r="F169" i="2" s="1"/>
  <c r="K198" i="2" s="1"/>
  <c r="M198" i="2" s="1"/>
  <c r="M205" i="2" s="1"/>
  <c r="AM159" i="1"/>
  <c r="H883" i="1"/>
  <c r="I883" i="1" s="1"/>
  <c r="H878" i="1"/>
  <c r="I878" i="1" s="1"/>
  <c r="N908" i="1"/>
  <c r="O908" i="1" s="1"/>
  <c r="G411" i="2"/>
  <c r="G383" i="2"/>
  <c r="H710" i="1"/>
  <c r="I710" i="1" s="1"/>
  <c r="M514" i="2"/>
  <c r="H486" i="2"/>
  <c r="O410" i="3"/>
  <c r="H898" i="1"/>
  <c r="I898" i="1" s="1"/>
  <c r="I903" i="1" s="1"/>
  <c r="H882" i="1"/>
  <c r="I882" i="1" s="1"/>
  <c r="H889" i="1"/>
  <c r="I889" i="1" s="1"/>
  <c r="H877" i="1"/>
  <c r="I877" i="1" s="1"/>
  <c r="I886" i="1" s="1"/>
  <c r="O710" i="3"/>
  <c r="H894" i="1"/>
  <c r="I894" i="1" s="1"/>
  <c r="H899" i="1"/>
  <c r="I899" i="1" s="1"/>
  <c r="H910" i="1"/>
  <c r="I910" i="1" s="1"/>
  <c r="H902" i="1"/>
  <c r="I902" i="1" s="1"/>
  <c r="N909" i="1"/>
  <c r="O909" i="1" s="1"/>
  <c r="N911" i="1"/>
  <c r="O911" i="1" s="1"/>
  <c r="H891" i="1"/>
  <c r="I891" i="1" s="1"/>
  <c r="H912" i="1"/>
  <c r="I912" i="1" s="1"/>
  <c r="N907" i="1"/>
  <c r="O907" i="1" s="1"/>
  <c r="O912" i="1" s="1"/>
  <c r="H885" i="1"/>
  <c r="I885" i="1" s="1"/>
  <c r="H879" i="1"/>
  <c r="I879" i="1" s="1"/>
  <c r="N910" i="1"/>
  <c r="O910" i="1" s="1"/>
  <c r="H884" i="1"/>
  <c r="I884" i="1" s="1"/>
  <c r="H890" i="1"/>
  <c r="I890" i="1" s="1"/>
  <c r="H900" i="1"/>
  <c r="I900" i="1" s="1"/>
  <c r="I1112" i="3"/>
  <c r="H911" i="1"/>
  <c r="I911" i="1" s="1"/>
  <c r="H880" i="1"/>
  <c r="I880" i="1" s="1"/>
  <c r="H893" i="1"/>
  <c r="I893" i="1" s="1"/>
  <c r="H901" i="1"/>
  <c r="I901" i="1" s="1"/>
  <c r="H485" i="2"/>
  <c r="H892" i="1"/>
  <c r="I892" i="1" s="1"/>
  <c r="H881" i="1"/>
  <c r="I881" i="1" s="1"/>
  <c r="H909" i="1"/>
  <c r="I909" i="1" s="1"/>
  <c r="I914" i="1" s="1"/>
  <c r="I684" i="3"/>
  <c r="O1110" i="3"/>
  <c r="I801" i="3"/>
  <c r="G818" i="3"/>
  <c r="I1084" i="3"/>
  <c r="I1101" i="3"/>
  <c r="I612" i="3"/>
  <c r="O610" i="3"/>
  <c r="I812" i="3"/>
  <c r="I593" i="3"/>
  <c r="G616" i="3" s="1"/>
  <c r="I512" i="3"/>
  <c r="I784" i="3"/>
  <c r="I1001" i="3"/>
  <c r="O910" i="3"/>
  <c r="I893" i="3"/>
  <c r="G918" i="3" s="1"/>
  <c r="I1012" i="3"/>
  <c r="G717" i="3"/>
  <c r="O1010" i="3"/>
  <c r="G791" i="2"/>
  <c r="H791" i="2"/>
  <c r="I401" i="3"/>
  <c r="G518" i="3"/>
  <c r="M919" i="2"/>
  <c r="M926" i="2" s="1"/>
  <c r="H894" i="2"/>
  <c r="G894" i="2"/>
  <c r="G792" i="2"/>
  <c r="H792" i="2"/>
  <c r="G795" i="2"/>
  <c r="H795" i="2"/>
  <c r="I875" i="3"/>
  <c r="I884" i="3" s="1"/>
  <c r="G716" i="3"/>
  <c r="H999" i="2"/>
  <c r="G999" i="2"/>
  <c r="H998" i="2"/>
  <c r="G998" i="2"/>
  <c r="F719" i="3"/>
  <c r="G715" i="3"/>
  <c r="I993" i="3"/>
  <c r="G1016" i="3" s="1"/>
  <c r="H794" i="2"/>
  <c r="G794" i="2"/>
  <c r="G790" i="2"/>
  <c r="G799" i="2" s="1"/>
  <c r="H790" i="2"/>
  <c r="H799" i="2" s="1"/>
  <c r="H585" i="2"/>
  <c r="G585" i="2"/>
  <c r="G997" i="2"/>
  <c r="H997" i="2"/>
  <c r="H1000" i="2"/>
  <c r="G1000" i="2"/>
  <c r="G689" i="2"/>
  <c r="H689" i="2"/>
  <c r="H688" i="2"/>
  <c r="G688" i="2"/>
  <c r="H691" i="2"/>
  <c r="G691" i="2"/>
  <c r="H690" i="2"/>
  <c r="G690" i="2"/>
  <c r="H898" i="2"/>
  <c r="G898" i="2"/>
  <c r="H897" i="2"/>
  <c r="G897" i="2"/>
  <c r="F1019" i="3"/>
  <c r="G597" i="2"/>
  <c r="G604" i="2" s="1"/>
  <c r="G718" i="3"/>
  <c r="H687" i="2"/>
  <c r="H696" i="2" s="1"/>
  <c r="G687" i="2"/>
  <c r="G696" i="2" s="1"/>
  <c r="H896" i="2"/>
  <c r="G896" i="2"/>
  <c r="F819" i="3"/>
  <c r="G815" i="3"/>
  <c r="F919" i="3"/>
  <c r="G584" i="2"/>
  <c r="G593" i="2" s="1"/>
  <c r="M589" i="2" s="1"/>
  <c r="H584" i="2"/>
  <c r="H593" i="2" s="1"/>
  <c r="M720" i="2"/>
  <c r="H793" i="2"/>
  <c r="G793" i="2"/>
  <c r="H692" i="2"/>
  <c r="G692" i="2"/>
  <c r="H895" i="2"/>
  <c r="G895" i="2"/>
  <c r="G816" i="3"/>
  <c r="I1093" i="3"/>
  <c r="G1117" i="3" s="1"/>
  <c r="H586" i="2"/>
  <c r="G586" i="2"/>
  <c r="H588" i="2"/>
  <c r="G588" i="2"/>
  <c r="G1001" i="2"/>
  <c r="H1001" i="2"/>
  <c r="I984" i="3"/>
  <c r="G893" i="2"/>
  <c r="G902" i="2" s="1"/>
  <c r="M898" i="2" s="1"/>
  <c r="H893" i="2"/>
  <c r="H902" i="2" s="1"/>
  <c r="G817" i="3"/>
  <c r="M823" i="2"/>
  <c r="I701" i="3"/>
  <c r="I712" i="3"/>
  <c r="G1022" i="2"/>
  <c r="G1029" i="2" s="1"/>
  <c r="O510" i="3"/>
  <c r="F1119" i="3"/>
  <c r="G587" i="2"/>
  <c r="H587" i="2"/>
  <c r="H996" i="2"/>
  <c r="H1005" i="2" s="1"/>
  <c r="G996" i="2"/>
  <c r="G1005" i="2" s="1"/>
  <c r="M1001" i="2" s="1"/>
  <c r="G482" i="2"/>
  <c r="H482" i="2"/>
  <c r="I393" i="3"/>
  <c r="G418" i="3" s="1"/>
  <c r="G301" i="2"/>
  <c r="G308" i="2" s="1"/>
  <c r="G278" i="2"/>
  <c r="H278" i="2"/>
  <c r="I501" i="3"/>
  <c r="I484" i="3"/>
  <c r="H280" i="2"/>
  <c r="G280" i="2"/>
  <c r="F419" i="3"/>
  <c r="G515" i="3"/>
  <c r="F519" i="3"/>
  <c r="H279" i="2"/>
  <c r="G279" i="2"/>
  <c r="G517" i="3"/>
  <c r="H276" i="2"/>
  <c r="G276" i="2"/>
  <c r="G288" i="2"/>
  <c r="G295" i="2" s="1"/>
  <c r="F619" i="3"/>
  <c r="G275" i="2"/>
  <c r="G284" i="2" s="1"/>
  <c r="M280" i="2" s="1"/>
  <c r="H275" i="2"/>
  <c r="H284" i="2" s="1"/>
  <c r="H277" i="2"/>
  <c r="G277" i="2"/>
  <c r="I384" i="3"/>
  <c r="I584" i="3"/>
  <c r="G516" i="3"/>
  <c r="AP185" i="1"/>
  <c r="AA154" i="1"/>
  <c r="E247" i="1"/>
  <c r="H47" i="1"/>
  <c r="AP183" i="2"/>
  <c r="O1112" i="1"/>
  <c r="I1103" i="1"/>
  <c r="I1014" i="1"/>
  <c r="I986" i="1"/>
  <c r="I1086" i="1"/>
  <c r="I1095" i="1"/>
  <c r="E1116" i="1" s="1"/>
  <c r="E1117" i="1" s="1"/>
  <c r="I995" i="1"/>
  <c r="E1016" i="1" s="1"/>
  <c r="E1017" i="1" s="1"/>
  <c r="J522" i="2"/>
  <c r="K522" i="2" s="1"/>
  <c r="J523" i="2"/>
  <c r="K523" i="2" s="1"/>
  <c r="J526" i="2"/>
  <c r="K526" i="2" s="1"/>
  <c r="J524" i="2"/>
  <c r="K524" i="2" s="1"/>
  <c r="J521" i="2"/>
  <c r="K521" i="2" s="1"/>
  <c r="J525" i="2"/>
  <c r="K525" i="2" s="1"/>
  <c r="J528" i="2"/>
  <c r="K528" i="2" s="1"/>
  <c r="J527" i="2"/>
  <c r="K527" i="2" s="1"/>
  <c r="F1121" i="1"/>
  <c r="I1114" i="1"/>
  <c r="H809" i="1"/>
  <c r="I809" i="1" s="1"/>
  <c r="H789" i="1"/>
  <c r="I789" i="1" s="1"/>
  <c r="H785" i="1"/>
  <c r="I785" i="1" s="1"/>
  <c r="N811" i="1"/>
  <c r="O811" i="1" s="1"/>
  <c r="H779" i="1"/>
  <c r="I779" i="1" s="1"/>
  <c r="H781" i="1"/>
  <c r="I781" i="1" s="1"/>
  <c r="H782" i="1"/>
  <c r="I782" i="1" s="1"/>
  <c r="H811" i="1"/>
  <c r="I811" i="1" s="1"/>
  <c r="H798" i="1"/>
  <c r="I798" i="1" s="1"/>
  <c r="H799" i="1"/>
  <c r="I799" i="1" s="1"/>
  <c r="H813" i="1"/>
  <c r="I813" i="1" s="1"/>
  <c r="H790" i="1"/>
  <c r="I790" i="1" s="1"/>
  <c r="H784" i="1"/>
  <c r="I784" i="1" s="1"/>
  <c r="N809" i="1"/>
  <c r="O809" i="1" s="1"/>
  <c r="H792" i="1"/>
  <c r="I792" i="1" s="1"/>
  <c r="H780" i="1"/>
  <c r="I780" i="1" s="1"/>
  <c r="H777" i="1"/>
  <c r="I777" i="1" s="1"/>
  <c r="H812" i="1"/>
  <c r="I812" i="1" s="1"/>
  <c r="H800" i="1"/>
  <c r="I800" i="1" s="1"/>
  <c r="H791" i="1"/>
  <c r="I791" i="1" s="1"/>
  <c r="N810" i="1"/>
  <c r="O810" i="1" s="1"/>
  <c r="N807" i="1"/>
  <c r="O807" i="1" s="1"/>
  <c r="N808" i="1"/>
  <c r="O808" i="1" s="1"/>
  <c r="H778" i="1"/>
  <c r="I778" i="1" s="1"/>
  <c r="H783" i="1"/>
  <c r="I783" i="1" s="1"/>
  <c r="H810" i="1"/>
  <c r="I810" i="1" s="1"/>
  <c r="H802" i="1"/>
  <c r="I802" i="1" s="1"/>
  <c r="H801" i="1"/>
  <c r="I801" i="1" s="1"/>
  <c r="H793" i="1"/>
  <c r="I793" i="1" s="1"/>
  <c r="H794" i="1"/>
  <c r="I794" i="1" s="1"/>
  <c r="F1021" i="1"/>
  <c r="O1012" i="1"/>
  <c r="I1003" i="1"/>
  <c r="H678" i="1" l="1"/>
  <c r="I678" i="1" s="1"/>
  <c r="N711" i="1"/>
  <c r="O711" i="1" s="1"/>
  <c r="H677" i="1"/>
  <c r="I677" i="1" s="1"/>
  <c r="H700" i="1"/>
  <c r="I700" i="1" s="1"/>
  <c r="N710" i="1"/>
  <c r="O710" i="1" s="1"/>
  <c r="F719" i="1"/>
  <c r="N707" i="1"/>
  <c r="O707" i="1" s="1"/>
  <c r="H690" i="1"/>
  <c r="I690" i="1" s="1"/>
  <c r="F720" i="1"/>
  <c r="H681" i="1"/>
  <c r="I681" i="1" s="1"/>
  <c r="H711" i="1"/>
  <c r="I711" i="1" s="1"/>
  <c r="H684" i="1"/>
  <c r="I684" i="1" s="1"/>
  <c r="H701" i="1"/>
  <c r="I701" i="1" s="1"/>
  <c r="H679" i="1"/>
  <c r="I679" i="1" s="1"/>
  <c r="H682" i="1"/>
  <c r="I682" i="1" s="1"/>
  <c r="H698" i="1"/>
  <c r="I698" i="1" s="1"/>
  <c r="H712" i="1"/>
  <c r="I712" i="1" s="1"/>
  <c r="H680" i="1"/>
  <c r="I680" i="1" s="1"/>
  <c r="H689" i="1"/>
  <c r="I689" i="1" s="1"/>
  <c r="H691" i="1"/>
  <c r="I691" i="1" s="1"/>
  <c r="H699" i="1"/>
  <c r="I699" i="1" s="1"/>
  <c r="N708" i="1"/>
  <c r="O708" i="1" s="1"/>
  <c r="N709" i="1"/>
  <c r="O709" i="1" s="1"/>
  <c r="H702" i="1"/>
  <c r="I702" i="1" s="1"/>
  <c r="F717" i="1"/>
  <c r="H685" i="1"/>
  <c r="I685" i="1" s="1"/>
  <c r="H709" i="1"/>
  <c r="I709" i="1" s="1"/>
  <c r="H693" i="1"/>
  <c r="I693" i="1" s="1"/>
  <c r="H683" i="1"/>
  <c r="I683" i="1" s="1"/>
  <c r="F718" i="1"/>
  <c r="H713" i="1"/>
  <c r="I713" i="1" s="1"/>
  <c r="H692" i="1"/>
  <c r="I692" i="1" s="1"/>
  <c r="H54" i="1"/>
  <c r="E101" i="1"/>
  <c r="I686" i="1"/>
  <c r="E719" i="1" s="1"/>
  <c r="H29" i="1"/>
  <c r="H44" i="1"/>
  <c r="H39" i="1"/>
  <c r="H49" i="1"/>
  <c r="E1119" i="1"/>
  <c r="E1125" i="1" s="1"/>
  <c r="A1119" i="1"/>
  <c r="A1125" i="1" s="1"/>
  <c r="E717" i="3"/>
  <c r="E723" i="3" s="1"/>
  <c r="A717" i="3"/>
  <c r="A723" i="3" s="1"/>
  <c r="E1017" i="3"/>
  <c r="E1023" i="3" s="1"/>
  <c r="A1017" i="3"/>
  <c r="A1023" i="3" s="1"/>
  <c r="E617" i="3"/>
  <c r="E623" i="3" s="1"/>
  <c r="A617" i="3"/>
  <c r="A623" i="3" s="1"/>
  <c r="E919" i="1"/>
  <c r="A919" i="1"/>
  <c r="A925" i="1" s="1"/>
  <c r="A1019" i="1"/>
  <c r="A1025" i="1" s="1"/>
  <c r="E1019" i="1"/>
  <c r="E1025" i="1" s="1"/>
  <c r="H1043" i="1" s="1"/>
  <c r="J57" i="1" s="1"/>
  <c r="E417" i="3"/>
  <c r="E423" i="3" s="1"/>
  <c r="A417" i="3"/>
  <c r="A423" i="3" s="1"/>
  <c r="E917" i="3"/>
  <c r="E923" i="3" s="1"/>
  <c r="A917" i="3"/>
  <c r="A923" i="3" s="1"/>
  <c r="E517" i="3"/>
  <c r="E523" i="3" s="1"/>
  <c r="E528" i="3" s="1"/>
  <c r="F528" i="3" s="1"/>
  <c r="F537" i="3" s="1"/>
  <c r="A517" i="3"/>
  <c r="A523" i="3" s="1"/>
  <c r="E1117" i="3"/>
  <c r="E1123" i="3" s="1"/>
  <c r="I1132" i="3" s="1"/>
  <c r="J1132" i="3" s="1"/>
  <c r="A1117" i="3"/>
  <c r="A1123" i="3" s="1"/>
  <c r="E817" i="3"/>
  <c r="E823" i="3" s="1"/>
  <c r="A817" i="3"/>
  <c r="A823" i="3" s="1"/>
  <c r="J421" i="2"/>
  <c r="K421" i="2" s="1"/>
  <c r="J420" i="2"/>
  <c r="K420" i="2" s="1"/>
  <c r="J419" i="2"/>
  <c r="K419" i="2" s="1"/>
  <c r="J423" i="2"/>
  <c r="K423" i="2" s="1"/>
  <c r="J418" i="2"/>
  <c r="K418" i="2" s="1"/>
  <c r="J425" i="2"/>
  <c r="K425" i="2" s="1"/>
  <c r="J422" i="2"/>
  <c r="K422" i="2" s="1"/>
  <c r="H270" i="3"/>
  <c r="N305" i="3" s="1"/>
  <c r="O305" i="3" s="1"/>
  <c r="H34" i="1"/>
  <c r="H64" i="1"/>
  <c r="H24" i="1"/>
  <c r="H59" i="1"/>
  <c r="L250" i="1"/>
  <c r="M250" i="1" s="1"/>
  <c r="F173" i="2"/>
  <c r="G173" i="2" s="1"/>
  <c r="K200" i="2"/>
  <c r="M200" i="2" s="1"/>
  <c r="F186" i="2"/>
  <c r="G186" i="2" s="1"/>
  <c r="K201" i="2"/>
  <c r="M201" i="2" s="1"/>
  <c r="F187" i="2"/>
  <c r="G187" i="2" s="1"/>
  <c r="F200" i="2"/>
  <c r="G200" i="2" s="1"/>
  <c r="F198" i="2"/>
  <c r="G198" i="2" s="1"/>
  <c r="F188" i="2"/>
  <c r="G188" i="2" s="1"/>
  <c r="I895" i="1"/>
  <c r="G917" i="1" s="1"/>
  <c r="F921" i="1"/>
  <c r="G916" i="3"/>
  <c r="G915" i="3"/>
  <c r="G416" i="3"/>
  <c r="G1017" i="3"/>
  <c r="G1015" i="3"/>
  <c r="F189" i="2"/>
  <c r="G189" i="2" s="1"/>
  <c r="F190" i="2"/>
  <c r="G190" i="2" s="1"/>
  <c r="F185" i="2"/>
  <c r="G185" i="2" s="1"/>
  <c r="G417" i="3"/>
  <c r="G1018" i="3"/>
  <c r="F172" i="2"/>
  <c r="G172" i="2" s="1"/>
  <c r="G181" i="2" s="1"/>
  <c r="F176" i="2"/>
  <c r="G176" i="2" s="1"/>
  <c r="F174" i="2"/>
  <c r="H174" i="2" s="1"/>
  <c r="F177" i="2"/>
  <c r="H177" i="2" s="1"/>
  <c r="G617" i="3"/>
  <c r="G618" i="3"/>
  <c r="F191" i="2"/>
  <c r="G191" i="2" s="1"/>
  <c r="F201" i="2"/>
  <c r="G201" i="2" s="1"/>
  <c r="K199" i="2"/>
  <c r="M199" i="2" s="1"/>
  <c r="G615" i="3"/>
  <c r="F175" i="2"/>
  <c r="G175" i="2" s="1"/>
  <c r="F199" i="2"/>
  <c r="G199" i="2" s="1"/>
  <c r="G1116" i="3"/>
  <c r="G1017" i="1"/>
  <c r="G1020" i="1"/>
  <c r="G917" i="3"/>
  <c r="G1019" i="1"/>
  <c r="J933" i="2"/>
  <c r="K933" i="2" s="1"/>
  <c r="J934" i="2"/>
  <c r="K934" i="2" s="1"/>
  <c r="J938" i="2"/>
  <c r="K938" i="2" s="1"/>
  <c r="J936" i="2"/>
  <c r="K936" i="2" s="1"/>
  <c r="J935" i="2"/>
  <c r="K935" i="2" s="1"/>
  <c r="J939" i="2"/>
  <c r="K939" i="2" s="1"/>
  <c r="J937" i="2"/>
  <c r="K937" i="2" s="1"/>
  <c r="J940" i="2"/>
  <c r="K940" i="2" s="1"/>
  <c r="G819" i="3"/>
  <c r="G1115" i="3"/>
  <c r="G719" i="3"/>
  <c r="G1118" i="3"/>
  <c r="G519" i="3"/>
  <c r="J1038" i="2"/>
  <c r="K1038" i="2" s="1"/>
  <c r="J1037" i="2"/>
  <c r="K1037" i="2" s="1"/>
  <c r="J1042" i="2"/>
  <c r="K1042" i="2" s="1"/>
  <c r="J1039" i="2"/>
  <c r="K1039" i="2" s="1"/>
  <c r="J1041" i="2"/>
  <c r="K1041" i="2" s="1"/>
  <c r="J1040" i="2"/>
  <c r="K1040" i="2" s="1"/>
  <c r="J1043" i="2"/>
  <c r="K1043" i="2" s="1"/>
  <c r="J1036" i="2"/>
  <c r="K1036" i="2" s="1"/>
  <c r="J629" i="2"/>
  <c r="K629" i="2" s="1"/>
  <c r="J625" i="2"/>
  <c r="K625" i="2" s="1"/>
  <c r="J628" i="2"/>
  <c r="K628" i="2" s="1"/>
  <c r="J627" i="2"/>
  <c r="K627" i="2" s="1"/>
  <c r="J624" i="2"/>
  <c r="K624" i="2" s="1"/>
  <c r="J631" i="2"/>
  <c r="K631" i="2" s="1"/>
  <c r="J626" i="2"/>
  <c r="K626" i="2" s="1"/>
  <c r="J630" i="2"/>
  <c r="K630" i="2" s="1"/>
  <c r="G1117" i="1"/>
  <c r="J322" i="2"/>
  <c r="K322" i="2" s="1"/>
  <c r="J319" i="2"/>
  <c r="K319" i="2" s="1"/>
  <c r="J316" i="2"/>
  <c r="K316" i="2" s="1"/>
  <c r="J320" i="2"/>
  <c r="K320" i="2" s="1"/>
  <c r="J315" i="2"/>
  <c r="K315" i="2" s="1"/>
  <c r="J317" i="2"/>
  <c r="K317" i="2" s="1"/>
  <c r="J321" i="2"/>
  <c r="K321" i="2" s="1"/>
  <c r="J318" i="2"/>
  <c r="K318" i="2" s="1"/>
  <c r="G1120" i="1"/>
  <c r="G415" i="3"/>
  <c r="L266" i="1"/>
  <c r="M266" i="1" s="1"/>
  <c r="L256" i="1"/>
  <c r="M256" i="1" s="1"/>
  <c r="H57" i="1"/>
  <c r="H52" i="1"/>
  <c r="H62" i="1"/>
  <c r="H42" i="1"/>
  <c r="E250" i="1"/>
  <c r="F250" i="1" s="1"/>
  <c r="E254" i="1"/>
  <c r="F254" i="1" s="1"/>
  <c r="E264" i="1"/>
  <c r="F264" i="1" s="1"/>
  <c r="E256" i="1"/>
  <c r="F256" i="1" s="1"/>
  <c r="L254" i="1"/>
  <c r="M254" i="1" s="1"/>
  <c r="E266" i="1"/>
  <c r="F266" i="1" s="1"/>
  <c r="E258" i="1"/>
  <c r="F258" i="1" s="1"/>
  <c r="E252" i="1"/>
  <c r="F252" i="1" s="1"/>
  <c r="E179" i="1" s="1"/>
  <c r="E260" i="1"/>
  <c r="F260" i="1" s="1"/>
  <c r="E262" i="1"/>
  <c r="F262" i="1" s="1"/>
  <c r="L260" i="1"/>
  <c r="M260" i="1" s="1"/>
  <c r="L262" i="1"/>
  <c r="M262" i="1" s="1"/>
  <c r="L264" i="1"/>
  <c r="M264" i="1" s="1"/>
  <c r="L252" i="1"/>
  <c r="M252" i="1" s="1"/>
  <c r="L258" i="1"/>
  <c r="M258" i="1" s="1"/>
  <c r="I795" i="1"/>
  <c r="G1018" i="1"/>
  <c r="G1119" i="1"/>
  <c r="I786" i="1"/>
  <c r="G1118" i="1"/>
  <c r="I814" i="1"/>
  <c r="O812" i="1"/>
  <c r="E916" i="1"/>
  <c r="E917" i="1" s="1"/>
  <c r="F821" i="1"/>
  <c r="N109" i="1"/>
  <c r="AB105" i="1"/>
  <c r="K117" i="1"/>
  <c r="AD106" i="1"/>
  <c r="P110" i="1"/>
  <c r="AB110" i="1"/>
  <c r="K105" i="1"/>
  <c r="K108" i="1"/>
  <c r="N111" i="1"/>
  <c r="R105" i="1"/>
  <c r="T108" i="1"/>
  <c r="R110" i="1"/>
  <c r="Z107" i="1"/>
  <c r="AB107" i="1"/>
  <c r="R108" i="1"/>
  <c r="AF111" i="1"/>
  <c r="K110" i="1"/>
  <c r="N106" i="1"/>
  <c r="V109" i="1"/>
  <c r="T110" i="1"/>
  <c r="V106" i="1"/>
  <c r="AD109" i="1"/>
  <c r="X109" i="1"/>
  <c r="P106" i="1"/>
  <c r="Z110" i="1"/>
  <c r="AB109" i="1"/>
  <c r="R109" i="1"/>
  <c r="X107" i="1"/>
  <c r="AF110" i="1"/>
  <c r="Z109" i="1"/>
  <c r="AF107" i="1"/>
  <c r="K122" i="1"/>
  <c r="AF109" i="1"/>
  <c r="K107" i="1"/>
  <c r="P111" i="1"/>
  <c r="X108" i="1"/>
  <c r="K109" i="1"/>
  <c r="N120" i="1"/>
  <c r="AF108" i="1"/>
  <c r="T109" i="1"/>
  <c r="N122" i="1"/>
  <c r="N108" i="1"/>
  <c r="P105" i="1"/>
  <c r="X111" i="1"/>
  <c r="R106" i="1"/>
  <c r="K120" i="1"/>
  <c r="AD107" i="1"/>
  <c r="V110" i="1"/>
  <c r="P108" i="1"/>
  <c r="AD110" i="1"/>
  <c r="K123" i="1"/>
  <c r="T107" i="1"/>
  <c r="N110" i="1"/>
  <c r="T111" i="1"/>
  <c r="AD105" i="1"/>
  <c r="N121" i="1"/>
  <c r="N107" i="1"/>
  <c r="AD111" i="1"/>
  <c r="N123" i="1"/>
  <c r="V107" i="1"/>
  <c r="K118" i="1"/>
  <c r="K119" i="1"/>
  <c r="Z106" i="1"/>
  <c r="Z108" i="1"/>
  <c r="X105" i="1"/>
  <c r="T106" i="1"/>
  <c r="V105" i="1"/>
  <c r="P107" i="1"/>
  <c r="Z105" i="1"/>
  <c r="AF106" i="1"/>
  <c r="T105" i="1"/>
  <c r="N105" i="1"/>
  <c r="R111" i="1"/>
  <c r="R107" i="1"/>
  <c r="X106" i="1"/>
  <c r="Z111" i="1"/>
  <c r="AB108" i="1"/>
  <c r="N119" i="1"/>
  <c r="K111" i="1"/>
  <c r="K121" i="1"/>
  <c r="AB111" i="1"/>
  <c r="AD108" i="1"/>
  <c r="X110" i="1"/>
  <c r="AF105" i="1"/>
  <c r="P109" i="1"/>
  <c r="V108" i="1"/>
  <c r="N117" i="1"/>
  <c r="V111" i="1"/>
  <c r="AB106" i="1"/>
  <c r="K106" i="1"/>
  <c r="N118" i="1"/>
  <c r="I803" i="1"/>
  <c r="I703" i="1" l="1"/>
  <c r="O712" i="1"/>
  <c r="I695" i="1"/>
  <c r="G718" i="1" s="1"/>
  <c r="F721" i="1"/>
  <c r="I714" i="1"/>
  <c r="A719" i="1"/>
  <c r="A725" i="1" s="1"/>
  <c r="N308" i="3"/>
  <c r="O308" i="3" s="1"/>
  <c r="N306" i="3"/>
  <c r="O306" i="3" s="1"/>
  <c r="E925" i="1"/>
  <c r="I933" i="1" s="1"/>
  <c r="J933" i="1" s="1"/>
  <c r="H281" i="3"/>
  <c r="I281" i="3" s="1"/>
  <c r="H300" i="3"/>
  <c r="I300" i="3" s="1"/>
  <c r="H276" i="3"/>
  <c r="I276" i="3" s="1"/>
  <c r="H282" i="3"/>
  <c r="I282" i="3" s="1"/>
  <c r="H283" i="3"/>
  <c r="I283" i="3" s="1"/>
  <c r="H290" i="3"/>
  <c r="I290" i="3" s="1"/>
  <c r="I732" i="3"/>
  <c r="J732" i="3" s="1"/>
  <c r="I728" i="3"/>
  <c r="J728" i="3" s="1"/>
  <c r="H277" i="3"/>
  <c r="I277" i="3" s="1"/>
  <c r="H291" i="3"/>
  <c r="I291" i="3" s="1"/>
  <c r="H289" i="3"/>
  <c r="I289" i="3" s="1"/>
  <c r="H296" i="3"/>
  <c r="I296" i="3" s="1"/>
  <c r="H275" i="3"/>
  <c r="I275" i="3" s="1"/>
  <c r="H278" i="3"/>
  <c r="I278" i="3" s="1"/>
  <c r="H292" i="3"/>
  <c r="I292" i="3" s="1"/>
  <c r="H307" i="3"/>
  <c r="I307" i="3" s="1"/>
  <c r="N309" i="3"/>
  <c r="O309" i="3" s="1"/>
  <c r="H297" i="3"/>
  <c r="I297" i="3" s="1"/>
  <c r="H279" i="3"/>
  <c r="I279" i="3" s="1"/>
  <c r="H280" i="3"/>
  <c r="I280" i="3" s="1"/>
  <c r="H308" i="3"/>
  <c r="I308" i="3" s="1"/>
  <c r="H298" i="3"/>
  <c r="I298" i="3" s="1"/>
  <c r="H288" i="3"/>
  <c r="I288" i="3" s="1"/>
  <c r="H310" i="3"/>
  <c r="I310" i="3" s="1"/>
  <c r="H287" i="3"/>
  <c r="I287" i="3" s="1"/>
  <c r="H309" i="3"/>
  <c r="I309" i="3" s="1"/>
  <c r="H311" i="3"/>
  <c r="I311" i="3" s="1"/>
  <c r="N307" i="3"/>
  <c r="O307" i="3" s="1"/>
  <c r="H299" i="3"/>
  <c r="I299" i="3" s="1"/>
  <c r="H173" i="2"/>
  <c r="A819" i="1"/>
  <c r="A825" i="1" s="1"/>
  <c r="E819" i="1"/>
  <c r="F318" i="3"/>
  <c r="F317" i="3"/>
  <c r="F315" i="3"/>
  <c r="F316" i="3"/>
  <c r="I830" i="3"/>
  <c r="J830" i="3" s="1"/>
  <c r="I833" i="3"/>
  <c r="J833" i="3" s="1"/>
  <c r="I835" i="3"/>
  <c r="J835" i="3" s="1"/>
  <c r="I828" i="3"/>
  <c r="J828" i="3" s="1"/>
  <c r="E841" i="3"/>
  <c r="I831" i="3"/>
  <c r="J831" i="3" s="1"/>
  <c r="I829" i="3"/>
  <c r="J829" i="3" s="1"/>
  <c r="I834" i="3"/>
  <c r="J834" i="3" s="1"/>
  <c r="I832" i="3"/>
  <c r="J832" i="3" s="1"/>
  <c r="H841" i="3"/>
  <c r="J49" i="1" s="1"/>
  <c r="I733" i="3"/>
  <c r="J733" i="3" s="1"/>
  <c r="I730" i="3"/>
  <c r="J730" i="3" s="1"/>
  <c r="I729" i="3"/>
  <c r="J729" i="3" s="1"/>
  <c r="I735" i="3"/>
  <c r="J735" i="3" s="1"/>
  <c r="H175" i="2"/>
  <c r="I731" i="3"/>
  <c r="J731" i="3" s="1"/>
  <c r="E741" i="3"/>
  <c r="H741" i="3"/>
  <c r="J44" i="1" s="1"/>
  <c r="I734" i="3"/>
  <c r="J734" i="3" s="1"/>
  <c r="I1134" i="3"/>
  <c r="J1134" i="3" s="1"/>
  <c r="G918" i="1"/>
  <c r="G205" i="2"/>
  <c r="G919" i="1"/>
  <c r="G920" i="1"/>
  <c r="I1129" i="3"/>
  <c r="J1129" i="3" s="1"/>
  <c r="H172" i="2"/>
  <c r="H181" i="2" s="1"/>
  <c r="E1141" i="3"/>
  <c r="I1133" i="3"/>
  <c r="J1133" i="3" s="1"/>
  <c r="I1135" i="3"/>
  <c r="J1135" i="3" s="1"/>
  <c r="G419" i="3"/>
  <c r="H1141" i="3"/>
  <c r="J64" i="1" s="1"/>
  <c r="I1130" i="3"/>
  <c r="J1130" i="3" s="1"/>
  <c r="I1128" i="3"/>
  <c r="J1128" i="3" s="1"/>
  <c r="I1131" i="3"/>
  <c r="J1131" i="3" s="1"/>
  <c r="G1019" i="3"/>
  <c r="G1021" i="1"/>
  <c r="G192" i="2"/>
  <c r="G919" i="3"/>
  <c r="G177" i="2"/>
  <c r="G619" i="3"/>
  <c r="G174" i="2"/>
  <c r="H176" i="2"/>
  <c r="I1032" i="3"/>
  <c r="J1032" i="3" s="1"/>
  <c r="I1034" i="3"/>
  <c r="J1034" i="3" s="1"/>
  <c r="I1028" i="3"/>
  <c r="J1028" i="3" s="1"/>
  <c r="H1041" i="3"/>
  <c r="J59" i="1" s="1"/>
  <c r="I1031" i="3"/>
  <c r="J1031" i="3" s="1"/>
  <c r="I1033" i="3"/>
  <c r="J1033" i="3" s="1"/>
  <c r="I1030" i="3"/>
  <c r="J1030" i="3" s="1"/>
  <c r="I1035" i="3"/>
  <c r="J1035" i="3" s="1"/>
  <c r="E1041" i="3"/>
  <c r="I1029" i="3"/>
  <c r="J1029" i="3" s="1"/>
  <c r="G1119" i="3"/>
  <c r="G817" i="1"/>
  <c r="I929" i="3"/>
  <c r="J929" i="3" s="1"/>
  <c r="I928" i="3"/>
  <c r="J928" i="3" s="1"/>
  <c r="I932" i="3"/>
  <c r="J932" i="3" s="1"/>
  <c r="I934" i="3"/>
  <c r="J934" i="3" s="1"/>
  <c r="I931" i="3"/>
  <c r="J931" i="3" s="1"/>
  <c r="E941" i="3"/>
  <c r="H941" i="3"/>
  <c r="J54" i="1" s="1"/>
  <c r="I930" i="3"/>
  <c r="J930" i="3" s="1"/>
  <c r="I935" i="3"/>
  <c r="J935" i="3" s="1"/>
  <c r="I933" i="3"/>
  <c r="J933" i="3" s="1"/>
  <c r="I629" i="3"/>
  <c r="J629" i="3" s="1"/>
  <c r="E628" i="3"/>
  <c r="F628" i="3" s="1"/>
  <c r="F637" i="3" s="1"/>
  <c r="E641" i="3" s="1"/>
  <c r="I628" i="3"/>
  <c r="J628" i="3" s="1"/>
  <c r="K628" i="3" s="1"/>
  <c r="K637" i="3" s="1"/>
  <c r="H641" i="3" s="1"/>
  <c r="J39" i="1" s="1"/>
  <c r="I632" i="3"/>
  <c r="J632" i="3" s="1"/>
  <c r="I634" i="3"/>
  <c r="J634" i="3" s="1"/>
  <c r="I635" i="3"/>
  <c r="J635" i="3" s="1"/>
  <c r="I631" i="3"/>
  <c r="J631" i="3" s="1"/>
  <c r="I633" i="3"/>
  <c r="J633" i="3" s="1"/>
  <c r="I630" i="3"/>
  <c r="J630" i="3" s="1"/>
  <c r="I429" i="3"/>
  <c r="J429" i="3" s="1"/>
  <c r="I434" i="3"/>
  <c r="J434" i="3" s="1"/>
  <c r="I432" i="3"/>
  <c r="J432" i="3" s="1"/>
  <c r="E441" i="3"/>
  <c r="H441" i="3"/>
  <c r="J29" i="1" s="1"/>
  <c r="I431" i="3"/>
  <c r="J431" i="3" s="1"/>
  <c r="I428" i="3"/>
  <c r="J428" i="3" s="1"/>
  <c r="I433" i="3"/>
  <c r="J433" i="3" s="1"/>
  <c r="I430" i="3"/>
  <c r="J430" i="3" s="1"/>
  <c r="I435" i="3"/>
  <c r="J435" i="3" s="1"/>
  <c r="I532" i="3"/>
  <c r="J532" i="3" s="1"/>
  <c r="I529" i="3"/>
  <c r="J529" i="3" s="1"/>
  <c r="I534" i="3"/>
  <c r="J534" i="3" s="1"/>
  <c r="I535" i="3"/>
  <c r="J535" i="3" s="1"/>
  <c r="I531" i="3"/>
  <c r="J531" i="3" s="1"/>
  <c r="I530" i="3"/>
  <c r="J530" i="3" s="1"/>
  <c r="E541" i="3"/>
  <c r="I528" i="3"/>
  <c r="J528" i="3" s="1"/>
  <c r="K528" i="3" s="1"/>
  <c r="K537" i="3" s="1"/>
  <c r="H541" i="3" s="1"/>
  <c r="J34" i="1" s="1"/>
  <c r="I533" i="3"/>
  <c r="J533" i="3" s="1"/>
  <c r="O310" i="3"/>
  <c r="I1137" i="1"/>
  <c r="J1137" i="1" s="1"/>
  <c r="I1136" i="1"/>
  <c r="J1136" i="1" s="1"/>
  <c r="I1135" i="1"/>
  <c r="J1135" i="1" s="1"/>
  <c r="I1134" i="1"/>
  <c r="J1134" i="1" s="1"/>
  <c r="I1133" i="1"/>
  <c r="J1133" i="1" s="1"/>
  <c r="I1132" i="1"/>
  <c r="J1132" i="1" s="1"/>
  <c r="I1131" i="1"/>
  <c r="J1131" i="1" s="1"/>
  <c r="I1130" i="1"/>
  <c r="J1130" i="1" s="1"/>
  <c r="H1143" i="1"/>
  <c r="J62" i="1" s="1"/>
  <c r="E1143" i="1"/>
  <c r="I1036" i="1"/>
  <c r="J1036" i="1" s="1"/>
  <c r="I1035" i="1"/>
  <c r="J1035" i="1" s="1"/>
  <c r="I1034" i="1"/>
  <c r="J1034" i="1" s="1"/>
  <c r="I1033" i="1"/>
  <c r="J1033" i="1" s="1"/>
  <c r="I1032" i="1"/>
  <c r="J1032" i="1" s="1"/>
  <c r="I1037" i="1"/>
  <c r="J1037" i="1" s="1"/>
  <c r="I1031" i="1"/>
  <c r="J1031" i="1" s="1"/>
  <c r="I1030" i="1"/>
  <c r="J1030" i="1" s="1"/>
  <c r="E1043" i="1"/>
  <c r="G820" i="1"/>
  <c r="G818" i="1"/>
  <c r="E816" i="1"/>
  <c r="E817" i="1" s="1"/>
  <c r="G819" i="1"/>
  <c r="G1121" i="1"/>
  <c r="L940" i="2"/>
  <c r="L936" i="2"/>
  <c r="F940" i="2"/>
  <c r="G940" i="2" s="1"/>
  <c r="F936" i="2"/>
  <c r="G936" i="2" s="1"/>
  <c r="L938" i="2"/>
  <c r="L939" i="2"/>
  <c r="L935" i="2"/>
  <c r="F939" i="2"/>
  <c r="G939" i="2" s="1"/>
  <c r="F935" i="2"/>
  <c r="G935" i="2" s="1"/>
  <c r="L934" i="2"/>
  <c r="F938" i="2"/>
  <c r="G938" i="2" s="1"/>
  <c r="F934" i="2"/>
  <c r="G934" i="2" s="1"/>
  <c r="L937" i="2"/>
  <c r="L933" i="2"/>
  <c r="F937" i="2"/>
  <c r="G937" i="2" s="1"/>
  <c r="F933" i="2"/>
  <c r="G933" i="2" s="1"/>
  <c r="AD114" i="1"/>
  <c r="P114" i="1"/>
  <c r="V114" i="1"/>
  <c r="J71" i="1" s="1"/>
  <c r="K124" i="1"/>
  <c r="R114" i="1"/>
  <c r="AB114" i="1"/>
  <c r="N114" i="1"/>
  <c r="K114" i="1"/>
  <c r="X114" i="1"/>
  <c r="T114" i="1"/>
  <c r="N124" i="1"/>
  <c r="Z114" i="1"/>
  <c r="AF114" i="1"/>
  <c r="G720" i="1" l="1"/>
  <c r="I934" i="1"/>
  <c r="J934" i="1" s="1"/>
  <c r="G717" i="1"/>
  <c r="E716" i="1"/>
  <c r="E717" i="1" s="1"/>
  <c r="E725" i="1" s="1"/>
  <c r="G719" i="1"/>
  <c r="I935" i="1"/>
  <c r="J935" i="1" s="1"/>
  <c r="I936" i="1"/>
  <c r="J936" i="1" s="1"/>
  <c r="I930" i="1"/>
  <c r="J930" i="1" s="1"/>
  <c r="I931" i="1"/>
  <c r="J931" i="1" s="1"/>
  <c r="I937" i="1"/>
  <c r="J937" i="1" s="1"/>
  <c r="I932" i="1"/>
  <c r="J932" i="1" s="1"/>
  <c r="H943" i="1"/>
  <c r="J52" i="1" s="1"/>
  <c r="F837" i="2" s="1"/>
  <c r="G837" i="2" s="1"/>
  <c r="E943" i="1"/>
  <c r="I301" i="3"/>
  <c r="I284" i="3"/>
  <c r="A318" i="3" s="1"/>
  <c r="A323" i="3" s="1"/>
  <c r="I293" i="3"/>
  <c r="G318" i="3" s="1"/>
  <c r="F319" i="3"/>
  <c r="I312" i="3"/>
  <c r="M170" i="2"/>
  <c r="M177" i="2" s="1"/>
  <c r="L1038" i="2"/>
  <c r="E181" i="1"/>
  <c r="H374" i="1" s="1"/>
  <c r="N179" i="1"/>
  <c r="F269" i="1" s="1"/>
  <c r="G921" i="1"/>
  <c r="L1042" i="2"/>
  <c r="F1041" i="2"/>
  <c r="G1041" i="2" s="1"/>
  <c r="L1037" i="2"/>
  <c r="L1039" i="2"/>
  <c r="L1036" i="2"/>
  <c r="L1040" i="2"/>
  <c r="F1042" i="2"/>
  <c r="G1042" i="2" s="1"/>
  <c r="F1040" i="2"/>
  <c r="G1040" i="2" s="1"/>
  <c r="L1041" i="2"/>
  <c r="F1039" i="2"/>
  <c r="G1039" i="2" s="1"/>
  <c r="F1043" i="2"/>
  <c r="G1043" i="2" s="1"/>
  <c r="F1037" i="2"/>
  <c r="G1037" i="2" s="1"/>
  <c r="F1038" i="2"/>
  <c r="G1038" i="2" s="1"/>
  <c r="L1043" i="2"/>
  <c r="F1036" i="2"/>
  <c r="G1036" i="2" s="1"/>
  <c r="E825" i="1"/>
  <c r="I833" i="1" s="1"/>
  <c r="J833" i="1" s="1"/>
  <c r="G821" i="1"/>
  <c r="L942" i="2"/>
  <c r="I946" i="2" s="1"/>
  <c r="G942" i="2"/>
  <c r="F946" i="2" s="1"/>
  <c r="J83" i="1"/>
  <c r="J72" i="1"/>
  <c r="J87" i="1" s="1"/>
  <c r="F831" i="2" l="1"/>
  <c r="G831" i="2" s="1"/>
  <c r="F830" i="2"/>
  <c r="G830" i="2" s="1"/>
  <c r="L830" i="2"/>
  <c r="F835" i="2"/>
  <c r="G835" i="2" s="1"/>
  <c r="L832" i="2"/>
  <c r="F836" i="2"/>
  <c r="G836" i="2" s="1"/>
  <c r="F833" i="2"/>
  <c r="G833" i="2" s="1"/>
  <c r="L831" i="2"/>
  <c r="L833" i="2"/>
  <c r="L836" i="2"/>
  <c r="F834" i="2"/>
  <c r="G834" i="2" s="1"/>
  <c r="L835" i="2"/>
  <c r="L837" i="2"/>
  <c r="F832" i="2"/>
  <c r="G832" i="2" s="1"/>
  <c r="G721" i="1"/>
  <c r="L834" i="2"/>
  <c r="I734" i="1"/>
  <c r="J734" i="1" s="1"/>
  <c r="I733" i="1"/>
  <c r="J733" i="1" s="1"/>
  <c r="I732" i="1"/>
  <c r="J732" i="1" s="1"/>
  <c r="I731" i="1"/>
  <c r="J731" i="1" s="1"/>
  <c r="I735" i="1"/>
  <c r="J735" i="1" s="1"/>
  <c r="I730" i="1"/>
  <c r="J730" i="1" s="1"/>
  <c r="I737" i="1"/>
  <c r="J737" i="1" s="1"/>
  <c r="I736" i="1"/>
  <c r="J736" i="1" s="1"/>
  <c r="E743" i="1"/>
  <c r="H743" i="1"/>
  <c r="J42" i="1" s="1"/>
  <c r="E318" i="3"/>
  <c r="E323" i="3" s="1"/>
  <c r="I329" i="3" s="1"/>
  <c r="J329" i="3" s="1"/>
  <c r="G316" i="3"/>
  <c r="G315" i="3"/>
  <c r="G317" i="3"/>
  <c r="G27" i="1"/>
  <c r="H27" i="1" s="1"/>
  <c r="J218" i="2"/>
  <c r="K218" i="2" s="1"/>
  <c r="F212" i="2"/>
  <c r="J213" i="2"/>
  <c r="K213" i="2" s="1"/>
  <c r="J216" i="2"/>
  <c r="K216" i="2" s="1"/>
  <c r="J212" i="2"/>
  <c r="K212" i="2" s="1"/>
  <c r="L212" i="2" s="1"/>
  <c r="J217" i="2"/>
  <c r="K217" i="2" s="1"/>
  <c r="J214" i="2"/>
  <c r="K214" i="2" s="1"/>
  <c r="J219" i="2"/>
  <c r="K219" i="2" s="1"/>
  <c r="J215" i="2"/>
  <c r="K215" i="2" s="1"/>
  <c r="F420" i="1"/>
  <c r="F419" i="1"/>
  <c r="F417" i="1"/>
  <c r="F418" i="1"/>
  <c r="M272" i="1"/>
  <c r="F272" i="1"/>
  <c r="H843" i="1"/>
  <c r="J47" i="1" s="1"/>
  <c r="I835" i="1"/>
  <c r="J835" i="1" s="1"/>
  <c r="L1045" i="2"/>
  <c r="I1049" i="2" s="1"/>
  <c r="I834" i="1"/>
  <c r="J834" i="1" s="1"/>
  <c r="E843" i="1"/>
  <c r="I836" i="1"/>
  <c r="J836" i="1" s="1"/>
  <c r="I830" i="1"/>
  <c r="J830" i="1" s="1"/>
  <c r="I837" i="1"/>
  <c r="J837" i="1" s="1"/>
  <c r="I832" i="1"/>
  <c r="J832" i="1" s="1"/>
  <c r="G1045" i="2"/>
  <c r="F1049" i="2" s="1"/>
  <c r="I831" i="1"/>
  <c r="J831" i="1" s="1"/>
  <c r="H400" i="1"/>
  <c r="I400" i="1" s="1"/>
  <c r="H383" i="1"/>
  <c r="I383" i="1" s="1"/>
  <c r="H377" i="1"/>
  <c r="I377" i="1" s="1"/>
  <c r="H409" i="1"/>
  <c r="I409" i="1" s="1"/>
  <c r="H413" i="1"/>
  <c r="I413" i="1" s="1"/>
  <c r="H412" i="1"/>
  <c r="I412" i="1" s="1"/>
  <c r="N408" i="1"/>
  <c r="O408" i="1" s="1"/>
  <c r="H402" i="1"/>
  <c r="I402" i="1" s="1"/>
  <c r="H381" i="1"/>
  <c r="I381" i="1" s="1"/>
  <c r="H399" i="1"/>
  <c r="I399" i="1" s="1"/>
  <c r="H394" i="1"/>
  <c r="I394" i="1" s="1"/>
  <c r="N409" i="1"/>
  <c r="O409" i="1" s="1"/>
  <c r="H379" i="1"/>
  <c r="I379" i="1" s="1"/>
  <c r="H398" i="1"/>
  <c r="I398" i="1" s="1"/>
  <c r="H389" i="1"/>
  <c r="I389" i="1" s="1"/>
  <c r="H385" i="1"/>
  <c r="I385" i="1" s="1"/>
  <c r="H384" i="1"/>
  <c r="I384" i="1" s="1"/>
  <c r="N410" i="1"/>
  <c r="O410" i="1" s="1"/>
  <c r="H390" i="1"/>
  <c r="I390" i="1" s="1"/>
  <c r="N407" i="1"/>
  <c r="O407" i="1" s="1"/>
  <c r="N411" i="1"/>
  <c r="O411" i="1" s="1"/>
  <c r="H380" i="1"/>
  <c r="I380" i="1" s="1"/>
  <c r="H401" i="1"/>
  <c r="I401" i="1" s="1"/>
  <c r="H392" i="1"/>
  <c r="I392" i="1" s="1"/>
  <c r="H393" i="1"/>
  <c r="I393" i="1" s="1"/>
  <c r="H382" i="1"/>
  <c r="I382" i="1" s="1"/>
  <c r="H410" i="1"/>
  <c r="I410" i="1" s="1"/>
  <c r="H378" i="1"/>
  <c r="I378" i="1" s="1"/>
  <c r="H411" i="1"/>
  <c r="I411" i="1" s="1"/>
  <c r="H391" i="1"/>
  <c r="I391" i="1" s="1"/>
  <c r="G839" i="2" l="1"/>
  <c r="F843" i="2" s="1"/>
  <c r="L839" i="2"/>
  <c r="I843" i="2" s="1"/>
  <c r="L631" i="2"/>
  <c r="F628" i="2"/>
  <c r="G628" i="2" s="1"/>
  <c r="L626" i="2"/>
  <c r="F626" i="2"/>
  <c r="G626" i="2" s="1"/>
  <c r="L630" i="2"/>
  <c r="F629" i="2"/>
  <c r="G629" i="2" s="1"/>
  <c r="L624" i="2"/>
  <c r="F627" i="2"/>
  <c r="G627" i="2" s="1"/>
  <c r="F625" i="2"/>
  <c r="G625" i="2" s="1"/>
  <c r="L627" i="2"/>
  <c r="L628" i="2"/>
  <c r="F631" i="2"/>
  <c r="G631" i="2" s="1"/>
  <c r="F624" i="2"/>
  <c r="G624" i="2" s="1"/>
  <c r="L625" i="2"/>
  <c r="F630" i="2"/>
  <c r="G630" i="2" s="1"/>
  <c r="L629" i="2"/>
  <c r="I330" i="3"/>
  <c r="J330" i="3" s="1"/>
  <c r="I328" i="3"/>
  <c r="J328" i="3" s="1"/>
  <c r="K328" i="3" s="1"/>
  <c r="K337" i="3" s="1"/>
  <c r="H341" i="3" s="1"/>
  <c r="I331" i="3"/>
  <c r="J331" i="3" s="1"/>
  <c r="I333" i="3"/>
  <c r="J333" i="3" s="1"/>
  <c r="E328" i="3"/>
  <c r="F328" i="3" s="1"/>
  <c r="F337" i="3" s="1"/>
  <c r="E341" i="3" s="1"/>
  <c r="I334" i="3"/>
  <c r="J334" i="3" s="1"/>
  <c r="I335" i="3"/>
  <c r="J335" i="3" s="1"/>
  <c r="I332" i="3"/>
  <c r="J332" i="3" s="1"/>
  <c r="G319" i="3"/>
  <c r="A175" i="1"/>
  <c r="A181" i="1" s="1"/>
  <c r="G175" i="1"/>
  <c r="G181" i="1" s="1"/>
  <c r="F175" i="1"/>
  <c r="F181" i="1" s="1"/>
  <c r="G32" i="1" s="1"/>
  <c r="H32" i="1" s="1"/>
  <c r="L730" i="2"/>
  <c r="F734" i="2"/>
  <c r="G734" i="2" s="1"/>
  <c r="F727" i="2"/>
  <c r="G727" i="2" s="1"/>
  <c r="F732" i="2"/>
  <c r="G732" i="2" s="1"/>
  <c r="L734" i="2"/>
  <c r="F730" i="2"/>
  <c r="G730" i="2" s="1"/>
  <c r="F731" i="2"/>
  <c r="G731" i="2" s="1"/>
  <c r="L728" i="2"/>
  <c r="F728" i="2"/>
  <c r="G728" i="2" s="1"/>
  <c r="L732" i="2"/>
  <c r="F729" i="2"/>
  <c r="G729" i="2" s="1"/>
  <c r="L731" i="2"/>
  <c r="L727" i="2"/>
  <c r="L729" i="2"/>
  <c r="L733" i="2"/>
  <c r="F733" i="2"/>
  <c r="G733" i="2" s="1"/>
  <c r="I395" i="1"/>
  <c r="O412" i="1"/>
  <c r="I386" i="1"/>
  <c r="I414" i="1"/>
  <c r="I403" i="1"/>
  <c r="F421" i="1"/>
  <c r="G219" i="2"/>
  <c r="G215" i="2"/>
  <c r="G218" i="2"/>
  <c r="G214" i="2"/>
  <c r="G217" i="2"/>
  <c r="G216" i="2"/>
  <c r="G212" i="2"/>
  <c r="G213" i="2"/>
  <c r="L633" i="2" l="1"/>
  <c r="I637" i="2" s="1"/>
  <c r="G633" i="2"/>
  <c r="F637" i="2" s="1"/>
  <c r="J24" i="1"/>
  <c r="E419" i="1"/>
  <c r="A419" i="1"/>
  <c r="A425" i="1" s="1"/>
  <c r="G22" i="1"/>
  <c r="H22" i="1" s="1"/>
  <c r="H474" i="1"/>
  <c r="H479" i="1" s="1"/>
  <c r="I479" i="1" s="1"/>
  <c r="G37" i="1"/>
  <c r="H37" i="1" s="1"/>
  <c r="H574" i="1"/>
  <c r="G419" i="1"/>
  <c r="L736" i="2"/>
  <c r="I740" i="2" s="1"/>
  <c r="G736" i="2"/>
  <c r="F740" i="2" s="1"/>
  <c r="G417" i="1"/>
  <c r="G418" i="1"/>
  <c r="G420" i="1"/>
  <c r="E416" i="1"/>
  <c r="E417" i="1" s="1"/>
  <c r="G221" i="2"/>
  <c r="F225" i="2" s="1"/>
  <c r="L221" i="2"/>
  <c r="I225" i="2" s="1"/>
  <c r="H480" i="1" l="1"/>
  <c r="I480" i="1" s="1"/>
  <c r="H510" i="1"/>
  <c r="I510" i="1" s="1"/>
  <c r="H498" i="1"/>
  <c r="I498" i="1" s="1"/>
  <c r="H500" i="1"/>
  <c r="I500" i="1" s="1"/>
  <c r="H483" i="1"/>
  <c r="I483" i="1" s="1"/>
  <c r="H493" i="1"/>
  <c r="I493" i="1" s="1"/>
  <c r="H501" i="1"/>
  <c r="I501" i="1" s="1"/>
  <c r="H481" i="1"/>
  <c r="I481" i="1" s="1"/>
  <c r="N509" i="1"/>
  <c r="O509" i="1" s="1"/>
  <c r="H513" i="1"/>
  <c r="I513" i="1" s="1"/>
  <c r="H477" i="1"/>
  <c r="I477" i="1" s="1"/>
  <c r="H499" i="1"/>
  <c r="I499" i="1" s="1"/>
  <c r="H512" i="1"/>
  <c r="I512" i="1" s="1"/>
  <c r="N511" i="1"/>
  <c r="O511" i="1" s="1"/>
  <c r="H482" i="1"/>
  <c r="I482" i="1" s="1"/>
  <c r="H492" i="1"/>
  <c r="I492" i="1" s="1"/>
  <c r="N510" i="1"/>
  <c r="O510" i="1" s="1"/>
  <c r="H494" i="1"/>
  <c r="I494" i="1" s="1"/>
  <c r="H502" i="1"/>
  <c r="I502" i="1" s="1"/>
  <c r="H490" i="1"/>
  <c r="I490" i="1" s="1"/>
  <c r="H509" i="1"/>
  <c r="I509" i="1" s="1"/>
  <c r="N507" i="1"/>
  <c r="O507" i="1" s="1"/>
  <c r="H484" i="1"/>
  <c r="I484" i="1" s="1"/>
  <c r="H485" i="1"/>
  <c r="I485" i="1" s="1"/>
  <c r="N508" i="1"/>
  <c r="O508" i="1" s="1"/>
  <c r="H478" i="1"/>
  <c r="I478" i="1" s="1"/>
  <c r="H489" i="1"/>
  <c r="I489" i="1" s="1"/>
  <c r="H491" i="1"/>
  <c r="I491" i="1" s="1"/>
  <c r="H272" i="1"/>
  <c r="H309" i="1" s="1"/>
  <c r="I309" i="1" s="1"/>
  <c r="H511" i="1"/>
  <c r="I511" i="1" s="1"/>
  <c r="F517" i="1"/>
  <c r="F518" i="1"/>
  <c r="F520" i="1"/>
  <c r="F519" i="1"/>
  <c r="F618" i="1"/>
  <c r="F617" i="1"/>
  <c r="F620" i="1"/>
  <c r="F619" i="1"/>
  <c r="H67" i="1"/>
  <c r="G67" i="1"/>
  <c r="E425" i="1"/>
  <c r="H443" i="1" s="1"/>
  <c r="H584" i="1"/>
  <c r="I584" i="1" s="1"/>
  <c r="H611" i="1"/>
  <c r="I611" i="1" s="1"/>
  <c r="H601" i="1"/>
  <c r="I601" i="1" s="1"/>
  <c r="H594" i="1"/>
  <c r="I594" i="1" s="1"/>
  <c r="H593" i="1"/>
  <c r="I593" i="1" s="1"/>
  <c r="H600" i="1"/>
  <c r="I600" i="1" s="1"/>
  <c r="H582" i="1"/>
  <c r="I582" i="1" s="1"/>
  <c r="H585" i="1"/>
  <c r="I585" i="1" s="1"/>
  <c r="H602" i="1"/>
  <c r="I602" i="1" s="1"/>
  <c r="H591" i="1"/>
  <c r="I591" i="1" s="1"/>
  <c r="H580" i="1"/>
  <c r="I580" i="1" s="1"/>
  <c r="H612" i="1"/>
  <c r="I612" i="1" s="1"/>
  <c r="H581" i="1"/>
  <c r="I581" i="1" s="1"/>
  <c r="H583" i="1"/>
  <c r="I583" i="1" s="1"/>
  <c r="H609" i="1"/>
  <c r="I609" i="1" s="1"/>
  <c r="N611" i="1"/>
  <c r="O611" i="1" s="1"/>
  <c r="H577" i="1"/>
  <c r="I577" i="1" s="1"/>
  <c r="H598" i="1"/>
  <c r="I598" i="1" s="1"/>
  <c r="N608" i="1"/>
  <c r="O608" i="1" s="1"/>
  <c r="H613" i="1"/>
  <c r="I613" i="1" s="1"/>
  <c r="H589" i="1"/>
  <c r="I589" i="1" s="1"/>
  <c r="H599" i="1"/>
  <c r="I599" i="1" s="1"/>
  <c r="H590" i="1"/>
  <c r="I590" i="1" s="1"/>
  <c r="H592" i="1"/>
  <c r="I592" i="1" s="1"/>
  <c r="N609" i="1"/>
  <c r="O609" i="1" s="1"/>
  <c r="H610" i="1"/>
  <c r="I610" i="1" s="1"/>
  <c r="H579" i="1"/>
  <c r="I579" i="1" s="1"/>
  <c r="N610" i="1"/>
  <c r="O610" i="1" s="1"/>
  <c r="H578" i="1"/>
  <c r="I578" i="1" s="1"/>
  <c r="N607" i="1"/>
  <c r="O607" i="1" s="1"/>
  <c r="G421" i="1"/>
  <c r="I486" i="1" l="1"/>
  <c r="I503" i="1"/>
  <c r="O512" i="1"/>
  <c r="I514" i="1"/>
  <c r="N309" i="1"/>
  <c r="O309" i="1" s="1"/>
  <c r="I495" i="1"/>
  <c r="G519" i="1" s="1"/>
  <c r="H279" i="1"/>
  <c r="I279" i="1" s="1"/>
  <c r="H292" i="1"/>
  <c r="I292" i="1" s="1"/>
  <c r="H285" i="1"/>
  <c r="I285" i="1" s="1"/>
  <c r="H280" i="1"/>
  <c r="I280" i="1" s="1"/>
  <c r="H301" i="1"/>
  <c r="I301" i="1" s="1"/>
  <c r="F317" i="1"/>
  <c r="H310" i="1"/>
  <c r="I310" i="1" s="1"/>
  <c r="F319" i="1"/>
  <c r="F318" i="1"/>
  <c r="H283" i="1"/>
  <c r="I283" i="1" s="1"/>
  <c r="N307" i="1"/>
  <c r="O307" i="1" s="1"/>
  <c r="F521" i="1"/>
  <c r="H291" i="1"/>
  <c r="I291" i="1" s="1"/>
  <c r="F320" i="1"/>
  <c r="H311" i="1"/>
  <c r="I311" i="1" s="1"/>
  <c r="N311" i="1"/>
  <c r="O311" i="1" s="1"/>
  <c r="H281" i="1"/>
  <c r="I281" i="1" s="1"/>
  <c r="H277" i="1"/>
  <c r="I277" i="1" s="1"/>
  <c r="H284" i="1"/>
  <c r="I284" i="1" s="1"/>
  <c r="H294" i="1"/>
  <c r="I294" i="1" s="1"/>
  <c r="H302" i="1"/>
  <c r="I302" i="1" s="1"/>
  <c r="E519" i="1"/>
  <c r="A519" i="1"/>
  <c r="A525" i="1" s="1"/>
  <c r="H313" i="1"/>
  <c r="I313" i="1" s="1"/>
  <c r="H290" i="1"/>
  <c r="I290" i="1" s="1"/>
  <c r="H299" i="1"/>
  <c r="I299" i="1" s="1"/>
  <c r="H300" i="1"/>
  <c r="I300" i="1" s="1"/>
  <c r="N310" i="1"/>
  <c r="O310" i="1" s="1"/>
  <c r="H282" i="1"/>
  <c r="I282" i="1" s="1"/>
  <c r="H278" i="1"/>
  <c r="I278" i="1" s="1"/>
  <c r="H289" i="1"/>
  <c r="N308" i="1"/>
  <c r="O308" i="1" s="1"/>
  <c r="H298" i="1"/>
  <c r="H293" i="1"/>
  <c r="I293" i="1" s="1"/>
  <c r="H312" i="1"/>
  <c r="I312" i="1" s="1"/>
  <c r="J27" i="1"/>
  <c r="F322" i="2" s="1"/>
  <c r="G322" i="2" s="1"/>
  <c r="I431" i="1"/>
  <c r="J431" i="1" s="1"/>
  <c r="I434" i="1"/>
  <c r="J434" i="1" s="1"/>
  <c r="E443" i="1"/>
  <c r="I435" i="1"/>
  <c r="J435" i="1" s="1"/>
  <c r="I586" i="1"/>
  <c r="I432" i="1"/>
  <c r="J432" i="1" s="1"/>
  <c r="I430" i="1"/>
  <c r="J430" i="1" s="1"/>
  <c r="I437" i="1"/>
  <c r="J437" i="1" s="1"/>
  <c r="I433" i="1"/>
  <c r="J433" i="1" s="1"/>
  <c r="I436" i="1"/>
  <c r="J436" i="1" s="1"/>
  <c r="I614" i="1"/>
  <c r="I603" i="1"/>
  <c r="O612" i="1"/>
  <c r="F621" i="1"/>
  <c r="I595" i="1"/>
  <c r="E616" i="1" s="1"/>
  <c r="E617" i="1" s="1"/>
  <c r="E516" i="1"/>
  <c r="E517" i="1" s="1"/>
  <c r="G518" i="1" l="1"/>
  <c r="I314" i="1"/>
  <c r="G520" i="1"/>
  <c r="G517" i="1"/>
  <c r="O312" i="1"/>
  <c r="F321" i="1"/>
  <c r="I286" i="1"/>
  <c r="E320" i="1" s="1"/>
  <c r="I298" i="1"/>
  <c r="I303" i="1" s="1"/>
  <c r="I289" i="1"/>
  <c r="I295" i="1" s="1"/>
  <c r="A619" i="1"/>
  <c r="A625" i="1" s="1"/>
  <c r="E619" i="1"/>
  <c r="E625" i="1" s="1"/>
  <c r="I636" i="1" s="1"/>
  <c r="J636" i="1" s="1"/>
  <c r="F317" i="2"/>
  <c r="G317" i="2" s="1"/>
  <c r="F316" i="2"/>
  <c r="G316" i="2" s="1"/>
  <c r="L316" i="2"/>
  <c r="L322" i="2"/>
  <c r="F319" i="2"/>
  <c r="G319" i="2" s="1"/>
  <c r="L320" i="2"/>
  <c r="F320" i="2"/>
  <c r="G320" i="2" s="1"/>
  <c r="L317" i="2"/>
  <c r="F321" i="2"/>
  <c r="G321" i="2" s="1"/>
  <c r="F318" i="2"/>
  <c r="G318" i="2" s="1"/>
  <c r="F315" i="2"/>
  <c r="G315" i="2" s="1"/>
  <c r="L319" i="2"/>
  <c r="L315" i="2"/>
  <c r="L318" i="2"/>
  <c r="L321" i="2"/>
  <c r="G618" i="1"/>
  <c r="G619" i="1"/>
  <c r="G617" i="1"/>
  <c r="G620" i="1"/>
  <c r="E525" i="1"/>
  <c r="E530" i="1" s="1"/>
  <c r="F530" i="1" s="1"/>
  <c r="F539" i="1" s="1"/>
  <c r="A320" i="1" l="1"/>
  <c r="A325" i="1" s="1"/>
  <c r="G521" i="1"/>
  <c r="E316" i="1"/>
  <c r="E317" i="1" s="1"/>
  <c r="E325" i="1" s="1"/>
  <c r="G318" i="1"/>
  <c r="G317" i="1"/>
  <c r="G319" i="1"/>
  <c r="G320" i="1"/>
  <c r="L324" i="2"/>
  <c r="I328" i="2" s="1"/>
  <c r="G324" i="2"/>
  <c r="F328" i="2" s="1"/>
  <c r="I530" i="1"/>
  <c r="J530" i="1" s="1"/>
  <c r="K530" i="1" s="1"/>
  <c r="K539" i="1" s="1"/>
  <c r="H543" i="1" s="1"/>
  <c r="J32" i="1" s="1"/>
  <c r="I635" i="1"/>
  <c r="J635" i="1" s="1"/>
  <c r="I532" i="1"/>
  <c r="J532" i="1" s="1"/>
  <c r="E543" i="1"/>
  <c r="I534" i="1"/>
  <c r="J534" i="1" s="1"/>
  <c r="I535" i="1"/>
  <c r="J535" i="1" s="1"/>
  <c r="I634" i="1"/>
  <c r="J634" i="1" s="1"/>
  <c r="I637" i="1"/>
  <c r="J637" i="1" s="1"/>
  <c r="I633" i="1"/>
  <c r="J633" i="1" s="1"/>
  <c r="I531" i="1"/>
  <c r="J531" i="1" s="1"/>
  <c r="I537" i="1"/>
  <c r="J537" i="1" s="1"/>
  <c r="I630" i="1"/>
  <c r="J630" i="1" s="1"/>
  <c r="K630" i="1" s="1"/>
  <c r="K639" i="1" s="1"/>
  <c r="H643" i="1" s="1"/>
  <c r="J37" i="1" s="1"/>
  <c r="I631" i="1"/>
  <c r="J631" i="1" s="1"/>
  <c r="I533" i="1"/>
  <c r="J533" i="1" s="1"/>
  <c r="I536" i="1"/>
  <c r="J536" i="1" s="1"/>
  <c r="E630" i="1"/>
  <c r="F630" i="1" s="1"/>
  <c r="F639" i="1" s="1"/>
  <c r="E643" i="1" s="1"/>
  <c r="I632" i="1"/>
  <c r="J632" i="1" s="1"/>
  <c r="G621" i="1"/>
  <c r="I337" i="1" l="1"/>
  <c r="J337" i="1" s="1"/>
  <c r="I333" i="1"/>
  <c r="J333" i="1" s="1"/>
  <c r="I336" i="1"/>
  <c r="J336" i="1" s="1"/>
  <c r="I335" i="1"/>
  <c r="J335" i="1" s="1"/>
  <c r="I330" i="1"/>
  <c r="J330" i="1" s="1"/>
  <c r="K330" i="1" s="1"/>
  <c r="K339" i="1" s="1"/>
  <c r="H343" i="1" s="1"/>
  <c r="E330" i="1"/>
  <c r="F330" i="1" s="1"/>
  <c r="F339" i="1" s="1"/>
  <c r="E343" i="1" s="1"/>
  <c r="I334" i="1"/>
  <c r="J334" i="1" s="1"/>
  <c r="I331" i="1"/>
  <c r="J331" i="1" s="1"/>
  <c r="I332" i="1"/>
  <c r="J332" i="1" s="1"/>
  <c r="G321" i="1"/>
  <c r="L524" i="2"/>
  <c r="F422" i="2"/>
  <c r="G422" i="2" s="1"/>
  <c r="L420" i="2"/>
  <c r="F421" i="2"/>
  <c r="G421" i="2" s="1"/>
  <c r="F420" i="2"/>
  <c r="G420" i="2" s="1"/>
  <c r="L419" i="2"/>
  <c r="L422" i="2"/>
  <c r="L423" i="2"/>
  <c r="L424" i="2"/>
  <c r="L418" i="2"/>
  <c r="F425" i="2"/>
  <c r="G425" i="2" s="1"/>
  <c r="F423" i="2"/>
  <c r="G423" i="2" s="1"/>
  <c r="F424" i="2"/>
  <c r="G424" i="2" s="1"/>
  <c r="F419" i="2"/>
  <c r="G419" i="2" s="1"/>
  <c r="L421" i="2"/>
  <c r="F418" i="2"/>
  <c r="G418" i="2" s="1"/>
  <c r="L522" i="2"/>
  <c r="L521" i="2"/>
  <c r="L527" i="2"/>
  <c r="F524" i="2"/>
  <c r="G524" i="2" s="1"/>
  <c r="F523" i="2"/>
  <c r="G523" i="2" s="1"/>
  <c r="F528" i="2"/>
  <c r="G528" i="2" s="1"/>
  <c r="L523" i="2"/>
  <c r="F527" i="2"/>
  <c r="G527" i="2" s="1"/>
  <c r="F521" i="2"/>
  <c r="G521" i="2" s="1"/>
  <c r="L528" i="2"/>
  <c r="F525" i="2"/>
  <c r="G525" i="2" s="1"/>
  <c r="L526" i="2"/>
  <c r="F522" i="2"/>
  <c r="G522" i="2" s="1"/>
  <c r="L525" i="2"/>
  <c r="F526" i="2"/>
  <c r="G526" i="2" s="1"/>
  <c r="J22" i="1" l="1"/>
  <c r="J67" i="1" s="1"/>
  <c r="G72" i="1" s="1"/>
  <c r="G83" i="1" s="1"/>
  <c r="J85" i="1" s="1"/>
  <c r="J89" i="1" s="1"/>
  <c r="G427" i="2"/>
  <c r="F431" i="2" s="1"/>
  <c r="L427" i="2"/>
  <c r="I431" i="2" s="1"/>
  <c r="G530" i="2"/>
  <c r="F534" i="2" s="1"/>
  <c r="L530" i="2"/>
  <c r="I534" i="2" s="1"/>
  <c r="J84" i="1" l="1"/>
</calcChain>
</file>

<file path=xl/comments1.xml><?xml version="1.0" encoding="utf-8"?>
<comments xmlns="http://schemas.openxmlformats.org/spreadsheetml/2006/main">
  <authors>
    <author>Jo Hermans</author>
  </authors>
  <commentList>
    <comment ref="E17" authorId="0" shapeId="0">
      <text>
        <r>
          <rPr>
            <b/>
            <sz val="8"/>
            <color indexed="81"/>
            <rFont val="Tahoma"/>
            <family val="2"/>
          </rPr>
          <t>Attention:
- seulement pour donation en ligne directe;
- l'avantage doit être demandé explicitement
- seulement pour la part en pleine propriété du donateur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1" authorId="0" shapeId="0">
      <text>
        <r>
          <rPr>
            <sz val="9"/>
            <color indexed="81"/>
            <rFont val="Tahoma"/>
            <family val="2"/>
          </rPr>
          <t>Nom du client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<sst xmlns="http://schemas.openxmlformats.org/spreadsheetml/2006/main" count="797" uniqueCount="125">
  <si>
    <t>Dossier</t>
  </si>
  <si>
    <t>------------------------------------------------------------------------------------------------</t>
  </si>
  <si>
    <t>REEKS 1</t>
  </si>
  <si>
    <t>RL/norm.</t>
  </si>
  <si>
    <t>Totaal loon</t>
  </si>
  <si>
    <t>REEKS 2</t>
  </si>
  <si>
    <t>Br/norm</t>
  </si>
  <si>
    <t>Oom/norm</t>
  </si>
  <si>
    <t>And/norm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</si>
  <si>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</si>
  <si>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</si>
  <si>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</si>
  <si>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</si>
  <si>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</si>
  <si>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</si>
  <si>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</si>
  <si>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</si>
  <si>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</si>
  <si>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</si>
  <si>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</si>
  <si>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</si>
  <si>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</si>
  <si>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REEKS 3</t>
  </si>
  <si>
    <t>REEKS 4</t>
  </si>
  <si>
    <t>REEKS 1 bis</t>
  </si>
  <si>
    <t>RL/voord.</t>
  </si>
  <si>
    <t>Andere</t>
  </si>
  <si>
    <t>begiftigden</t>
  </si>
  <si>
    <t>VG</t>
  </si>
  <si>
    <t>BE</t>
  </si>
  <si>
    <t>VE</t>
  </si>
  <si>
    <t>/</t>
  </si>
  <si>
    <t>Vruchtgebruik:</t>
  </si>
  <si>
    <t>Echtgenoot:</t>
  </si>
  <si>
    <t>Andere:</t>
  </si>
  <si>
    <t>Waarde VOLLEDIG vruchtgebruik derden</t>
  </si>
  <si>
    <t>VRUCHTGEBRUIK DERDE(N)</t>
  </si>
  <si>
    <t>=</t>
  </si>
  <si>
    <t>Vruchtgebruik</t>
  </si>
  <si>
    <t>Waarde OG:</t>
  </si>
  <si>
    <t>RL/voordeel</t>
  </si>
  <si>
    <t>Eventueel vruchtgebruik 100 % begiftigde 1</t>
  </si>
  <si>
    <t>Eventueel vruchtgebruik 100 % begiftigde 1bis</t>
  </si>
  <si>
    <t>Eventueel vruchtgebruik 100 % begiftigde 2</t>
  </si>
  <si>
    <t>Eventueel vruchtgebruik 100 % begiftigde 2bis</t>
  </si>
  <si>
    <t>Eventueel vruchtgebruik 100 % begiftigde 3</t>
  </si>
  <si>
    <t>Eventueel vruchtgebruik 100 % begiftigde 3bis</t>
  </si>
  <si>
    <t>Eventueel vruchtgebruik 100 % begiftigde 4</t>
  </si>
  <si>
    <t>Eventueel vruchtgebruik 100 % begiftigde 4bis</t>
  </si>
  <si>
    <t>Eventueel vruchtgebruik 100 % begiftigde 5</t>
  </si>
  <si>
    <t>Eventueel vruchtgebruik 100 % begiftigde 5bis</t>
  </si>
  <si>
    <t>Eventueel vruchtgebruik 100 % begiftigde 6</t>
  </si>
  <si>
    <t>Eventueel vruchtgebruik 100 % begiftigde 6bis</t>
  </si>
  <si>
    <t>Eventueel vruchtgebruik 100 % begiftigde 7</t>
  </si>
  <si>
    <t>Eventueel vruchtgebruik 100 % begiftigde 7bis</t>
  </si>
  <si>
    <t>Eventueel vruchtgebruik 100 % begiftigde 8</t>
  </si>
  <si>
    <t>Eventueel vruchtgebruik 100 % begiftigde 8bis</t>
  </si>
  <si>
    <t>Eventueel vruchtgebruik 100 % begiftigde 9</t>
  </si>
  <si>
    <t>Eventueel vruchtgebruik 100 % begiftigde 9bis</t>
  </si>
  <si>
    <t>DONATION IMMOBILIERE WALLONIE</t>
  </si>
  <si>
    <t>Client (donateur)</t>
  </si>
  <si>
    <t>Valeur totale en pleine propriété des biens donnés</t>
  </si>
  <si>
    <t>Usufruit --&gt; valeur locative annuelle?</t>
  </si>
  <si>
    <t>Est-ce que l'usufruit appartient à un ou plusieurs tiers?</t>
  </si>
  <si>
    <t>Si oui, quel est son âge (du plus jeune)?</t>
  </si>
  <si>
    <t>Usufruit de quelle part du bien?</t>
  </si>
  <si>
    <t>Valeur de l'usufruit</t>
  </si>
  <si>
    <t>Donation en ligne directe du domicile depuis 5 ans du donateur?</t>
  </si>
  <si>
    <t>Donataire 1</t>
  </si>
  <si>
    <t>* Quote-part dans les biens donnés?</t>
  </si>
  <si>
    <t xml:space="preserve">  * En cas d'usufruit (éventuel), l'âge du donataire?</t>
  </si>
  <si>
    <t>* Quote-part supplémentaire dans les biens donnés?</t>
  </si>
  <si>
    <t>Donataire 2</t>
  </si>
  <si>
    <t>Donataire 3</t>
  </si>
  <si>
    <t>Donataire 4</t>
  </si>
  <si>
    <t>Donataire 5</t>
  </si>
  <si>
    <t>Donataire 6</t>
  </si>
  <si>
    <t>Donataire 7</t>
  </si>
  <si>
    <t>Donataire 8</t>
  </si>
  <si>
    <t>Donataire 9</t>
  </si>
  <si>
    <t>Genre de donation</t>
  </si>
  <si>
    <t>en avancement d'hoirie</t>
  </si>
  <si>
    <t>préciput et hors part</t>
  </si>
  <si>
    <t>US</t>
  </si>
  <si>
    <t>PP</t>
  </si>
  <si>
    <t>NP</t>
  </si>
  <si>
    <t>USEV</t>
  </si>
  <si>
    <t>Enfants -21 j</t>
  </si>
  <si>
    <t>Parenté</t>
  </si>
  <si>
    <t>Valeur</t>
  </si>
  <si>
    <t>Quote-part</t>
  </si>
  <si>
    <t>à charge</t>
  </si>
  <si>
    <t>Enregistrement</t>
  </si>
  <si>
    <t>épou(x)(se)</t>
  </si>
  <si>
    <t>ligne directe</t>
  </si>
  <si>
    <t>frère/soeur</t>
  </si>
  <si>
    <t>oncle-tante/neveu-nièce</t>
  </si>
  <si>
    <t>étrangers</t>
  </si>
  <si>
    <t>oui</t>
  </si>
  <si>
    <t>non</t>
  </si>
  <si>
    <t>Verminderingen wegens minderouirige kinderen van de begiftigden</t>
  </si>
  <si>
    <t>droits d'enregistrement acte</t>
  </si>
  <si>
    <t>droits d'enregistrement annexe(s)</t>
  </si>
  <si>
    <t>transcription (rôles)</t>
  </si>
  <si>
    <t>renseignements urbanistiques</t>
  </si>
  <si>
    <t>droits d'écriture</t>
  </si>
  <si>
    <t>frais divers</t>
  </si>
  <si>
    <t>(TVA)</t>
  </si>
  <si>
    <t>Total frais</t>
  </si>
  <si>
    <t>Total:</t>
  </si>
  <si>
    <t>Total</t>
  </si>
  <si>
    <t>Honoraire</t>
  </si>
  <si>
    <t>Ensemble</t>
  </si>
  <si>
    <t>TVA</t>
  </si>
  <si>
    <t>Décompte donateur</t>
  </si>
  <si>
    <t>Décompte donataire 1</t>
  </si>
  <si>
    <t>Décompte donataire 2</t>
  </si>
  <si>
    <t>Décompte donataire 3</t>
  </si>
  <si>
    <t>Décompte donataire 4</t>
  </si>
  <si>
    <t>Décompte donataire 5</t>
  </si>
  <si>
    <t>Décompte donataire 6</t>
  </si>
  <si>
    <t>Décompte donataire 7</t>
  </si>
  <si>
    <t>Décompte donataire 8</t>
  </si>
  <si>
    <t>Décompte donataire 9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</si>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</sst>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_ ;\-#,##0\ "/>
    <numFmt numFmtId="169" formatCode="0.0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  <numFmt numFmtId="179" formatCode="#,##0.00\ [$EUR];[Red]\-#,##0.00\ [$EUR]"/>
    <numFmt numFmtId="180" formatCode="&quot;€&quot;\ #,##0.00"/>
  </numFmts>
  <fonts count="18" x14ac:knownFonts="1"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b/>
      <sz val="14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 val="singleAccounting"/>
      <sz val="10"/>
      <name val="Arial"/>
      <family val="2"/>
    </font>
    <font>
      <sz val="11"/>
      <color theme="1"/>
      <name val="Calibri"/>
      <family val="2"/>
      <scheme val="minor"/>
    </font>
    <font>
      <b/>
      <sz val="16"/>
      <color theme="0"/>
      <name val="Arial"/>
      <family val="2"/>
    </font>
    <font>
      <b/>
      <sz val="10"/>
      <color theme="0"/>
      <name val="Arial"/>
      <family val="2"/>
    </font>
    <font>
      <sz val="9"/>
      <color indexed="81"/>
      <name val="Tahoma"/>
      <family val="2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B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170" fontId="8" fillId="0" borderId="0">
      <protection locked="0"/>
    </xf>
    <xf numFmtId="171" fontId="2" fillId="0" borderId="0" applyFont="0" applyFill="0" applyBorder="0" applyAlignment="0" applyProtection="0"/>
    <xf numFmtId="172" fontId="8" fillId="0" borderId="0">
      <protection locked="0"/>
    </xf>
    <xf numFmtId="173" fontId="2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9" fontId="2" fillId="0" borderId="0" applyFont="0" applyFill="0" applyBorder="0" applyAlignment="0" applyProtection="0"/>
    <xf numFmtId="0" fontId="10" fillId="0" borderId="0"/>
    <xf numFmtId="0" fontId="14" fillId="0" borderId="0"/>
    <xf numFmtId="0" fontId="1" fillId="0" borderId="0"/>
    <xf numFmtId="0" fontId="2" fillId="0" borderId="0"/>
    <xf numFmtId="0" fontId="14" fillId="0" borderId="0"/>
    <xf numFmtId="176" fontId="8" fillId="0" borderId="1">
      <protection locked="0"/>
    </xf>
  </cellStyleXfs>
  <cellXfs count="175">
    <xf numFmtId="0" fontId="0" fillId="0" borderId="0" xfId="0"/>
    <xf numFmtId="0" fontId="3" fillId="5" borderId="0" xfId="0" applyFont="1" applyFill="1" applyBorder="1" applyAlignment="1" applyProtection="1">
      <alignment horizontal="center"/>
      <protection hidden="1"/>
    </xf>
    <xf numFmtId="0" fontId="3" fillId="5" borderId="0" xfId="0" applyFont="1" applyFill="1" applyBorder="1" applyAlignment="1" applyProtection="1">
      <alignment horizontal="left"/>
      <protection hidden="1"/>
    </xf>
    <xf numFmtId="0" fontId="0" fillId="5" borderId="0" xfId="0" applyNumberFormat="1" applyFill="1" applyBorder="1" applyAlignment="1" applyProtection="1">
      <protection hidden="1"/>
    </xf>
    <xf numFmtId="166" fontId="0" fillId="5" borderId="0" xfId="0" applyNumberFormat="1" applyFill="1" applyBorder="1" applyAlignment="1" applyProtection="1">
      <protection hidden="1"/>
    </xf>
    <xf numFmtId="0" fontId="0" fillId="5" borderId="0" xfId="0" applyFill="1" applyBorder="1" applyProtection="1">
      <protection hidden="1"/>
    </xf>
    <xf numFmtId="0" fontId="2" fillId="5" borderId="0" xfId="0" applyFont="1" applyFill="1" applyBorder="1" applyAlignment="1" applyProtection="1">
      <alignment horizontal="left"/>
      <protection hidden="1"/>
    </xf>
    <xf numFmtId="0" fontId="0" fillId="5" borderId="0" xfId="0" applyFill="1" applyBorder="1" applyAlignment="1" applyProtection="1">
      <alignment horizontal="left"/>
      <protection hidden="1"/>
    </xf>
    <xf numFmtId="0" fontId="6" fillId="5" borderId="0" xfId="0" applyFont="1" applyFill="1" applyBorder="1" applyAlignment="1" applyProtection="1">
      <alignment horizontal="center"/>
      <protection hidden="1"/>
    </xf>
    <xf numFmtId="166" fontId="13" fillId="5" borderId="0" xfId="0" applyNumberFormat="1" applyFont="1" applyFill="1" applyBorder="1" applyAlignment="1" applyProtection="1">
      <alignment horizontal="center"/>
      <protection hidden="1"/>
    </xf>
    <xf numFmtId="10" fontId="2" fillId="5" borderId="0" xfId="0" applyNumberFormat="1" applyFont="1" applyFill="1" applyBorder="1" applyAlignment="1" applyProtection="1">
      <alignment horizontal="center"/>
      <protection hidden="1"/>
    </xf>
    <xf numFmtId="166" fontId="0" fillId="5" borderId="0" xfId="0" applyNumberFormat="1" applyFill="1" applyBorder="1" applyAlignment="1" applyProtection="1">
      <alignment horizontal="left"/>
      <protection hidden="1"/>
    </xf>
    <xf numFmtId="10" fontId="0" fillId="5" borderId="0" xfId="0" applyNumberFormat="1" applyFill="1" applyBorder="1" applyAlignment="1" applyProtection="1">
      <protection hidden="1"/>
    </xf>
    <xf numFmtId="178" fontId="0" fillId="5" borderId="0" xfId="0" applyNumberFormat="1" applyFill="1" applyBorder="1" applyAlignment="1" applyProtection="1">
      <protection hidden="1"/>
    </xf>
    <xf numFmtId="1" fontId="0" fillId="5" borderId="0" xfId="0" applyNumberFormat="1" applyFill="1" applyBorder="1" applyAlignment="1" applyProtection="1">
      <alignment horizontal="center"/>
      <protection hidden="1"/>
    </xf>
    <xf numFmtId="10" fontId="0" fillId="5" borderId="0" xfId="0" applyNumberFormat="1" applyFill="1" applyBorder="1" applyProtection="1">
      <protection hidden="1"/>
    </xf>
    <xf numFmtId="1" fontId="0" fillId="5" borderId="0" xfId="0" applyNumberFormat="1" applyFill="1" applyAlignment="1" applyProtection="1">
      <alignment horizontal="center"/>
      <protection hidden="1"/>
    </xf>
    <xf numFmtId="0" fontId="0" fillId="5" borderId="0" xfId="0" applyFill="1" applyProtection="1">
      <protection hidden="1"/>
    </xf>
    <xf numFmtId="0" fontId="0" fillId="5" borderId="0" xfId="0" applyFill="1" applyBorder="1" applyAlignment="1" applyProtection="1">
      <alignment horizontal="center"/>
      <protection hidden="1"/>
    </xf>
    <xf numFmtId="166" fontId="2" fillId="5" borderId="0" xfId="0" applyNumberFormat="1" applyFont="1" applyFill="1" applyBorder="1" applyAlignment="1" applyProtection="1">
      <protection hidden="1"/>
    </xf>
    <xf numFmtId="178" fontId="0" fillId="5" borderId="0" xfId="0" applyNumberFormat="1" applyFill="1" applyBorder="1" applyProtection="1">
      <protection hidden="1"/>
    </xf>
    <xf numFmtId="10" fontId="0" fillId="5" borderId="0" xfId="0" applyNumberFormat="1" applyFill="1" applyBorder="1" applyAlignment="1" applyProtection="1">
      <alignment horizontal="center"/>
      <protection hidden="1"/>
    </xf>
    <xf numFmtId="179" fontId="0" fillId="5" borderId="0" xfId="0" applyNumberFormat="1" applyFill="1" applyBorder="1" applyProtection="1">
      <protection hidden="1"/>
    </xf>
    <xf numFmtId="1" fontId="0" fillId="5" borderId="0" xfId="0" applyNumberFormat="1" applyFill="1" applyBorder="1" applyAlignment="1" applyProtection="1">
      <alignment horizontal="right"/>
      <protection hidden="1"/>
    </xf>
    <xf numFmtId="0" fontId="3" fillId="5" borderId="0" xfId="0" quotePrefix="1" applyFont="1" applyFill="1" applyBorder="1" applyAlignment="1" applyProtection="1">
      <alignment horizontal="left"/>
      <protection hidden="1"/>
    </xf>
    <xf numFmtId="167" fontId="0" fillId="5" borderId="0" xfId="0" applyNumberFormat="1" applyFill="1" applyBorder="1" applyAlignment="1" applyProtection="1">
      <alignment horizontal="right"/>
      <protection hidden="1"/>
    </xf>
    <xf numFmtId="178" fontId="0" fillId="5" borderId="0" xfId="0" applyNumberFormat="1" applyFill="1" applyBorder="1" applyAlignment="1" applyProtection="1">
      <alignment horizontal="right"/>
      <protection hidden="1"/>
    </xf>
    <xf numFmtId="178" fontId="4" fillId="5" borderId="0" xfId="0" applyNumberFormat="1" applyFont="1" applyFill="1" applyBorder="1" applyAlignment="1" applyProtection="1">
      <alignment horizontal="right"/>
      <protection hidden="1"/>
    </xf>
    <xf numFmtId="4" fontId="0" fillId="5" borderId="0" xfId="0" applyNumberFormat="1" applyFill="1" applyBorder="1" applyProtection="1">
      <protection hidden="1"/>
    </xf>
    <xf numFmtId="4" fontId="0" fillId="5" borderId="0" xfId="0" applyNumberFormat="1" applyFill="1" applyBorder="1" applyAlignment="1" applyProtection="1">
      <alignment horizontal="center"/>
      <protection hidden="1"/>
    </xf>
    <xf numFmtId="4" fontId="5" fillId="5" borderId="0" xfId="9" applyNumberFormat="1" applyFill="1" applyBorder="1" applyAlignment="1" applyProtection="1">
      <protection hidden="1"/>
    </xf>
    <xf numFmtId="4" fontId="2" fillId="5" borderId="0" xfId="0" applyNumberFormat="1" applyFont="1" applyFill="1" applyBorder="1" applyProtection="1">
      <protection hidden="1"/>
    </xf>
    <xf numFmtId="4" fontId="2" fillId="5" borderId="0" xfId="0" applyNumberFormat="1" applyFont="1" applyFill="1" applyBorder="1" applyAlignment="1" applyProtection="1">
      <alignment horizontal="center"/>
      <protection hidden="1"/>
    </xf>
    <xf numFmtId="4" fontId="2" fillId="5" borderId="0" xfId="11" applyNumberFormat="1" applyFont="1" applyFill="1" applyBorder="1" applyProtection="1">
      <protection hidden="1"/>
    </xf>
    <xf numFmtId="169" fontId="2" fillId="5" borderId="0" xfId="11" applyNumberFormat="1" applyFont="1" applyFill="1" applyBorder="1" applyProtection="1">
      <protection hidden="1"/>
    </xf>
    <xf numFmtId="1" fontId="2" fillId="5" borderId="0" xfId="11" applyNumberFormat="1" applyFont="1" applyFill="1" applyBorder="1" applyProtection="1">
      <protection hidden="1"/>
    </xf>
    <xf numFmtId="4" fontId="7" fillId="5" borderId="0" xfId="11" applyNumberFormat="1" applyFont="1" applyFill="1" applyBorder="1" applyAlignment="1" applyProtection="1">
      <alignment horizontal="center"/>
      <protection hidden="1"/>
    </xf>
    <xf numFmtId="169" fontId="7" fillId="5" borderId="0" xfId="11" applyNumberFormat="1" applyFont="1" applyFill="1" applyBorder="1" applyAlignment="1" applyProtection="1">
      <alignment horizontal="center"/>
      <protection hidden="1"/>
    </xf>
    <xf numFmtId="13" fontId="0" fillId="5" borderId="0" xfId="0" applyNumberFormat="1" applyFill="1" applyBorder="1" applyProtection="1">
      <protection hidden="1"/>
    </xf>
    <xf numFmtId="2" fontId="0" fillId="5" borderId="0" xfId="0" applyNumberFormat="1" applyFill="1" applyBorder="1" applyProtection="1">
      <protection hidden="1"/>
    </xf>
    <xf numFmtId="2" fontId="0" fillId="5" borderId="3" xfId="0" applyNumberFormat="1" applyFill="1" applyBorder="1" applyProtection="1">
      <protection hidden="1"/>
    </xf>
    <xf numFmtId="0" fontId="0" fillId="5" borderId="3" xfId="0" applyFill="1" applyBorder="1" applyProtection="1">
      <protection hidden="1"/>
    </xf>
    <xf numFmtId="0" fontId="0" fillId="5" borderId="3" xfId="0" applyFill="1" applyBorder="1" applyAlignment="1" applyProtection="1">
      <alignment horizontal="center"/>
      <protection hidden="1"/>
    </xf>
    <xf numFmtId="4" fontId="6" fillId="5" borderId="0" xfId="0" applyNumberFormat="1" applyFont="1" applyFill="1" applyBorder="1" applyProtection="1">
      <protection hidden="1"/>
    </xf>
    <xf numFmtId="4" fontId="3" fillId="5" borderId="0" xfId="0" applyNumberFormat="1" applyFont="1" applyFill="1" applyBorder="1" applyAlignment="1" applyProtection="1">
      <alignment horizontal="center"/>
      <protection hidden="1"/>
    </xf>
    <xf numFmtId="4" fontId="2" fillId="5" borderId="0" xfId="0" quotePrefix="1" applyNumberFormat="1" applyFont="1" applyFill="1" applyBorder="1" applyAlignment="1" applyProtection="1">
      <alignment horizontal="left"/>
      <protection hidden="1"/>
    </xf>
    <xf numFmtId="4" fontId="2" fillId="5" borderId="0" xfId="0" applyNumberFormat="1" applyFont="1" applyFill="1" applyBorder="1" applyAlignment="1" applyProtection="1">
      <alignment horizontal="left"/>
      <protection hidden="1"/>
    </xf>
    <xf numFmtId="164" fontId="0" fillId="5" borderId="0" xfId="0" applyNumberFormat="1" applyFill="1" applyBorder="1" applyProtection="1">
      <protection hidden="1"/>
    </xf>
    <xf numFmtId="0" fontId="15" fillId="6" borderId="4" xfId="0" applyFont="1" applyFill="1" applyBorder="1" applyAlignment="1" applyProtection="1">
      <alignment horizontal="left"/>
      <protection hidden="1"/>
    </xf>
    <xf numFmtId="0" fontId="16" fillId="6" borderId="4" xfId="0" applyFont="1" applyFill="1" applyBorder="1" applyAlignment="1" applyProtection="1">
      <alignment horizontal="left"/>
      <protection hidden="1"/>
    </xf>
    <xf numFmtId="0" fontId="16" fillId="6" borderId="0" xfId="0" applyFont="1" applyFill="1" applyBorder="1" applyAlignment="1" applyProtection="1">
      <alignment horizontal="center"/>
      <protection hidden="1"/>
    </xf>
    <xf numFmtId="0" fontId="16" fillId="6" borderId="0" xfId="0" applyFont="1" applyFill="1" applyBorder="1" applyAlignment="1" applyProtection="1">
      <alignment horizontal="left"/>
      <protection hidden="1"/>
    </xf>
    <xf numFmtId="0" fontId="0" fillId="7" borderId="2" xfId="0" applyFill="1" applyBorder="1" applyAlignment="1" applyProtection="1">
      <alignment horizontal="left"/>
      <protection hidden="1"/>
    </xf>
    <xf numFmtId="178" fontId="0" fillId="8" borderId="5" xfId="0" applyNumberFormat="1" applyFill="1" applyBorder="1" applyAlignment="1" applyProtection="1">
      <alignment horizontal="right"/>
      <protection hidden="1"/>
    </xf>
    <xf numFmtId="0" fontId="3" fillId="5" borderId="0" xfId="0" applyNumberFormat="1" applyFont="1" applyFill="1" applyBorder="1" applyAlignment="1" applyProtection="1">
      <alignment horizontal="center"/>
      <protection hidden="1"/>
    </xf>
    <xf numFmtId="0" fontId="3" fillId="5" borderId="0" xfId="0" applyNumberFormat="1" applyFont="1" applyFill="1" applyBorder="1" applyAlignment="1" applyProtection="1">
      <alignment horizontal="left"/>
      <protection hidden="1"/>
    </xf>
    <xf numFmtId="0" fontId="3" fillId="9" borderId="0" xfId="0" applyNumberFormat="1" applyFont="1" applyFill="1" applyBorder="1" applyAlignment="1" applyProtection="1">
      <alignment horizontal="center"/>
      <protection hidden="1"/>
    </xf>
    <xf numFmtId="164" fontId="2" fillId="5" borderId="0" xfId="0" applyNumberFormat="1" applyFont="1" applyFill="1" applyBorder="1" applyAlignment="1" applyProtection="1">
      <alignment horizontal="right"/>
      <protection hidden="1"/>
    </xf>
    <xf numFmtId="164" fontId="0" fillId="5" borderId="0" xfId="0" applyNumberFormat="1" applyFill="1" applyBorder="1" applyAlignment="1" applyProtection="1">
      <alignment horizontal="center"/>
      <protection hidden="1"/>
    </xf>
    <xf numFmtId="0" fontId="0" fillId="7" borderId="2" xfId="0" applyFill="1" applyBorder="1" applyAlignment="1" applyProtection="1">
      <alignment horizontal="center"/>
      <protection hidden="1"/>
    </xf>
    <xf numFmtId="0" fontId="3" fillId="10" borderId="0" xfId="0" applyNumberFormat="1" applyFont="1" applyFill="1" applyBorder="1" applyAlignment="1" applyProtection="1">
      <alignment horizontal="center"/>
      <protection hidden="1"/>
    </xf>
    <xf numFmtId="168" fontId="3" fillId="5" borderId="0" xfId="0" applyNumberFormat="1" applyFont="1" applyFill="1" applyBorder="1" applyAlignment="1" applyProtection="1">
      <alignment horizontal="center"/>
      <protection hidden="1"/>
    </xf>
    <xf numFmtId="165" fontId="3" fillId="7" borderId="2" xfId="0" applyNumberFormat="1" applyFont="1" applyFill="1" applyBorder="1" applyAlignment="1" applyProtection="1">
      <alignment horizontal="center"/>
      <protection hidden="1"/>
    </xf>
    <xf numFmtId="165" fontId="2" fillId="7" borderId="2" xfId="0" applyNumberFormat="1" applyFont="1" applyFill="1" applyBorder="1" applyAlignment="1" applyProtection="1">
      <alignment horizontal="left"/>
      <protection hidden="1"/>
    </xf>
    <xf numFmtId="168" fontId="2" fillId="5" borderId="0" xfId="0" applyNumberFormat="1" applyFont="1" applyFill="1" applyBorder="1" applyAlignment="1" applyProtection="1">
      <alignment horizontal="center"/>
      <protection hidden="1"/>
    </xf>
    <xf numFmtId="0" fontId="3" fillId="10" borderId="0" xfId="0" applyNumberFormat="1" applyFont="1" applyFill="1" applyBorder="1" applyAlignment="1" applyProtection="1">
      <alignment horizontal="left"/>
      <protection locked="0"/>
    </xf>
    <xf numFmtId="0" fontId="3" fillId="9" borderId="0" xfId="0" applyNumberFormat="1" applyFont="1" applyFill="1" applyBorder="1" applyAlignment="1" applyProtection="1">
      <alignment horizontal="left"/>
      <protection locked="0"/>
    </xf>
    <xf numFmtId="164" fontId="0" fillId="11" borderId="0" xfId="0" applyNumberFormat="1" applyFill="1" applyBorder="1" applyAlignment="1" applyProtection="1">
      <alignment horizontal="center"/>
      <protection locked="0"/>
    </xf>
    <xf numFmtId="164" fontId="0" fillId="12" borderId="0" xfId="0" applyNumberFormat="1" applyFill="1" applyBorder="1" applyAlignment="1" applyProtection="1">
      <alignment horizontal="center"/>
      <protection locked="0"/>
    </xf>
    <xf numFmtId="0" fontId="0" fillId="10" borderId="0" xfId="0" applyFill="1" applyBorder="1" applyAlignment="1" applyProtection="1">
      <alignment horizontal="center"/>
      <protection locked="0"/>
    </xf>
    <xf numFmtId="1" fontId="0" fillId="9" borderId="0" xfId="0" applyNumberFormat="1" applyFill="1" applyBorder="1" applyAlignment="1" applyProtection="1">
      <alignment horizontal="center"/>
      <protection locked="0"/>
    </xf>
    <xf numFmtId="0" fontId="0" fillId="7" borderId="2" xfId="0" applyNumberFormat="1" applyFill="1" applyBorder="1" applyAlignment="1" applyProtection="1">
      <alignment horizontal="left"/>
      <protection locked="0"/>
    </xf>
    <xf numFmtId="1" fontId="3" fillId="10" borderId="0" xfId="0" applyNumberFormat="1" applyFont="1" applyFill="1" applyBorder="1" applyAlignment="1" applyProtection="1">
      <alignment horizontal="right"/>
      <protection locked="0"/>
    </xf>
    <xf numFmtId="0" fontId="0" fillId="9" borderId="0" xfId="0" applyFill="1" applyBorder="1" applyAlignment="1" applyProtection="1">
      <alignment horizontal="left"/>
      <protection locked="0"/>
    </xf>
    <xf numFmtId="168" fontId="2" fillId="12" borderId="0" xfId="0" applyNumberFormat="1" applyFont="1" applyFill="1" applyBorder="1" applyAlignment="1" applyProtection="1">
      <alignment horizontal="right"/>
      <protection locked="0"/>
    </xf>
    <xf numFmtId="0" fontId="2" fillId="7" borderId="2" xfId="0" applyNumberFormat="1" applyFont="1" applyFill="1" applyBorder="1" applyAlignment="1" applyProtection="1">
      <alignment horizontal="left"/>
      <protection locked="0"/>
    </xf>
    <xf numFmtId="0" fontId="2" fillId="10" borderId="0" xfId="0" applyFont="1" applyFill="1" applyBorder="1" applyAlignment="1" applyProtection="1">
      <alignment horizontal="center"/>
      <protection locked="0"/>
    </xf>
    <xf numFmtId="1" fontId="0" fillId="10" borderId="0" xfId="0" applyNumberFormat="1" applyFill="1" applyBorder="1" applyAlignment="1" applyProtection="1">
      <alignment horizontal="center"/>
      <protection locked="0"/>
    </xf>
    <xf numFmtId="1" fontId="0" fillId="10" borderId="0" xfId="0" applyNumberFormat="1" applyFill="1" applyAlignment="1" applyProtection="1">
      <alignment horizontal="center"/>
      <protection locked="0"/>
    </xf>
    <xf numFmtId="178" fontId="0" fillId="10" borderId="0" xfId="0" applyNumberFormat="1" applyFill="1" applyBorder="1" applyAlignment="1" applyProtection="1">
      <alignment horizontal="right"/>
      <protection locked="0"/>
    </xf>
    <xf numFmtId="3" fontId="5" fillId="5" borderId="0" xfId="9" applyNumberFormat="1" applyFill="1" applyBorder="1" applyAlignment="1" applyProtection="1"/>
    <xf numFmtId="4" fontId="0" fillId="5" borderId="0" xfId="0" applyNumberFormat="1" applyFill="1" applyBorder="1" applyAlignment="1" applyProtection="1">
      <alignment horizontal="center"/>
    </xf>
    <xf numFmtId="0" fontId="0" fillId="5" borderId="0" xfId="0" applyFill="1" applyBorder="1" applyProtection="1"/>
    <xf numFmtId="4" fontId="5" fillId="5" borderId="0" xfId="9" applyNumberFormat="1" applyFill="1" applyBorder="1" applyAlignment="1" applyProtection="1"/>
    <xf numFmtId="166" fontId="0" fillId="2" borderId="0" xfId="0" applyNumberFormat="1" applyFont="1" applyFill="1" applyBorder="1" applyAlignment="1" applyProtection="1">
      <alignment horizontal="left"/>
      <protection hidden="1"/>
    </xf>
    <xf numFmtId="166" fontId="2" fillId="2" borderId="0" xfId="0" applyNumberFormat="1" applyFont="1" applyFill="1" applyBorder="1" applyAlignment="1" applyProtection="1">
      <alignment horizontal="left"/>
      <protection hidden="1"/>
    </xf>
    <xf numFmtId="0" fontId="2" fillId="2" borderId="0" xfId="0" applyFont="1" applyFill="1" applyBorder="1" applyProtection="1">
      <protection hidden="1"/>
    </xf>
    <xf numFmtId="0" fontId="2" fillId="14" borderId="0" xfId="0" applyFont="1" applyFill="1" applyBorder="1" applyProtection="1">
      <protection hidden="1"/>
    </xf>
    <xf numFmtId="0" fontId="2" fillId="5" borderId="0" xfId="0" applyFont="1" applyFill="1" applyBorder="1" applyProtection="1">
      <protection hidden="1"/>
    </xf>
    <xf numFmtId="164" fontId="2" fillId="2" borderId="0" xfId="0" applyNumberFormat="1" applyFont="1" applyFill="1" applyBorder="1" applyAlignment="1" applyProtection="1">
      <alignment horizontal="center"/>
      <protection hidden="1"/>
    </xf>
    <xf numFmtId="178" fontId="2" fillId="16" borderId="0" xfId="0" applyNumberFormat="1" applyFont="1" applyFill="1" applyBorder="1" applyProtection="1">
      <protection hidden="1"/>
    </xf>
    <xf numFmtId="4" fontId="0" fillId="17" borderId="0" xfId="0" applyNumberFormat="1" applyFont="1" applyFill="1" applyBorder="1" applyProtection="1">
      <protection hidden="1"/>
    </xf>
    <xf numFmtId="0" fontId="2" fillId="17" borderId="0" xfId="0" applyFont="1" applyFill="1" applyBorder="1" applyProtection="1">
      <protection hidden="1"/>
    </xf>
    <xf numFmtId="0" fontId="0" fillId="18" borderId="0" xfId="0" applyFont="1" applyFill="1" applyBorder="1" applyProtection="1">
      <protection hidden="1"/>
    </xf>
    <xf numFmtId="0" fontId="2" fillId="15" borderId="0" xfId="0" applyFont="1" applyFill="1" applyBorder="1" applyProtection="1">
      <protection hidden="1"/>
    </xf>
    <xf numFmtId="4" fontId="2" fillId="15" borderId="0" xfId="0" applyNumberFormat="1" applyFont="1" applyFill="1" applyBorder="1" applyProtection="1">
      <protection hidden="1"/>
    </xf>
    <xf numFmtId="4" fontId="0" fillId="15" borderId="0" xfId="0" applyNumberFormat="1" applyFont="1" applyFill="1" applyBorder="1" applyProtection="1">
      <protection hidden="1"/>
    </xf>
    <xf numFmtId="4" fontId="2" fillId="2" borderId="0" xfId="0" quotePrefix="1" applyNumberFormat="1" applyFont="1" applyFill="1" applyBorder="1" applyProtection="1">
      <protection hidden="1"/>
    </xf>
    <xf numFmtId="4" fontId="0" fillId="2" borderId="0" xfId="0" applyNumberFormat="1" applyFont="1" applyFill="1" applyBorder="1" applyAlignment="1" applyProtection="1">
      <protection hidden="1"/>
    </xf>
    <xf numFmtId="4" fontId="2" fillId="18" borderId="0" xfId="0" applyNumberFormat="1" applyFont="1" applyFill="1" applyBorder="1" applyProtection="1">
      <protection hidden="1"/>
    </xf>
    <xf numFmtId="4" fontId="2" fillId="17" borderId="0" xfId="0" applyNumberFormat="1" applyFont="1" applyFill="1" applyBorder="1" applyProtection="1">
      <protection hidden="1"/>
    </xf>
    <xf numFmtId="9" fontId="2" fillId="2" borderId="0" xfId="0" applyNumberFormat="1" applyFont="1" applyFill="1" applyBorder="1" applyProtection="1">
      <protection hidden="1"/>
    </xf>
    <xf numFmtId="0" fontId="0" fillId="2" borderId="0" xfId="0" applyFont="1" applyFill="1" applyBorder="1" applyProtection="1">
      <protection hidden="1"/>
    </xf>
    <xf numFmtId="4" fontId="3" fillId="2" borderId="0" xfId="0" applyNumberFormat="1" applyFont="1" applyFill="1" applyBorder="1" applyProtection="1">
      <protection hidden="1"/>
    </xf>
    <xf numFmtId="4" fontId="0" fillId="2" borderId="0" xfId="0" applyNumberFormat="1" applyFont="1" applyFill="1" applyBorder="1" applyProtection="1">
      <protection hidden="1"/>
    </xf>
    <xf numFmtId="168" fontId="2" fillId="16" borderId="0" xfId="0" applyNumberFormat="1" applyFont="1" applyFill="1" applyBorder="1" applyAlignment="1" applyProtection="1">
      <alignment horizontal="right"/>
      <protection locked="0"/>
    </xf>
    <xf numFmtId="1" fontId="3" fillId="3" borderId="0" xfId="0" applyNumberFormat="1" applyFont="1" applyFill="1" applyBorder="1" applyAlignment="1" applyProtection="1">
      <alignment horizontal="right"/>
      <protection locked="0" hidden="1"/>
    </xf>
    <xf numFmtId="0" fontId="3" fillId="3" borderId="0" xfId="0" applyNumberFormat="1" applyFont="1" applyFill="1" applyBorder="1" applyAlignment="1" applyProtection="1">
      <alignment horizontal="center"/>
      <protection hidden="1"/>
    </xf>
    <xf numFmtId="0" fontId="3" fillId="3" borderId="0" xfId="0" applyNumberFormat="1" applyFont="1" applyFill="1" applyBorder="1" applyAlignment="1" applyProtection="1">
      <alignment horizontal="left"/>
      <protection locked="0" hidden="1"/>
    </xf>
    <xf numFmtId="178" fontId="2" fillId="5" borderId="0" xfId="0" applyNumberFormat="1" applyFont="1" applyFill="1" applyBorder="1" applyProtection="1">
      <protection hidden="1"/>
    </xf>
    <xf numFmtId="10" fontId="2" fillId="2" borderId="0" xfId="0" applyNumberFormat="1" applyFont="1" applyFill="1" applyBorder="1" applyAlignment="1" applyProtection="1">
      <protection hidden="1"/>
    </xf>
    <xf numFmtId="10" fontId="2" fillId="2" borderId="0" xfId="0" applyNumberFormat="1" applyFont="1" applyFill="1" applyBorder="1" applyProtection="1">
      <protection hidden="1"/>
    </xf>
    <xf numFmtId="178" fontId="2" fillId="2" borderId="0" xfId="0" applyNumberFormat="1" applyFont="1" applyFill="1" applyBorder="1" applyAlignment="1" applyProtection="1">
      <protection hidden="1"/>
    </xf>
    <xf numFmtId="168" fontId="2" fillId="4" borderId="0" xfId="0" applyNumberFormat="1" applyFont="1" applyFill="1" applyBorder="1" applyAlignment="1" applyProtection="1">
      <alignment horizontal="right"/>
      <protection hidden="1"/>
    </xf>
    <xf numFmtId="178" fontId="2" fillId="2" borderId="0" xfId="0" applyNumberFormat="1" applyFont="1" applyFill="1" applyBorder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0" fillId="19" borderId="0" xfId="0" applyFont="1" applyFill="1" applyBorder="1" applyProtection="1">
      <protection hidden="1"/>
    </xf>
    <xf numFmtId="4" fontId="2" fillId="19" borderId="0" xfId="0" applyNumberFormat="1" applyFont="1" applyFill="1" applyBorder="1" applyProtection="1">
      <protection hidden="1"/>
    </xf>
    <xf numFmtId="4" fontId="2" fillId="2" borderId="0" xfId="0" applyNumberFormat="1" applyFont="1" applyFill="1" applyBorder="1" applyProtection="1">
      <protection hidden="1"/>
    </xf>
    <xf numFmtId="2" fontId="2" fillId="2" borderId="0" xfId="0" applyNumberFormat="1" applyFont="1" applyFill="1" applyBorder="1" applyProtection="1">
      <protection hidden="1"/>
    </xf>
    <xf numFmtId="4" fontId="2" fillId="2" borderId="0" xfId="11" applyNumberFormat="1" applyFont="1" applyFill="1" applyBorder="1" applyProtection="1">
      <protection hidden="1"/>
    </xf>
    <xf numFmtId="4" fontId="2" fillId="2" borderId="0" xfId="0" quotePrefix="1" applyNumberFormat="1" applyFont="1" applyFill="1" applyBorder="1" applyAlignment="1" applyProtection="1">
      <alignment horizontal="left"/>
      <protection hidden="1"/>
    </xf>
    <xf numFmtId="4" fontId="0" fillId="20" borderId="0" xfId="0" applyNumberFormat="1" applyFill="1" applyBorder="1" applyProtection="1">
      <protection hidden="1"/>
    </xf>
    <xf numFmtId="13" fontId="2" fillId="2" borderId="0" xfId="0" applyNumberFormat="1" applyFont="1" applyFill="1" applyBorder="1" applyProtection="1">
      <protection hidden="1"/>
    </xf>
    <xf numFmtId="0" fontId="2" fillId="2" borderId="0" xfId="0" applyFont="1" applyFill="1" applyBorder="1" applyAlignment="1" applyProtection="1">
      <alignment horizontal="center"/>
      <protection hidden="1"/>
    </xf>
    <xf numFmtId="2" fontId="2" fillId="14" borderId="0" xfId="0" applyNumberFormat="1" applyFont="1" applyFill="1" applyBorder="1" applyProtection="1">
      <protection hidden="1"/>
    </xf>
    <xf numFmtId="0" fontId="2" fillId="14" borderId="0" xfId="0" applyFont="1" applyFill="1" applyBorder="1" applyAlignment="1" applyProtection="1">
      <alignment horizontal="center"/>
      <protection hidden="1"/>
    </xf>
    <xf numFmtId="2" fontId="2" fillId="21" borderId="0" xfId="0" applyNumberFormat="1" applyFont="1" applyFill="1" applyBorder="1" applyProtection="1">
      <protection hidden="1"/>
    </xf>
    <xf numFmtId="0" fontId="2" fillId="21" borderId="0" xfId="0" applyFont="1" applyFill="1" applyBorder="1" applyProtection="1">
      <protection hidden="1"/>
    </xf>
    <xf numFmtId="0" fontId="2" fillId="21" borderId="0" xfId="0" applyFont="1" applyFill="1" applyBorder="1" applyAlignment="1" applyProtection="1">
      <alignment horizontal="center"/>
      <protection hidden="1"/>
    </xf>
    <xf numFmtId="2" fontId="2" fillId="14" borderId="3" xfId="0" applyNumberFormat="1" applyFont="1" applyFill="1" applyBorder="1" applyProtection="1">
      <protection hidden="1"/>
    </xf>
    <xf numFmtId="0" fontId="2" fillId="14" borderId="3" xfId="0" applyFont="1" applyFill="1" applyBorder="1" applyProtection="1">
      <protection hidden="1"/>
    </xf>
    <xf numFmtId="0" fontId="2" fillId="14" borderId="3" xfId="0" applyFont="1" applyFill="1" applyBorder="1" applyAlignment="1" applyProtection="1">
      <alignment horizontal="center"/>
      <protection hidden="1"/>
    </xf>
    <xf numFmtId="0" fontId="2" fillId="22" borderId="0" xfId="0" applyFont="1" applyFill="1" applyBorder="1" applyProtection="1">
      <protection hidden="1"/>
    </xf>
    <xf numFmtId="2" fontId="2" fillId="23" borderId="0" xfId="0" applyNumberFormat="1" applyFont="1" applyFill="1" applyBorder="1" applyProtection="1">
      <protection hidden="1"/>
    </xf>
    <xf numFmtId="0" fontId="2" fillId="23" borderId="0" xfId="0" applyFont="1" applyFill="1" applyBorder="1" applyProtection="1">
      <protection hidden="1"/>
    </xf>
    <xf numFmtId="0" fontId="2" fillId="23" borderId="0" xfId="0" applyFont="1" applyFill="1" applyBorder="1" applyAlignment="1" applyProtection="1">
      <alignment horizontal="center"/>
      <protection hidden="1"/>
    </xf>
    <xf numFmtId="0" fontId="2" fillId="22" borderId="0" xfId="0" applyFont="1" applyFill="1" applyBorder="1" applyAlignment="1" applyProtection="1">
      <alignment horizontal="center"/>
      <protection hidden="1"/>
    </xf>
    <xf numFmtId="2" fontId="2" fillId="23" borderId="6" xfId="0" applyNumberFormat="1" applyFont="1" applyFill="1" applyBorder="1" applyProtection="1">
      <protection hidden="1"/>
    </xf>
    <xf numFmtId="0" fontId="2" fillId="23" borderId="3" xfId="0" applyFont="1" applyFill="1" applyBorder="1" applyProtection="1">
      <protection hidden="1"/>
    </xf>
    <xf numFmtId="0" fontId="2" fillId="23" borderId="3" xfId="0" applyFont="1" applyFill="1" applyBorder="1" applyAlignment="1" applyProtection="1">
      <alignment horizontal="center"/>
      <protection hidden="1"/>
    </xf>
    <xf numFmtId="178" fontId="0" fillId="24" borderId="0" xfId="0" applyNumberFormat="1" applyFill="1" applyBorder="1" applyAlignment="1" applyProtection="1">
      <protection hidden="1"/>
    </xf>
    <xf numFmtId="178" fontId="2" fillId="24" borderId="0" xfId="0" applyNumberFormat="1" applyFont="1" applyFill="1" applyBorder="1" applyAlignment="1" applyProtection="1">
      <protection hidden="1"/>
    </xf>
    <xf numFmtId="178" fontId="0" fillId="24" borderId="0" xfId="0" applyNumberFormat="1" applyFill="1" applyProtection="1">
      <protection hidden="1"/>
    </xf>
    <xf numFmtId="178" fontId="2" fillId="24" borderId="0" xfId="0" applyNumberFormat="1" applyFont="1" applyFill="1" applyProtection="1">
      <protection hidden="1"/>
    </xf>
    <xf numFmtId="10" fontId="0" fillId="24" borderId="0" xfId="0" applyNumberFormat="1" applyFill="1" applyProtection="1">
      <protection hidden="1"/>
    </xf>
    <xf numFmtId="178" fontId="2" fillId="25" borderId="0" xfId="0" applyNumberFormat="1" applyFont="1" applyFill="1" applyBorder="1" applyProtection="1">
      <protection hidden="1"/>
    </xf>
    <xf numFmtId="4" fontId="6" fillId="25" borderId="0" xfId="0" applyNumberFormat="1" applyFont="1" applyFill="1" applyBorder="1" applyProtection="1">
      <protection hidden="1"/>
    </xf>
    <xf numFmtId="0" fontId="0" fillId="24" borderId="0" xfId="0" applyFill="1"/>
    <xf numFmtId="0" fontId="0" fillId="24" borderId="0" xfId="0" applyFill="1" applyBorder="1" applyProtection="1">
      <protection hidden="1"/>
    </xf>
    <xf numFmtId="0" fontId="0" fillId="24" borderId="0" xfId="0" applyFill="1" applyBorder="1" applyAlignment="1" applyProtection="1">
      <alignment horizontal="center"/>
      <protection hidden="1"/>
    </xf>
    <xf numFmtId="0" fontId="0" fillId="27" borderId="0" xfId="0" applyFill="1" applyBorder="1" applyProtection="1">
      <protection hidden="1"/>
    </xf>
    <xf numFmtId="0" fontId="2" fillId="27" borderId="0" xfId="0" applyFont="1" applyFill="1" applyBorder="1" applyProtection="1">
      <protection hidden="1"/>
    </xf>
    <xf numFmtId="180" fontId="2" fillId="26" borderId="0" xfId="0" applyNumberFormat="1" applyFont="1" applyFill="1" applyBorder="1" applyProtection="1"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166" fontId="0" fillId="2" borderId="0" xfId="0" applyNumberFormat="1" applyFill="1" applyBorder="1" applyAlignment="1" applyProtection="1">
      <alignment horizontal="left"/>
      <protection hidden="1"/>
    </xf>
    <xf numFmtId="0" fontId="0" fillId="28" borderId="2" xfId="0" applyFont="1" applyFill="1" applyBorder="1" applyAlignment="1" applyProtection="1">
      <alignment horizontal="left"/>
      <protection hidden="1"/>
    </xf>
    <xf numFmtId="0" fontId="0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0" fillId="2" borderId="0" xfId="0" applyFill="1" applyBorder="1" applyProtection="1">
      <protection hidden="1"/>
    </xf>
    <xf numFmtId="0" fontId="6" fillId="2" borderId="0" xfId="0" applyFont="1" applyFill="1" applyBorder="1" applyAlignment="1" applyProtection="1">
      <alignment horizontal="center"/>
      <protection hidden="1"/>
    </xf>
    <xf numFmtId="166" fontId="13" fillId="2" borderId="0" xfId="0" applyNumberFormat="1" applyFont="1" applyFill="1" applyBorder="1" applyAlignment="1" applyProtection="1">
      <alignment horizontal="center"/>
      <protection hidden="1"/>
    </xf>
    <xf numFmtId="4" fontId="0" fillId="5" borderId="0" xfId="0" applyNumberFormat="1" applyFont="1" applyFill="1" applyBorder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66" fontId="0" fillId="2" borderId="0" xfId="0" applyNumberFormat="1" applyFont="1" applyFill="1" applyBorder="1" applyAlignment="1" applyProtection="1">
      <alignment horizontal="right"/>
      <protection hidden="1"/>
    </xf>
    <xf numFmtId="0" fontId="0" fillId="2" borderId="0" xfId="0" applyFill="1" applyBorder="1" applyAlignment="1" applyProtection="1">
      <alignment horizontal="right"/>
      <protection hidden="1"/>
    </xf>
    <xf numFmtId="166" fontId="0" fillId="5" borderId="0" xfId="0" applyNumberFormat="1" applyFont="1" applyFill="1" applyBorder="1" applyAlignment="1" applyProtection="1">
      <protection hidden="1"/>
    </xf>
    <xf numFmtId="166" fontId="0" fillId="2" borderId="0" xfId="0" applyNumberFormat="1" applyFill="1" applyBorder="1" applyAlignment="1" applyProtection="1">
      <protection hidden="1"/>
    </xf>
    <xf numFmtId="166" fontId="0" fillId="2" borderId="0" xfId="0" applyNumberFormat="1" applyFont="1" applyFill="1" applyBorder="1" applyAlignment="1" applyProtection="1">
      <protection hidden="1"/>
    </xf>
    <xf numFmtId="0" fontId="3" fillId="2" borderId="0" xfId="0" applyFont="1" applyFill="1" applyBorder="1" applyProtection="1">
      <protection hidden="1"/>
    </xf>
    <xf numFmtId="164" fontId="0" fillId="13" borderId="0" xfId="0" applyNumberFormat="1" applyFont="1" applyFill="1" applyBorder="1" applyAlignment="1" applyProtection="1">
      <alignment horizontal="center"/>
      <protection locked="0"/>
    </xf>
    <xf numFmtId="0" fontId="2" fillId="14" borderId="0" xfId="0" applyFont="1" applyFill="1" applyBorder="1" applyProtection="1">
      <protection locked="0"/>
    </xf>
    <xf numFmtId="10" fontId="2" fillId="15" borderId="0" xfId="0" applyNumberFormat="1" applyFont="1" applyFill="1" applyBorder="1" applyProtection="1">
      <protection locked="0"/>
    </xf>
    <xf numFmtId="169" fontId="7" fillId="5" borderId="0" xfId="11" applyNumberFormat="1" applyFont="1" applyFill="1" applyBorder="1" applyAlignment="1" applyProtection="1">
      <alignment horizontal="center"/>
      <protection hidden="1"/>
    </xf>
    <xf numFmtId="4" fontId="7" fillId="5" borderId="0" xfId="11" applyNumberFormat="1" applyFont="1" applyFill="1" applyBorder="1" applyAlignment="1" applyProtection="1">
      <alignment horizontal="center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Procent" xfId="11" builtinId="5"/>
    <cellStyle name="Standaard" xfId="0" builtinId="0"/>
    <cellStyle name="Standaard 2" xfId="12"/>
    <cellStyle name="Standaard 2 2" xfId="13"/>
    <cellStyle name="Standaard 2 3" xfId="14"/>
    <cellStyle name="Standaard 3" xfId="15"/>
    <cellStyle name="Standaard 4" xfId="16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DONBIWDEC6.xlsx" TargetMode="External"/><Relationship Id="rId13" Type="http://schemas.openxmlformats.org/officeDocument/2006/relationships/vmlDrawing" Target="../drawings/vmlDrawing1.vml"/><Relationship Id="rId3" Type="http://schemas.openxmlformats.org/officeDocument/2006/relationships/hyperlink" Target="DONBIWDEC1.xlsx" TargetMode="External"/><Relationship Id="rId7" Type="http://schemas.openxmlformats.org/officeDocument/2006/relationships/hyperlink" Target="DONBIWDEC5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DONBIWDEC.xlsx" TargetMode="External"/><Relationship Id="rId1" Type="http://schemas.openxmlformats.org/officeDocument/2006/relationships/hyperlink" Target="Livret.xlsx" TargetMode="External"/><Relationship Id="rId6" Type="http://schemas.openxmlformats.org/officeDocument/2006/relationships/hyperlink" Target="DONBIWDEC4.xlsx" TargetMode="External"/><Relationship Id="rId11" Type="http://schemas.openxmlformats.org/officeDocument/2006/relationships/hyperlink" Target="DONBIWDEC9.xlsx" TargetMode="External"/><Relationship Id="rId5" Type="http://schemas.openxmlformats.org/officeDocument/2006/relationships/hyperlink" Target="DONBIWDEC3.xlsx" TargetMode="External"/><Relationship Id="rId10" Type="http://schemas.openxmlformats.org/officeDocument/2006/relationships/hyperlink" Target="DONBIWDEC8.xlsx" TargetMode="External"/><Relationship Id="rId4" Type="http://schemas.openxmlformats.org/officeDocument/2006/relationships/hyperlink" Target="DONBIWDEC2.xlsx" TargetMode="External"/><Relationship Id="rId9" Type="http://schemas.openxmlformats.org/officeDocument/2006/relationships/hyperlink" Target="DONBIWDEC7.xlsx" TargetMode="External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1555"/>
  <sheetViews>
    <sheetView tabSelected="1" zoomScale="80" zoomScaleNormal="80" workbookViewId="0">
      <selection activeCell="E3" sqref="E3"/>
    </sheetView>
  </sheetViews>
  <sheetFormatPr defaultRowHeight="12.75" x14ac:dyDescent="0.2"/>
  <cols>
    <col min="1" max="1" width="50.140625" style="5" customWidth="1"/>
    <col min="2" max="2" width="3.7109375" style="5" customWidth="1"/>
    <col min="3" max="3" width="2.7109375" style="5" customWidth="1"/>
    <col min="4" max="4" width="6" style="5" customWidth="1"/>
    <col min="5" max="5" width="26.28515625" style="5" customWidth="1"/>
    <col min="6" max="6" width="14.42578125" style="18" customWidth="1"/>
    <col min="7" max="7" width="15.28515625" style="5" customWidth="1"/>
    <col min="8" max="8" width="12.28515625" style="5" customWidth="1"/>
    <col min="9" max="9" width="13.140625" style="5" customWidth="1"/>
    <col min="10" max="10" width="14.42578125" style="5" customWidth="1"/>
    <col min="11" max="12" width="15.140625" style="5" customWidth="1"/>
    <col min="13" max="13" width="15.28515625" style="5" customWidth="1"/>
    <col min="14" max="15" width="12.7109375" style="5" customWidth="1"/>
    <col min="16" max="16" width="10.7109375" style="5" customWidth="1"/>
    <col min="17" max="17" width="15" style="5" bestFit="1" customWidth="1"/>
    <col min="18" max="16384" width="9.140625" style="5"/>
  </cols>
  <sheetData>
    <row r="1" spans="1:19" ht="22.5" customHeight="1" thickTop="1" x14ac:dyDescent="0.3">
      <c r="A1" s="48" t="s">
        <v>59</v>
      </c>
      <c r="B1" s="48"/>
      <c r="C1" s="48"/>
      <c r="D1" s="48"/>
      <c r="E1" s="49"/>
      <c r="F1" s="50"/>
      <c r="G1" s="51"/>
      <c r="H1" s="2"/>
      <c r="I1" s="2"/>
      <c r="J1" s="3"/>
      <c r="K1" s="4"/>
      <c r="L1" s="4"/>
      <c r="M1" s="4"/>
    </row>
    <row r="2" spans="1:19" x14ac:dyDescent="0.2">
      <c r="A2" s="2"/>
      <c r="B2" s="2"/>
      <c r="C2" s="2"/>
      <c r="D2" s="2"/>
      <c r="E2" s="2"/>
      <c r="F2" s="1"/>
      <c r="G2" s="2"/>
      <c r="H2" s="2"/>
      <c r="I2" s="2"/>
      <c r="J2" s="4"/>
      <c r="K2" s="4"/>
      <c r="L2" s="4"/>
      <c r="M2" s="4"/>
    </row>
    <row r="3" spans="1:19" ht="15" x14ac:dyDescent="0.35">
      <c r="A3" s="2" t="s">
        <v>0</v>
      </c>
      <c r="B3" s="2"/>
      <c r="C3" s="2"/>
      <c r="D3" s="2"/>
      <c r="E3" s="65"/>
      <c r="F3" s="54"/>
      <c r="G3" s="55"/>
      <c r="H3" s="2"/>
      <c r="I3" s="2"/>
      <c r="J3" s="4"/>
      <c r="K3" s="6"/>
      <c r="L3" s="6"/>
      <c r="M3" s="7"/>
      <c r="N3" s="7"/>
      <c r="O3" s="8"/>
      <c r="P3" s="8"/>
      <c r="Q3" s="9"/>
      <c r="R3" s="4"/>
      <c r="S3" s="8"/>
    </row>
    <row r="4" spans="1:19" x14ac:dyDescent="0.2">
      <c r="A4" s="154" t="s">
        <v>60</v>
      </c>
      <c r="B4" s="2"/>
      <c r="C4" s="2"/>
      <c r="D4" s="2"/>
      <c r="E4" s="66"/>
      <c r="F4" s="56"/>
      <c r="G4" s="55"/>
      <c r="H4" s="2"/>
      <c r="I4" s="2"/>
      <c r="J4" s="4"/>
      <c r="K4" s="6"/>
      <c r="L4" s="6"/>
      <c r="M4" s="57"/>
      <c r="N4" s="7"/>
      <c r="O4" s="10"/>
      <c r="P4" s="10"/>
      <c r="Q4" s="4"/>
      <c r="R4" s="4"/>
      <c r="S4" s="4"/>
    </row>
    <row r="5" spans="1:19" x14ac:dyDescent="0.2">
      <c r="A5" s="155" t="s">
        <v>61</v>
      </c>
      <c r="B5" s="11"/>
      <c r="C5" s="11"/>
      <c r="D5" s="11"/>
      <c r="E5" s="67"/>
      <c r="F5" s="58"/>
      <c r="G5" s="58"/>
      <c r="I5" s="2"/>
      <c r="J5" s="4"/>
      <c r="K5" s="6"/>
      <c r="L5" s="6"/>
      <c r="M5" s="57"/>
      <c r="N5" s="7"/>
      <c r="O5" s="10"/>
      <c r="P5" s="10"/>
      <c r="Q5" s="12"/>
      <c r="R5" s="4"/>
      <c r="S5" s="12"/>
    </row>
    <row r="6" spans="1:19" x14ac:dyDescent="0.2">
      <c r="A6" s="11"/>
      <c r="B6" s="11"/>
      <c r="C6" s="11"/>
      <c r="D6" s="11"/>
      <c r="E6" s="58"/>
      <c r="F6" s="58"/>
      <c r="G6" s="58"/>
      <c r="I6" s="2"/>
      <c r="J6" s="4"/>
      <c r="K6" s="6"/>
      <c r="L6" s="6"/>
      <c r="M6" s="57"/>
      <c r="N6" s="7"/>
      <c r="O6" s="10"/>
      <c r="P6" s="10"/>
      <c r="Q6" s="12"/>
      <c r="R6" s="4"/>
      <c r="S6" s="12"/>
    </row>
    <row r="7" spans="1:19" x14ac:dyDescent="0.2">
      <c r="A7" s="155" t="s">
        <v>62</v>
      </c>
      <c r="B7" s="11"/>
      <c r="C7" s="11"/>
      <c r="D7" s="11"/>
      <c r="E7" s="68"/>
      <c r="F7" s="58"/>
      <c r="G7" s="58"/>
      <c r="I7" s="2"/>
      <c r="J7" s="4"/>
      <c r="K7" s="6"/>
      <c r="L7" s="6"/>
      <c r="M7" s="57"/>
      <c r="N7" s="7"/>
      <c r="O7" s="10"/>
      <c r="P7" s="10"/>
      <c r="Q7" s="12"/>
      <c r="R7" s="4"/>
      <c r="S7" s="12"/>
    </row>
    <row r="8" spans="1:19" x14ac:dyDescent="0.2">
      <c r="A8" s="11"/>
      <c r="B8" s="11"/>
      <c r="C8" s="11"/>
      <c r="D8" s="11"/>
      <c r="E8" s="58"/>
      <c r="F8" s="58"/>
      <c r="G8" s="58"/>
      <c r="I8" s="2"/>
      <c r="J8" s="4"/>
      <c r="K8" s="6"/>
      <c r="L8" s="6"/>
      <c r="M8" s="57"/>
      <c r="N8" s="7"/>
      <c r="O8" s="10"/>
      <c r="P8" s="10"/>
      <c r="Q8" s="12"/>
      <c r="R8" s="4"/>
      <c r="S8" s="12"/>
    </row>
    <row r="9" spans="1:19" x14ac:dyDescent="0.2">
      <c r="A9" s="84" t="s">
        <v>63</v>
      </c>
      <c r="B9" s="85"/>
      <c r="C9" s="85"/>
      <c r="D9" s="85"/>
      <c r="E9" s="170" t="s">
        <v>99</v>
      </c>
      <c r="F9" s="86"/>
      <c r="G9" s="58"/>
      <c r="I9" s="2"/>
      <c r="J9" s="4"/>
      <c r="K9" s="6"/>
      <c r="L9" s="6"/>
      <c r="M9" s="57"/>
      <c r="N9" s="7"/>
      <c r="O9" s="10"/>
      <c r="P9" s="10"/>
      <c r="Q9" s="12"/>
      <c r="R9" s="4"/>
      <c r="S9" s="12"/>
    </row>
    <row r="10" spans="1:19" x14ac:dyDescent="0.2">
      <c r="A10" s="84"/>
      <c r="B10" s="85"/>
      <c r="C10" s="85"/>
      <c r="D10" s="85"/>
      <c r="E10" s="86"/>
      <c r="F10" s="86"/>
      <c r="G10" s="58"/>
      <c r="I10" s="2"/>
      <c r="J10" s="4"/>
      <c r="K10" s="6"/>
      <c r="L10" s="6"/>
      <c r="M10" s="57"/>
      <c r="N10" s="7"/>
      <c r="O10" s="10"/>
      <c r="P10" s="10"/>
      <c r="Q10" s="12"/>
      <c r="R10" s="4"/>
      <c r="S10" s="12"/>
    </row>
    <row r="11" spans="1:19" x14ac:dyDescent="0.2">
      <c r="A11" s="84"/>
      <c r="B11" s="84" t="s">
        <v>64</v>
      </c>
      <c r="C11" s="85"/>
      <c r="D11" s="85"/>
      <c r="E11" s="86"/>
      <c r="F11" s="171"/>
      <c r="G11" s="58"/>
      <c r="I11" s="2"/>
      <c r="J11" s="4"/>
      <c r="K11" s="6"/>
      <c r="L11" s="6"/>
      <c r="M11" s="57"/>
      <c r="N11" s="7"/>
      <c r="O11" s="10"/>
      <c r="P11" s="10"/>
      <c r="Q11" s="12"/>
      <c r="R11" s="4"/>
      <c r="S11" s="12"/>
    </row>
    <row r="12" spans="1:19" x14ac:dyDescent="0.2">
      <c r="A12" s="84"/>
      <c r="B12" s="84"/>
      <c r="C12" s="85"/>
      <c r="D12" s="85"/>
      <c r="E12" s="86"/>
      <c r="F12" s="88"/>
      <c r="G12" s="58"/>
      <c r="I12" s="2"/>
      <c r="J12" s="4"/>
      <c r="K12" s="6"/>
      <c r="L12" s="6"/>
      <c r="M12" s="57"/>
      <c r="N12" s="7"/>
      <c r="O12" s="10"/>
      <c r="P12" s="10"/>
      <c r="Q12" s="12"/>
      <c r="R12" s="4"/>
      <c r="S12" s="12"/>
    </row>
    <row r="13" spans="1:19" x14ac:dyDescent="0.2">
      <c r="A13" s="84"/>
      <c r="B13" s="84" t="s">
        <v>65</v>
      </c>
      <c r="C13" s="85"/>
      <c r="D13" s="85"/>
      <c r="E13" s="86"/>
      <c r="F13" s="172"/>
      <c r="G13" s="58"/>
      <c r="I13" s="2"/>
      <c r="J13" s="4"/>
      <c r="K13" s="6"/>
      <c r="L13" s="6"/>
      <c r="M13" s="57"/>
      <c r="N13" s="7"/>
      <c r="O13" s="10"/>
      <c r="P13" s="10"/>
      <c r="Q13" s="12"/>
      <c r="R13" s="4"/>
      <c r="S13" s="12"/>
    </row>
    <row r="14" spans="1:19" x14ac:dyDescent="0.2">
      <c r="A14" s="85"/>
      <c r="B14" s="85"/>
      <c r="C14" s="85"/>
      <c r="D14" s="85"/>
      <c r="E14" s="89"/>
      <c r="F14" s="86"/>
      <c r="G14" s="58"/>
      <c r="I14" s="2"/>
      <c r="J14" s="4"/>
      <c r="K14" s="6"/>
      <c r="L14" s="6"/>
      <c r="M14" s="57"/>
      <c r="N14" s="7"/>
      <c r="O14" s="10"/>
      <c r="P14" s="10"/>
      <c r="Q14" s="12"/>
      <c r="R14" s="4"/>
      <c r="S14" s="12"/>
    </row>
    <row r="15" spans="1:19" x14ac:dyDescent="0.2">
      <c r="A15" s="85"/>
      <c r="B15" s="84" t="s">
        <v>66</v>
      </c>
      <c r="C15" s="85"/>
      <c r="D15" s="85"/>
      <c r="E15" s="89"/>
      <c r="F15" s="90"/>
      <c r="I15" s="2"/>
      <c r="J15" s="4"/>
      <c r="K15" s="6"/>
      <c r="L15" s="6"/>
      <c r="M15" s="57"/>
      <c r="N15" s="7"/>
      <c r="O15" s="10"/>
      <c r="P15" s="10"/>
      <c r="Q15" s="12"/>
      <c r="R15" s="4"/>
      <c r="S15" s="12"/>
    </row>
    <row r="16" spans="1:19" x14ac:dyDescent="0.2">
      <c r="A16" s="11"/>
      <c r="B16" s="11"/>
      <c r="C16" s="11"/>
      <c r="D16" s="11"/>
      <c r="E16" s="58"/>
      <c r="F16" s="58"/>
      <c r="G16" s="58"/>
      <c r="I16" s="2"/>
      <c r="J16" s="4"/>
      <c r="K16" s="6"/>
      <c r="L16" s="6"/>
      <c r="M16" s="57"/>
      <c r="N16" s="7"/>
      <c r="O16" s="10"/>
      <c r="P16" s="10"/>
      <c r="Q16" s="12"/>
      <c r="R16" s="4"/>
      <c r="S16" s="12"/>
    </row>
    <row r="17" spans="1:19" x14ac:dyDescent="0.2">
      <c r="A17" s="155" t="s">
        <v>67</v>
      </c>
      <c r="B17" s="11"/>
      <c r="C17" s="11"/>
      <c r="D17" s="11"/>
      <c r="E17" s="70" t="s">
        <v>99</v>
      </c>
      <c r="F17" s="58"/>
      <c r="I17" s="2"/>
      <c r="J17" s="4"/>
      <c r="K17" s="6"/>
      <c r="L17" s="6"/>
      <c r="M17" s="57"/>
      <c r="N17" s="7"/>
      <c r="O17" s="10"/>
      <c r="P17" s="10"/>
      <c r="Q17" s="12"/>
      <c r="R17" s="4"/>
      <c r="S17" s="12"/>
    </row>
    <row r="18" spans="1:19" x14ac:dyDescent="0.2">
      <c r="A18" s="155"/>
      <c r="B18" s="11"/>
      <c r="C18" s="11"/>
      <c r="D18" s="11"/>
      <c r="E18" s="58"/>
      <c r="F18" s="58"/>
      <c r="I18" s="2"/>
      <c r="J18" s="4"/>
      <c r="K18" s="6"/>
      <c r="L18" s="6"/>
      <c r="M18" s="57"/>
      <c r="N18" s="7"/>
      <c r="O18" s="10"/>
      <c r="P18" s="10"/>
      <c r="Q18" s="12"/>
      <c r="R18" s="4"/>
      <c r="S18" s="12"/>
    </row>
    <row r="19" spans="1:19" x14ac:dyDescent="0.2">
      <c r="A19" s="155" t="s">
        <v>80</v>
      </c>
      <c r="B19" s="11"/>
      <c r="C19" s="11"/>
      <c r="D19" s="11"/>
      <c r="E19" s="70" t="s">
        <v>81</v>
      </c>
      <c r="F19" s="58"/>
      <c r="I19" s="2"/>
      <c r="J19" s="4"/>
      <c r="K19" s="6"/>
      <c r="L19" s="6"/>
      <c r="M19" s="57"/>
      <c r="N19" s="7"/>
      <c r="O19" s="10"/>
      <c r="P19" s="10"/>
      <c r="Q19" s="12"/>
      <c r="R19" s="4"/>
      <c r="S19" s="12"/>
    </row>
    <row r="20" spans="1:19" x14ac:dyDescent="0.2">
      <c r="A20" s="4"/>
      <c r="B20" s="4"/>
      <c r="C20" s="4"/>
      <c r="D20" s="4"/>
      <c r="E20" s="58"/>
      <c r="F20" s="159"/>
      <c r="G20" s="159"/>
      <c r="H20" s="159"/>
      <c r="I20" s="159" t="s">
        <v>87</v>
      </c>
      <c r="J20" s="159"/>
      <c r="K20" s="6"/>
      <c r="L20" s="6"/>
      <c r="M20" s="57"/>
      <c r="N20" s="7"/>
      <c r="O20" s="10"/>
      <c r="P20" s="10"/>
      <c r="Q20" s="12"/>
      <c r="R20" s="4"/>
      <c r="S20" s="12"/>
    </row>
    <row r="21" spans="1:19" ht="15" x14ac:dyDescent="0.35">
      <c r="A21" s="156" t="s">
        <v>68</v>
      </c>
      <c r="B21" s="71"/>
      <c r="C21" s="59"/>
      <c r="D21" s="52"/>
      <c r="E21" s="52"/>
      <c r="F21" s="160" t="s">
        <v>88</v>
      </c>
      <c r="G21" s="161" t="s">
        <v>89</v>
      </c>
      <c r="H21" s="161" t="s">
        <v>90</v>
      </c>
      <c r="I21" s="161" t="s">
        <v>91</v>
      </c>
      <c r="J21" s="160" t="s">
        <v>92</v>
      </c>
      <c r="N21" s="10"/>
      <c r="O21" s="10"/>
      <c r="P21" s="12"/>
      <c r="Q21" s="4"/>
      <c r="R21" s="12"/>
    </row>
    <row r="22" spans="1:19" x14ac:dyDescent="0.2">
      <c r="A22" s="157" t="s">
        <v>69</v>
      </c>
      <c r="B22" s="72"/>
      <c r="C22" s="60" t="s">
        <v>31</v>
      </c>
      <c r="D22" s="65"/>
      <c r="E22" s="73"/>
      <c r="F22" s="76"/>
      <c r="G22" s="13">
        <f>A181</f>
        <v>0</v>
      </c>
      <c r="H22" s="12" t="e">
        <f>G22/(E5-F15)</f>
        <v>#DIV/0!</v>
      </c>
      <c r="I22" s="77"/>
      <c r="J22" s="141">
        <f>IF(F22="épou(x)(se)",E343,H343)</f>
        <v>0</v>
      </c>
      <c r="N22" s="10"/>
      <c r="O22" s="10"/>
      <c r="P22" s="12"/>
      <c r="Q22" s="4"/>
      <c r="R22" s="12"/>
    </row>
    <row r="23" spans="1:19" x14ac:dyDescent="0.2">
      <c r="A23" s="158" t="s">
        <v>70</v>
      </c>
      <c r="B23" s="74"/>
      <c r="C23" s="61"/>
      <c r="E23" s="7"/>
      <c r="F23" s="2"/>
      <c r="H23" s="15"/>
      <c r="I23" s="14"/>
      <c r="J23" s="141"/>
      <c r="N23" s="10"/>
      <c r="O23" s="10"/>
      <c r="P23" s="12"/>
      <c r="Q23" s="4"/>
      <c r="R23" s="12"/>
    </row>
    <row r="24" spans="1:19" x14ac:dyDescent="0.2">
      <c r="A24" s="157" t="s">
        <v>71</v>
      </c>
      <c r="B24" s="106"/>
      <c r="C24" s="107" t="s">
        <v>31</v>
      </c>
      <c r="D24" s="108"/>
      <c r="E24" s="73"/>
      <c r="F24" s="2"/>
      <c r="G24" s="109">
        <f>AA167</f>
        <v>0</v>
      </c>
      <c r="H24" s="110" t="e">
        <f>G24/(E5-F15)</f>
        <v>#DIV/0!</v>
      </c>
      <c r="I24" s="111"/>
      <c r="J24" s="142">
        <f>IF(F22="épou(x)(se)",Blad2!E341,Blad2!H341)</f>
        <v>0</v>
      </c>
      <c r="M24" s="10"/>
      <c r="N24" s="10"/>
      <c r="O24" s="12"/>
      <c r="P24" s="4"/>
      <c r="Q24" s="12"/>
    </row>
    <row r="25" spans="1:19" hidden="1" x14ac:dyDescent="0.2">
      <c r="A25" s="158" t="s">
        <v>70</v>
      </c>
      <c r="B25" s="105">
        <f>B23</f>
        <v>0</v>
      </c>
      <c r="C25" s="61"/>
      <c r="E25" s="7"/>
      <c r="F25" s="2"/>
      <c r="H25" s="15"/>
      <c r="I25" s="14"/>
      <c r="J25" s="141"/>
      <c r="N25" s="10"/>
      <c r="O25" s="10"/>
      <c r="P25" s="12"/>
      <c r="Q25" s="4"/>
      <c r="R25" s="12"/>
    </row>
    <row r="26" spans="1:19" x14ac:dyDescent="0.2">
      <c r="A26" s="156" t="s">
        <v>72</v>
      </c>
      <c r="B26" s="75"/>
      <c r="C26" s="62"/>
      <c r="D26" s="63"/>
      <c r="E26" s="52"/>
      <c r="F26" s="10"/>
      <c r="G26" s="13"/>
      <c r="H26" s="12"/>
      <c r="I26" s="14"/>
      <c r="J26" s="141"/>
      <c r="N26" s="10"/>
      <c r="O26" s="10"/>
      <c r="P26" s="12"/>
      <c r="Q26" s="4"/>
      <c r="R26" s="12"/>
    </row>
    <row r="27" spans="1:19" x14ac:dyDescent="0.2">
      <c r="A27" s="157" t="s">
        <v>69</v>
      </c>
      <c r="B27" s="72"/>
      <c r="C27" s="60" t="s">
        <v>31</v>
      </c>
      <c r="D27" s="65"/>
      <c r="E27" s="73"/>
      <c r="F27" s="76"/>
      <c r="G27" s="13">
        <f>E181</f>
        <v>0</v>
      </c>
      <c r="H27" s="12" t="e">
        <f>G27/(E5-F15)</f>
        <v>#DIV/0!</v>
      </c>
      <c r="I27" s="77"/>
      <c r="J27" s="141">
        <f>IF(F27="épou(x)(se)",E443,H443)</f>
        <v>0</v>
      </c>
      <c r="N27" s="10"/>
      <c r="O27" s="10"/>
      <c r="P27" s="12"/>
      <c r="Q27" s="4"/>
      <c r="R27" s="12"/>
    </row>
    <row r="28" spans="1:19" x14ac:dyDescent="0.2">
      <c r="A28" s="158" t="s">
        <v>70</v>
      </c>
      <c r="B28" s="74"/>
      <c r="C28" s="61"/>
      <c r="E28" s="7"/>
      <c r="F28" s="2"/>
      <c r="H28" s="15"/>
      <c r="I28" s="14"/>
      <c r="J28" s="141"/>
      <c r="N28" s="10"/>
      <c r="O28" s="10"/>
      <c r="P28" s="12"/>
      <c r="Q28" s="4"/>
      <c r="R28" s="12"/>
    </row>
    <row r="29" spans="1:19" x14ac:dyDescent="0.2">
      <c r="A29" s="157" t="s">
        <v>71</v>
      </c>
      <c r="B29" s="106"/>
      <c r="C29" s="107" t="s">
        <v>31</v>
      </c>
      <c r="D29" s="108"/>
      <c r="E29" s="73"/>
      <c r="F29" s="2"/>
      <c r="G29" s="109">
        <f>AE167</f>
        <v>0</v>
      </c>
      <c r="H29" s="110" t="e">
        <f>G29/(E5-F15)</f>
        <v>#DIV/0!</v>
      </c>
      <c r="I29" s="111"/>
      <c r="J29" s="142">
        <f>IF(F27="épou(x)(se)",Blad2!E441,Blad2!H441)</f>
        <v>0</v>
      </c>
      <c r="M29" s="10"/>
      <c r="N29" s="10"/>
      <c r="O29" s="12"/>
      <c r="P29" s="4"/>
      <c r="Q29" s="12"/>
    </row>
    <row r="30" spans="1:19" hidden="1" x14ac:dyDescent="0.2">
      <c r="A30" s="158" t="s">
        <v>70</v>
      </c>
      <c r="B30" s="113">
        <f>B28</f>
        <v>0</v>
      </c>
      <c r="C30" s="61"/>
      <c r="D30" s="86"/>
      <c r="E30" s="6"/>
      <c r="F30" s="2"/>
      <c r="G30" s="109"/>
      <c r="H30" s="111"/>
      <c r="I30" s="111"/>
      <c r="J30" s="142"/>
      <c r="M30" s="10"/>
      <c r="N30" s="10"/>
      <c r="O30" s="12"/>
      <c r="P30" s="4"/>
      <c r="Q30" s="12"/>
    </row>
    <row r="31" spans="1:19" x14ac:dyDescent="0.2">
      <c r="A31" s="156" t="s">
        <v>73</v>
      </c>
      <c r="B31" s="75"/>
      <c r="C31" s="62"/>
      <c r="D31" s="63"/>
      <c r="E31" s="52"/>
      <c r="F31" s="10"/>
      <c r="G31" s="13"/>
      <c r="H31" s="12"/>
      <c r="I31" s="14"/>
      <c r="J31" s="141"/>
      <c r="N31" s="10"/>
      <c r="O31" s="10"/>
      <c r="P31" s="12"/>
      <c r="Q31" s="4"/>
      <c r="R31" s="12"/>
    </row>
    <row r="32" spans="1:19" x14ac:dyDescent="0.2">
      <c r="A32" s="157" t="s">
        <v>69</v>
      </c>
      <c r="B32" s="72"/>
      <c r="C32" s="60" t="s">
        <v>31</v>
      </c>
      <c r="D32" s="65"/>
      <c r="E32" s="73"/>
      <c r="F32" s="76"/>
      <c r="G32" s="13">
        <f>F181</f>
        <v>0</v>
      </c>
      <c r="H32" s="12" t="e">
        <f>G32/(E5-F15)</f>
        <v>#DIV/0!</v>
      </c>
      <c r="I32" s="77"/>
      <c r="J32" s="141">
        <f>IF(F32="épou(x)(se)",E543,H543)</f>
        <v>0</v>
      </c>
      <c r="N32" s="10"/>
      <c r="O32" s="10"/>
      <c r="P32" s="12"/>
      <c r="Q32" s="4"/>
      <c r="R32" s="12"/>
    </row>
    <row r="33" spans="1:18" x14ac:dyDescent="0.2">
      <c r="A33" s="158" t="s">
        <v>70</v>
      </c>
      <c r="B33" s="74"/>
      <c r="C33" s="61"/>
      <c r="E33" s="7"/>
      <c r="F33" s="2"/>
      <c r="H33" s="15"/>
      <c r="I33" s="14"/>
      <c r="J33" s="141"/>
      <c r="N33" s="10"/>
      <c r="O33" s="10"/>
      <c r="P33" s="12"/>
      <c r="Q33" s="4"/>
      <c r="R33" s="12"/>
    </row>
    <row r="34" spans="1:18" x14ac:dyDescent="0.2">
      <c r="A34" s="157" t="s">
        <v>71</v>
      </c>
      <c r="B34" s="106"/>
      <c r="C34" s="107" t="s">
        <v>31</v>
      </c>
      <c r="D34" s="108"/>
      <c r="E34" s="73"/>
      <c r="F34" s="2"/>
      <c r="G34" s="109">
        <f>AF167</f>
        <v>0</v>
      </c>
      <c r="H34" s="110" t="e">
        <f>G34/(E5-F15)</f>
        <v>#DIV/0!</v>
      </c>
      <c r="I34" s="111"/>
      <c r="J34" s="142">
        <f>IF(F32="épou(x)(se)",Blad2!E541,Blad2!H541)</f>
        <v>0</v>
      </c>
      <c r="M34" s="10"/>
      <c r="N34" s="10"/>
      <c r="O34" s="12"/>
      <c r="P34" s="4"/>
      <c r="Q34" s="12"/>
    </row>
    <row r="35" spans="1:18" hidden="1" x14ac:dyDescent="0.2">
      <c r="A35" s="158" t="s">
        <v>70</v>
      </c>
      <c r="B35" s="113">
        <f>B33</f>
        <v>0</v>
      </c>
      <c r="C35" s="61"/>
      <c r="D35" s="86"/>
      <c r="E35" s="6"/>
      <c r="F35" s="2"/>
      <c r="G35" s="109"/>
      <c r="H35" s="111"/>
      <c r="I35" s="111"/>
      <c r="J35" s="142"/>
      <c r="M35" s="10"/>
      <c r="N35" s="10"/>
      <c r="O35" s="12"/>
      <c r="P35" s="4"/>
      <c r="Q35" s="12"/>
    </row>
    <row r="36" spans="1:18" x14ac:dyDescent="0.2">
      <c r="A36" s="156" t="s">
        <v>74</v>
      </c>
      <c r="B36" s="75"/>
      <c r="C36" s="62"/>
      <c r="D36" s="63"/>
      <c r="E36" s="52"/>
      <c r="F36" s="10"/>
      <c r="G36" s="13"/>
      <c r="H36" s="12"/>
      <c r="I36" s="14"/>
      <c r="J36" s="141"/>
      <c r="N36" s="10"/>
      <c r="O36" s="10"/>
      <c r="P36" s="12"/>
      <c r="Q36" s="4"/>
      <c r="R36" s="12"/>
    </row>
    <row r="37" spans="1:18" x14ac:dyDescent="0.2">
      <c r="A37" s="157" t="s">
        <v>69</v>
      </c>
      <c r="B37" s="72"/>
      <c r="C37" s="60" t="s">
        <v>31</v>
      </c>
      <c r="D37" s="65"/>
      <c r="E37" s="73"/>
      <c r="F37" s="76"/>
      <c r="G37" s="13">
        <f>G181</f>
        <v>0</v>
      </c>
      <c r="H37" s="12" t="e">
        <f>G37/(E5-F15)</f>
        <v>#DIV/0!</v>
      </c>
      <c r="I37" s="77"/>
      <c r="J37" s="141">
        <f>IF(F37="épou(x)(se)",E643,H643)</f>
        <v>0</v>
      </c>
      <c r="N37" s="10"/>
      <c r="O37" s="10"/>
      <c r="P37" s="12"/>
      <c r="Q37" s="4"/>
      <c r="R37" s="12"/>
    </row>
    <row r="38" spans="1:18" x14ac:dyDescent="0.2">
      <c r="A38" s="158" t="s">
        <v>70</v>
      </c>
      <c r="B38" s="74"/>
      <c r="C38" s="61"/>
      <c r="E38" s="7"/>
      <c r="F38" s="2"/>
      <c r="H38" s="15"/>
      <c r="I38" s="14"/>
      <c r="J38" s="141"/>
      <c r="N38" s="10"/>
      <c r="O38" s="10"/>
      <c r="P38" s="12"/>
      <c r="Q38" s="4"/>
      <c r="R38" s="12"/>
    </row>
    <row r="39" spans="1:18" x14ac:dyDescent="0.2">
      <c r="A39" s="157" t="s">
        <v>71</v>
      </c>
      <c r="B39" s="106"/>
      <c r="C39" s="107" t="s">
        <v>31</v>
      </c>
      <c r="D39" s="108"/>
      <c r="E39" s="73"/>
      <c r="F39" s="2"/>
      <c r="G39" s="109">
        <f>AG167</f>
        <v>0</v>
      </c>
      <c r="H39" s="110" t="e">
        <f>G39/(E5-F15)</f>
        <v>#DIV/0!</v>
      </c>
      <c r="I39" s="111"/>
      <c r="J39" s="142">
        <f>IF(F37="épou(x)(se)",Blad2!E641,Blad2!H641)</f>
        <v>0</v>
      </c>
      <c r="M39" s="10"/>
      <c r="N39" s="10"/>
      <c r="O39" s="12"/>
      <c r="P39" s="4"/>
      <c r="Q39" s="12"/>
    </row>
    <row r="40" spans="1:18" hidden="1" x14ac:dyDescent="0.2">
      <c r="A40" s="158" t="s">
        <v>70</v>
      </c>
      <c r="B40" s="113">
        <f>B38</f>
        <v>0</v>
      </c>
      <c r="C40" s="61"/>
      <c r="D40" s="86"/>
      <c r="E40" s="6"/>
      <c r="F40" s="2"/>
      <c r="G40" s="109"/>
      <c r="H40" s="111"/>
      <c r="I40" s="111"/>
      <c r="J40" s="142"/>
      <c r="M40" s="10"/>
      <c r="N40" s="10"/>
      <c r="O40" s="12"/>
      <c r="P40" s="4"/>
      <c r="Q40" s="12"/>
    </row>
    <row r="41" spans="1:18" x14ac:dyDescent="0.2">
      <c r="A41" s="156" t="s">
        <v>75</v>
      </c>
      <c r="B41" s="75"/>
      <c r="C41" s="62"/>
      <c r="D41" s="63"/>
      <c r="E41" s="52"/>
      <c r="F41" s="10"/>
      <c r="G41" s="13"/>
      <c r="H41" s="12"/>
      <c r="I41" s="16"/>
      <c r="J41" s="143"/>
      <c r="N41" s="10"/>
      <c r="O41" s="10"/>
      <c r="P41" s="12"/>
      <c r="Q41" s="4"/>
      <c r="R41" s="12"/>
    </row>
    <row r="42" spans="1:18" x14ac:dyDescent="0.2">
      <c r="A42" s="157" t="s">
        <v>69</v>
      </c>
      <c r="B42" s="72"/>
      <c r="C42" s="60" t="s">
        <v>31</v>
      </c>
      <c r="D42" s="65"/>
      <c r="E42" s="73"/>
      <c r="F42" s="76"/>
      <c r="G42" s="13">
        <f>H181</f>
        <v>0</v>
      </c>
      <c r="H42" s="12" t="e">
        <f>G42/(E5-F15)</f>
        <v>#DIV/0!</v>
      </c>
      <c r="I42" s="78"/>
      <c r="J42" s="141">
        <f>IF(F42="épou(x)(se)",E743,H743)</f>
        <v>0</v>
      </c>
      <c r="N42" s="10"/>
      <c r="O42" s="10"/>
      <c r="P42" s="12"/>
      <c r="Q42" s="4"/>
      <c r="R42" s="12"/>
    </row>
    <row r="43" spans="1:18" x14ac:dyDescent="0.2">
      <c r="A43" s="158" t="s">
        <v>70</v>
      </c>
      <c r="B43" s="74"/>
      <c r="C43" s="61"/>
      <c r="E43" s="2"/>
      <c r="F43" s="2"/>
      <c r="H43" s="15"/>
      <c r="I43" s="16"/>
      <c r="J43" s="143"/>
      <c r="N43" s="10"/>
      <c r="O43" s="10"/>
      <c r="P43" s="12"/>
      <c r="Q43" s="4"/>
      <c r="R43" s="12"/>
    </row>
    <row r="44" spans="1:18" x14ac:dyDescent="0.2">
      <c r="A44" s="157" t="s">
        <v>71</v>
      </c>
      <c r="B44" s="106"/>
      <c r="C44" s="107" t="s">
        <v>31</v>
      </c>
      <c r="D44" s="108"/>
      <c r="E44" s="73"/>
      <c r="F44" s="2"/>
      <c r="G44" s="109">
        <f>AH167</f>
        <v>0</v>
      </c>
      <c r="H44" s="110" t="e">
        <f>G44/(E5-F15)</f>
        <v>#DIV/0!</v>
      </c>
      <c r="I44" s="111"/>
      <c r="J44" s="144">
        <f>IF(F42="épou(x)(se)",Blad2!E741,Blad2!H741)</f>
        <v>0</v>
      </c>
      <c r="M44" s="10"/>
      <c r="N44" s="10"/>
      <c r="O44" s="12"/>
      <c r="P44" s="4"/>
      <c r="Q44" s="12"/>
    </row>
    <row r="45" spans="1:18" hidden="1" x14ac:dyDescent="0.2">
      <c r="A45" s="158" t="s">
        <v>70</v>
      </c>
      <c r="B45" s="113">
        <f>B43</f>
        <v>0</v>
      </c>
      <c r="C45" s="61"/>
      <c r="D45" s="86"/>
      <c r="E45" s="6"/>
      <c r="F45" s="2"/>
      <c r="G45" s="109"/>
      <c r="H45" s="111"/>
      <c r="I45" s="111"/>
      <c r="J45" s="144"/>
      <c r="M45" s="10"/>
      <c r="N45" s="10"/>
      <c r="O45" s="12"/>
      <c r="P45" s="4"/>
      <c r="Q45" s="12"/>
    </row>
    <row r="46" spans="1:18" x14ac:dyDescent="0.2">
      <c r="A46" s="156" t="s">
        <v>76</v>
      </c>
      <c r="B46" s="75"/>
      <c r="C46" s="62"/>
      <c r="D46" s="63"/>
      <c r="E46" s="52"/>
      <c r="F46" s="10"/>
      <c r="G46" s="13"/>
      <c r="H46" s="12"/>
      <c r="I46" s="14"/>
      <c r="J46" s="141"/>
      <c r="N46" s="10"/>
      <c r="O46" s="10"/>
      <c r="P46" s="12"/>
      <c r="Q46" s="4"/>
      <c r="R46" s="12"/>
    </row>
    <row r="47" spans="1:18" x14ac:dyDescent="0.2">
      <c r="A47" s="157" t="s">
        <v>69</v>
      </c>
      <c r="B47" s="72"/>
      <c r="C47" s="60" t="s">
        <v>31</v>
      </c>
      <c r="D47" s="65"/>
      <c r="E47" s="73"/>
      <c r="F47" s="76"/>
      <c r="G47" s="13">
        <f>I181</f>
        <v>0</v>
      </c>
      <c r="H47" s="12" t="e">
        <f>G47/(E5-F15)</f>
        <v>#DIV/0!</v>
      </c>
      <c r="I47" s="77"/>
      <c r="J47" s="141">
        <f>IF(F47="épou(x)(se)",E843,H843)</f>
        <v>0</v>
      </c>
      <c r="N47" s="10"/>
      <c r="O47" s="10"/>
      <c r="P47" s="12"/>
      <c r="Q47" s="4"/>
      <c r="R47" s="12"/>
    </row>
    <row r="48" spans="1:18" x14ac:dyDescent="0.2">
      <c r="A48" s="158" t="s">
        <v>70</v>
      </c>
      <c r="B48" s="74"/>
      <c r="C48" s="61"/>
      <c r="E48" s="7"/>
      <c r="F48" s="2"/>
      <c r="H48" s="15"/>
      <c r="I48" s="14"/>
      <c r="J48" s="141"/>
      <c r="N48" s="10"/>
      <c r="O48" s="10"/>
      <c r="P48" s="12"/>
      <c r="Q48" s="4"/>
      <c r="R48" s="12"/>
    </row>
    <row r="49" spans="1:18" x14ac:dyDescent="0.2">
      <c r="A49" s="157" t="s">
        <v>71</v>
      </c>
      <c r="B49" s="106"/>
      <c r="C49" s="107" t="s">
        <v>31</v>
      </c>
      <c r="D49" s="108"/>
      <c r="E49" s="73"/>
      <c r="F49" s="2"/>
      <c r="G49" s="109">
        <f>AI167</f>
        <v>0</v>
      </c>
      <c r="H49" s="110" t="e">
        <f>G49/(E5-F15)</f>
        <v>#DIV/0!</v>
      </c>
      <c r="I49" s="111"/>
      <c r="J49" s="142">
        <f>IF(F47="épou(x)(se)",Blad2!E841,Blad2!H841)</f>
        <v>0</v>
      </c>
      <c r="M49" s="10"/>
      <c r="N49" s="10"/>
      <c r="O49" s="12"/>
      <c r="P49" s="4"/>
      <c r="Q49" s="12"/>
    </row>
    <row r="50" spans="1:18" hidden="1" x14ac:dyDescent="0.2">
      <c r="A50" s="158" t="s">
        <v>70</v>
      </c>
      <c r="B50" s="113">
        <f>B48</f>
        <v>0</v>
      </c>
      <c r="C50" s="61"/>
      <c r="D50" s="86"/>
      <c r="E50" s="6"/>
      <c r="F50" s="2"/>
      <c r="G50" s="109"/>
      <c r="H50" s="111"/>
      <c r="I50" s="111"/>
      <c r="J50" s="142"/>
      <c r="M50" s="10"/>
      <c r="N50" s="10"/>
      <c r="O50" s="12"/>
      <c r="P50" s="4"/>
      <c r="Q50" s="12"/>
    </row>
    <row r="51" spans="1:18" x14ac:dyDescent="0.2">
      <c r="A51" s="156" t="s">
        <v>77</v>
      </c>
      <c r="B51" s="75"/>
      <c r="C51" s="62"/>
      <c r="D51" s="63"/>
      <c r="E51" s="52"/>
      <c r="F51" s="2"/>
      <c r="G51" s="13"/>
      <c r="H51" s="12"/>
      <c r="I51" s="14"/>
      <c r="J51" s="141"/>
      <c r="N51" s="10"/>
      <c r="O51" s="10"/>
      <c r="P51" s="12"/>
      <c r="Q51" s="4"/>
      <c r="R51" s="12"/>
    </row>
    <row r="52" spans="1:18" x14ac:dyDescent="0.2">
      <c r="A52" s="157" t="s">
        <v>69</v>
      </c>
      <c r="B52" s="72"/>
      <c r="C52" s="60" t="s">
        <v>31</v>
      </c>
      <c r="D52" s="65"/>
      <c r="E52" s="73"/>
      <c r="F52" s="76"/>
      <c r="G52" s="13">
        <f>J181</f>
        <v>0</v>
      </c>
      <c r="H52" s="12" t="e">
        <f>G52/(E5-F15)</f>
        <v>#DIV/0!</v>
      </c>
      <c r="I52" s="77"/>
      <c r="J52" s="141">
        <f>IF(F52="épou(x)(se)",E943,H943)</f>
        <v>0</v>
      </c>
      <c r="N52" s="10"/>
      <c r="O52" s="10"/>
      <c r="P52" s="12"/>
      <c r="Q52" s="4"/>
      <c r="R52" s="12"/>
    </row>
    <row r="53" spans="1:18" x14ac:dyDescent="0.2">
      <c r="A53" s="158" t="s">
        <v>70</v>
      </c>
      <c r="B53" s="74"/>
      <c r="C53" s="61"/>
      <c r="E53" s="7"/>
      <c r="F53" s="2"/>
      <c r="H53" s="15"/>
      <c r="I53" s="14"/>
      <c r="J53" s="141"/>
      <c r="N53" s="10"/>
      <c r="O53" s="10"/>
      <c r="P53" s="12"/>
      <c r="Q53" s="4"/>
      <c r="R53" s="12"/>
    </row>
    <row r="54" spans="1:18" x14ac:dyDescent="0.2">
      <c r="A54" s="157" t="s">
        <v>71</v>
      </c>
      <c r="B54" s="106"/>
      <c r="C54" s="107" t="s">
        <v>31</v>
      </c>
      <c r="D54" s="108"/>
      <c r="E54" s="73"/>
      <c r="F54" s="2"/>
      <c r="G54" s="109">
        <f>AJ167</f>
        <v>0</v>
      </c>
      <c r="H54" s="110" t="e">
        <f>G54/(E5-F15)</f>
        <v>#DIV/0!</v>
      </c>
      <c r="I54" s="111"/>
      <c r="J54" s="142">
        <f>IF(F52="épou(x)(se)",Blad2!E941,Blad2!H941)</f>
        <v>0</v>
      </c>
      <c r="M54" s="10"/>
      <c r="N54" s="10"/>
      <c r="O54" s="12"/>
      <c r="P54" s="4"/>
      <c r="Q54" s="12"/>
    </row>
    <row r="55" spans="1:18" hidden="1" x14ac:dyDescent="0.2">
      <c r="A55" s="158" t="s">
        <v>70</v>
      </c>
      <c r="B55" s="113">
        <f>B53</f>
        <v>0</v>
      </c>
      <c r="C55" s="61"/>
      <c r="D55" s="86"/>
      <c r="E55" s="6"/>
      <c r="F55" s="2"/>
      <c r="G55" s="109"/>
      <c r="H55" s="111"/>
      <c r="I55" s="111"/>
      <c r="J55" s="142"/>
      <c r="M55" s="10"/>
      <c r="N55" s="10"/>
      <c r="O55" s="12"/>
      <c r="P55" s="4"/>
      <c r="Q55" s="12"/>
    </row>
    <row r="56" spans="1:18" x14ac:dyDescent="0.2">
      <c r="A56" s="156" t="s">
        <v>78</v>
      </c>
      <c r="B56" s="75"/>
      <c r="C56" s="62"/>
      <c r="D56" s="63"/>
      <c r="E56" s="52"/>
      <c r="F56" s="10"/>
      <c r="G56" s="13"/>
      <c r="H56" s="12"/>
      <c r="I56" s="14"/>
      <c r="J56" s="141"/>
      <c r="N56" s="10"/>
      <c r="O56" s="10"/>
      <c r="P56" s="12"/>
      <c r="Q56" s="4"/>
      <c r="R56" s="12"/>
    </row>
    <row r="57" spans="1:18" x14ac:dyDescent="0.2">
      <c r="A57" s="157" t="s">
        <v>69</v>
      </c>
      <c r="B57" s="72"/>
      <c r="C57" s="60" t="s">
        <v>31</v>
      </c>
      <c r="D57" s="65"/>
      <c r="E57" s="73"/>
      <c r="F57" s="76"/>
      <c r="G57" s="13">
        <f>K181</f>
        <v>0</v>
      </c>
      <c r="H57" s="12" t="e">
        <f>G57/(E5-F15)</f>
        <v>#DIV/0!</v>
      </c>
      <c r="I57" s="77"/>
      <c r="J57" s="141">
        <f>IF(F57="épou(x)(se)",E1043,H1043)</f>
        <v>0</v>
      </c>
      <c r="N57" s="10"/>
      <c r="O57" s="10"/>
      <c r="P57" s="12"/>
      <c r="Q57" s="4"/>
      <c r="R57" s="12"/>
    </row>
    <row r="58" spans="1:18" x14ac:dyDescent="0.2">
      <c r="A58" s="158" t="s">
        <v>70</v>
      </c>
      <c r="B58" s="74"/>
      <c r="C58" s="61"/>
      <c r="E58" s="7"/>
      <c r="F58" s="2"/>
      <c r="H58" s="15"/>
      <c r="I58" s="14"/>
      <c r="J58" s="141"/>
      <c r="N58" s="10"/>
      <c r="O58" s="10"/>
      <c r="P58" s="12"/>
      <c r="Q58" s="4"/>
      <c r="R58" s="12"/>
    </row>
    <row r="59" spans="1:18" x14ac:dyDescent="0.2">
      <c r="A59" s="157" t="s">
        <v>71</v>
      </c>
      <c r="B59" s="106"/>
      <c r="C59" s="107" t="s">
        <v>31</v>
      </c>
      <c r="D59" s="108"/>
      <c r="E59" s="73"/>
      <c r="F59" s="2"/>
      <c r="G59" s="109">
        <f>AK167</f>
        <v>0</v>
      </c>
      <c r="H59" s="110" t="e">
        <f>G59/(E5-F15)</f>
        <v>#DIV/0!</v>
      </c>
      <c r="I59" s="111"/>
      <c r="J59" s="142">
        <f>IF(F57="épou(x)(se)",Blad2!E1041,Blad2!H1041)</f>
        <v>0</v>
      </c>
      <c r="M59" s="10"/>
      <c r="N59" s="10"/>
      <c r="O59" s="12"/>
      <c r="P59" s="4"/>
      <c r="Q59" s="12"/>
    </row>
    <row r="60" spans="1:18" hidden="1" x14ac:dyDescent="0.2">
      <c r="A60" s="158" t="s">
        <v>70</v>
      </c>
      <c r="B60" s="113">
        <f>B58</f>
        <v>0</v>
      </c>
      <c r="C60" s="61"/>
      <c r="D60" s="86"/>
      <c r="E60" s="6"/>
      <c r="F60" s="2"/>
      <c r="G60" s="109"/>
      <c r="H60" s="111"/>
      <c r="I60" s="111"/>
      <c r="J60" s="142"/>
      <c r="M60" s="10"/>
      <c r="N60" s="10"/>
      <c r="O60" s="12"/>
      <c r="P60" s="4"/>
      <c r="Q60" s="12"/>
    </row>
    <row r="61" spans="1:18" x14ac:dyDescent="0.2">
      <c r="A61" s="156" t="s">
        <v>79</v>
      </c>
      <c r="B61" s="75"/>
      <c r="C61" s="62"/>
      <c r="D61" s="63"/>
      <c r="E61" s="52"/>
      <c r="F61" s="10"/>
      <c r="G61" s="13"/>
      <c r="H61" s="12"/>
      <c r="I61" s="16"/>
      <c r="J61" s="143"/>
      <c r="N61" s="10"/>
      <c r="O61" s="10"/>
      <c r="P61" s="12"/>
      <c r="Q61" s="4"/>
      <c r="R61" s="12"/>
    </row>
    <row r="62" spans="1:18" x14ac:dyDescent="0.2">
      <c r="A62" s="157" t="s">
        <v>69</v>
      </c>
      <c r="B62" s="72"/>
      <c r="C62" s="60" t="s">
        <v>31</v>
      </c>
      <c r="D62" s="65"/>
      <c r="E62" s="73"/>
      <c r="F62" s="76"/>
      <c r="G62" s="13">
        <f>M181</f>
        <v>0</v>
      </c>
      <c r="H62" s="12" t="e">
        <f>G62/(E5-F15)</f>
        <v>#DIV/0!</v>
      </c>
      <c r="I62" s="78"/>
      <c r="J62" s="141">
        <f>IF(F62="épou(x)(se)",E1143,H1143)</f>
        <v>0</v>
      </c>
      <c r="N62" s="10"/>
      <c r="O62" s="10"/>
      <c r="P62" s="12"/>
      <c r="Q62" s="4"/>
      <c r="R62" s="12"/>
    </row>
    <row r="63" spans="1:18" x14ac:dyDescent="0.2">
      <c r="A63" s="158" t="s">
        <v>70</v>
      </c>
      <c r="B63" s="74"/>
      <c r="C63" s="64"/>
      <c r="E63" s="2"/>
      <c r="F63" s="2"/>
      <c r="I63" s="17"/>
      <c r="J63" s="145"/>
      <c r="N63" s="10"/>
      <c r="O63" s="10"/>
      <c r="P63" s="12"/>
      <c r="Q63" s="4"/>
      <c r="R63" s="12"/>
    </row>
    <row r="64" spans="1:18" x14ac:dyDescent="0.2">
      <c r="A64" s="157" t="s">
        <v>71</v>
      </c>
      <c r="B64" s="106"/>
      <c r="C64" s="107" t="s">
        <v>31</v>
      </c>
      <c r="D64" s="108"/>
      <c r="E64" s="73"/>
      <c r="F64" s="2"/>
      <c r="G64" s="112">
        <f>AL167</f>
        <v>0</v>
      </c>
      <c r="H64" s="110" t="e">
        <f>G64/(E5-F15)</f>
        <v>#DIV/0!</v>
      </c>
      <c r="I64" s="86"/>
      <c r="J64" s="144">
        <f>IF(F62="épou(x)(se)",Blad2!E1141,Blad2!H1141)</f>
        <v>0</v>
      </c>
      <c r="M64" s="10"/>
      <c r="N64" s="10"/>
      <c r="O64" s="12"/>
      <c r="P64" s="4"/>
      <c r="Q64" s="12"/>
    </row>
    <row r="65" spans="1:19" hidden="1" x14ac:dyDescent="0.2">
      <c r="A65" s="158" t="s">
        <v>70</v>
      </c>
      <c r="B65" s="113">
        <f>B63</f>
        <v>0</v>
      </c>
      <c r="C65" s="61"/>
      <c r="D65" s="86"/>
      <c r="E65" s="6"/>
      <c r="F65" s="2"/>
      <c r="G65" s="114"/>
      <c r="H65" s="86"/>
      <c r="I65" s="86"/>
      <c r="J65" s="115"/>
      <c r="M65" s="10"/>
      <c r="N65" s="10"/>
      <c r="O65" s="12"/>
      <c r="P65" s="4"/>
      <c r="Q65" s="12"/>
    </row>
    <row r="66" spans="1:19" x14ac:dyDescent="0.2">
      <c r="A66" s="6"/>
      <c r="B66" s="7"/>
      <c r="C66" s="18"/>
      <c r="D66" s="7"/>
      <c r="E66" s="7"/>
      <c r="F66" s="7"/>
      <c r="G66" s="13"/>
      <c r="H66" s="13"/>
      <c r="I66" s="4"/>
      <c r="J66" s="15"/>
      <c r="N66" s="10"/>
      <c r="O66" s="10"/>
      <c r="P66" s="12"/>
      <c r="Q66" s="4"/>
      <c r="R66" s="12"/>
    </row>
    <row r="67" spans="1:19" x14ac:dyDescent="0.2">
      <c r="A67" s="6"/>
      <c r="B67" s="7"/>
      <c r="C67" s="18"/>
      <c r="D67" s="7"/>
      <c r="E67" s="19"/>
      <c r="F67" s="166" t="s">
        <v>109</v>
      </c>
      <c r="G67" s="13">
        <f>SUM(G22:G62)</f>
        <v>0</v>
      </c>
      <c r="H67" s="12" t="e">
        <f>SUM(H22:H62)</f>
        <v>#DIV/0!</v>
      </c>
      <c r="I67" s="8" t="s">
        <v>110</v>
      </c>
      <c r="J67" s="20">
        <f>SUM(J22:J66)</f>
        <v>0</v>
      </c>
      <c r="N67" s="10"/>
      <c r="O67" s="10"/>
      <c r="P67" s="12"/>
      <c r="Q67" s="4"/>
      <c r="R67" s="12"/>
    </row>
    <row r="68" spans="1:19" x14ac:dyDescent="0.2">
      <c r="A68" s="6"/>
      <c r="B68" s="6"/>
      <c r="C68" s="6"/>
      <c r="D68" s="6"/>
      <c r="E68" s="7"/>
      <c r="G68" s="7"/>
      <c r="H68" s="19"/>
      <c r="I68" s="21"/>
      <c r="J68" s="7"/>
      <c r="K68" s="4"/>
      <c r="L68" s="4"/>
      <c r="M68" s="4"/>
      <c r="N68" s="22"/>
      <c r="O68" s="10"/>
      <c r="P68" s="10"/>
      <c r="Q68" s="12"/>
      <c r="R68" s="4"/>
      <c r="S68" s="12"/>
    </row>
    <row r="69" spans="1:19" x14ac:dyDescent="0.2">
      <c r="H69" s="23"/>
      <c r="I69" s="7"/>
    </row>
    <row r="70" spans="1:19" x14ac:dyDescent="0.2">
      <c r="A70" s="24" t="s">
        <v>1</v>
      </c>
      <c r="B70" s="24"/>
      <c r="C70" s="24"/>
      <c r="D70" s="24"/>
      <c r="E70" s="2"/>
      <c r="F70" s="1"/>
      <c r="G70" s="2"/>
      <c r="H70" s="2"/>
      <c r="I70" s="2"/>
      <c r="J70" s="4"/>
      <c r="K70" s="4"/>
      <c r="L70" s="4"/>
      <c r="M70" s="4"/>
    </row>
    <row r="71" spans="1:19" x14ac:dyDescent="0.2">
      <c r="A71" s="158"/>
      <c r="B71" s="7"/>
      <c r="C71" s="7"/>
      <c r="D71" s="7"/>
      <c r="E71" s="7"/>
      <c r="F71" s="7"/>
      <c r="G71" s="25"/>
      <c r="H71" s="4"/>
      <c r="I71" s="167" t="s">
        <v>111</v>
      </c>
      <c r="J71" s="26">
        <f>IF(E19="en avancement d'hoirie",V114,Z114)</f>
        <v>0</v>
      </c>
    </row>
    <row r="72" spans="1:19" x14ac:dyDescent="0.2">
      <c r="A72" s="157" t="s">
        <v>101</v>
      </c>
      <c r="B72" s="6"/>
      <c r="C72" s="6"/>
      <c r="D72" s="6"/>
      <c r="E72" s="7"/>
      <c r="F72" s="7"/>
      <c r="G72" s="26">
        <f>J67</f>
        <v>0</v>
      </c>
      <c r="H72" s="4"/>
      <c r="I72" s="168" t="s">
        <v>107</v>
      </c>
      <c r="J72" s="27">
        <f>J71*21%</f>
        <v>0</v>
      </c>
    </row>
    <row r="73" spans="1:19" x14ac:dyDescent="0.2">
      <c r="A73" s="157" t="s">
        <v>102</v>
      </c>
      <c r="B73" s="6"/>
      <c r="C73" s="6"/>
      <c r="D73" s="6"/>
      <c r="E73" s="7"/>
      <c r="F73" s="7"/>
      <c r="G73" s="79">
        <v>0</v>
      </c>
      <c r="H73" s="4"/>
      <c r="I73" s="167"/>
      <c r="J73" s="4"/>
    </row>
    <row r="74" spans="1:19" x14ac:dyDescent="0.2">
      <c r="A74" s="163" t="s">
        <v>103</v>
      </c>
      <c r="B74" s="6"/>
      <c r="C74" s="6"/>
      <c r="D74" s="6"/>
      <c r="E74" s="69">
        <v>0</v>
      </c>
      <c r="F74" s="5"/>
      <c r="G74" s="26">
        <f>E74*30</f>
        <v>0</v>
      </c>
      <c r="H74" s="4"/>
      <c r="I74" s="167"/>
      <c r="J74" s="4"/>
    </row>
    <row r="75" spans="1:19" x14ac:dyDescent="0.2">
      <c r="A75" s="158"/>
      <c r="B75" s="7"/>
      <c r="C75" s="7"/>
      <c r="D75" s="7"/>
      <c r="E75" s="7"/>
      <c r="F75" s="7"/>
      <c r="G75" s="26"/>
      <c r="H75" s="4"/>
      <c r="I75" s="167"/>
      <c r="J75" s="4"/>
    </row>
    <row r="76" spans="1:19" x14ac:dyDescent="0.2">
      <c r="A76" s="163" t="s">
        <v>104</v>
      </c>
      <c r="B76" s="6"/>
      <c r="C76" s="6"/>
      <c r="D76" s="6"/>
      <c r="E76" s="7"/>
      <c r="F76" s="7"/>
      <c r="G76" s="79">
        <v>0</v>
      </c>
      <c r="H76" s="4"/>
      <c r="I76" s="167"/>
      <c r="J76" s="4"/>
    </row>
    <row r="77" spans="1:19" x14ac:dyDescent="0.2">
      <c r="A77" s="163"/>
      <c r="B77" s="6"/>
      <c r="C77" s="6"/>
      <c r="D77" s="6"/>
      <c r="E77" s="7"/>
      <c r="F77" s="164" t="s">
        <v>107</v>
      </c>
      <c r="G77" s="27">
        <f>G76*21%</f>
        <v>0</v>
      </c>
      <c r="H77" s="4"/>
      <c r="I77" s="167"/>
      <c r="J77" s="4"/>
    </row>
    <row r="78" spans="1:19" x14ac:dyDescent="0.2">
      <c r="A78" s="163" t="s">
        <v>105</v>
      </c>
      <c r="B78" s="6"/>
      <c r="C78" s="6"/>
      <c r="D78" s="6"/>
      <c r="E78" s="7"/>
      <c r="F78" s="165"/>
      <c r="G78" s="26">
        <v>7.5</v>
      </c>
      <c r="H78" s="4"/>
      <c r="I78" s="167"/>
      <c r="J78" s="4"/>
    </row>
    <row r="79" spans="1:19" x14ac:dyDescent="0.2">
      <c r="A79" s="163"/>
      <c r="B79" s="6"/>
      <c r="C79" s="6"/>
      <c r="D79" s="6"/>
      <c r="E79" s="7"/>
      <c r="F79" s="164" t="s">
        <v>107</v>
      </c>
      <c r="G79" s="27">
        <f>G78*21%</f>
        <v>1.575</v>
      </c>
      <c r="H79" s="4"/>
      <c r="I79" s="167"/>
      <c r="J79" s="4"/>
    </row>
    <row r="80" spans="1:19" x14ac:dyDescent="0.2">
      <c r="A80" s="157" t="s">
        <v>106</v>
      </c>
      <c r="B80" s="6"/>
      <c r="C80" s="6"/>
      <c r="D80" s="6"/>
      <c r="E80" s="7"/>
      <c r="F80" s="165"/>
      <c r="G80" s="79">
        <v>762.5</v>
      </c>
      <c r="H80" s="4"/>
      <c r="I80" s="167"/>
      <c r="J80" s="4"/>
    </row>
    <row r="81" spans="1:10" x14ac:dyDescent="0.2">
      <c r="A81" s="6"/>
      <c r="B81" s="6"/>
      <c r="C81" s="6"/>
      <c r="D81" s="6"/>
      <c r="E81" s="7"/>
      <c r="F81" s="164" t="s">
        <v>107</v>
      </c>
      <c r="G81" s="27">
        <f>G80*21%</f>
        <v>160.125</v>
      </c>
      <c r="H81" s="4"/>
      <c r="I81" s="167"/>
      <c r="J81" s="4"/>
    </row>
    <row r="82" spans="1:10" x14ac:dyDescent="0.2">
      <c r="A82" s="7"/>
      <c r="B82" s="7"/>
      <c r="C82" s="7"/>
      <c r="D82" s="7"/>
      <c r="E82" s="7"/>
      <c r="F82" s="158"/>
      <c r="G82" s="26"/>
      <c r="H82" s="4"/>
      <c r="I82" s="167"/>
      <c r="J82" s="4"/>
    </row>
    <row r="83" spans="1:10" x14ac:dyDescent="0.2">
      <c r="A83" s="7"/>
      <c r="B83" s="7"/>
      <c r="C83" s="7"/>
      <c r="D83" s="7"/>
      <c r="E83" s="7"/>
      <c r="F83" s="158" t="s">
        <v>108</v>
      </c>
      <c r="G83" s="26">
        <f>SUM(G72,G74,G76,G78,G80)</f>
        <v>770</v>
      </c>
      <c r="H83" s="4"/>
      <c r="I83" s="167" t="s">
        <v>110</v>
      </c>
      <c r="J83" s="26">
        <f>J71</f>
        <v>0</v>
      </c>
    </row>
    <row r="84" spans="1:10" x14ac:dyDescent="0.2">
      <c r="A84" s="7"/>
      <c r="B84" s="7"/>
      <c r="C84" s="7"/>
      <c r="D84" s="7"/>
      <c r="E84" s="7"/>
      <c r="F84" s="7"/>
      <c r="G84" s="7"/>
      <c r="H84" s="4"/>
      <c r="I84" s="158" t="s">
        <v>108</v>
      </c>
      <c r="J84" s="26">
        <f>SUM(G71:G80)</f>
        <v>771.57500000000005</v>
      </c>
    </row>
    <row r="85" spans="1:10" x14ac:dyDescent="0.2">
      <c r="A85" s="7"/>
      <c r="B85" s="7"/>
      <c r="C85" s="7"/>
      <c r="D85" s="7"/>
      <c r="E85" s="7"/>
      <c r="F85" s="7"/>
      <c r="G85" s="7"/>
      <c r="H85" s="4"/>
      <c r="I85" s="167" t="s">
        <v>112</v>
      </c>
      <c r="J85" s="26">
        <f>SUM(J83+G83)</f>
        <v>770</v>
      </c>
    </row>
    <row r="86" spans="1:10" x14ac:dyDescent="0.2">
      <c r="F86" s="5"/>
      <c r="I86" s="159"/>
      <c r="J86" s="26"/>
    </row>
    <row r="87" spans="1:10" x14ac:dyDescent="0.2">
      <c r="F87" s="5"/>
      <c r="I87" s="167" t="s">
        <v>113</v>
      </c>
      <c r="J87" s="26">
        <f>SUM(G77,G79,G81,J72)</f>
        <v>161.69999999999999</v>
      </c>
    </row>
    <row r="88" spans="1:10" ht="13.5" thickBot="1" x14ac:dyDescent="0.25">
      <c r="F88" s="5"/>
      <c r="I88" s="159"/>
      <c r="J88" s="26"/>
    </row>
    <row r="89" spans="1:10" ht="14.25" thickTop="1" thickBot="1" x14ac:dyDescent="0.25">
      <c r="E89" s="28"/>
      <c r="F89" s="5"/>
      <c r="I89" s="169" t="s">
        <v>109</v>
      </c>
      <c r="J89" s="53">
        <f>SUM(J85:J87)</f>
        <v>931.7</v>
      </c>
    </row>
    <row r="90" spans="1:10" ht="13.5" thickTop="1" x14ac:dyDescent="0.2">
      <c r="E90" s="28"/>
      <c r="F90" s="29"/>
      <c r="G90" s="28"/>
    </row>
    <row r="91" spans="1:10" x14ac:dyDescent="0.2">
      <c r="E91" s="80" t="s">
        <v>114</v>
      </c>
      <c r="F91" s="81"/>
      <c r="G91" s="80" t="s">
        <v>119</v>
      </c>
      <c r="H91" s="82"/>
      <c r="I91" s="18"/>
      <c r="J91" s="7"/>
    </row>
    <row r="92" spans="1:10" x14ac:dyDescent="0.2">
      <c r="E92" s="80" t="s">
        <v>115</v>
      </c>
      <c r="F92" s="81"/>
      <c r="G92" s="80" t="s">
        <v>120</v>
      </c>
      <c r="H92" s="82"/>
      <c r="I92" s="18"/>
      <c r="J92" s="7"/>
    </row>
    <row r="93" spans="1:10" x14ac:dyDescent="0.2">
      <c r="E93" s="80" t="s">
        <v>116</v>
      </c>
      <c r="F93" s="81"/>
      <c r="G93" s="80" t="s">
        <v>121</v>
      </c>
      <c r="H93" s="82"/>
      <c r="I93" s="18"/>
      <c r="J93" s="7"/>
    </row>
    <row r="94" spans="1:10" x14ac:dyDescent="0.2">
      <c r="E94" s="80" t="s">
        <v>117</v>
      </c>
      <c r="F94" s="81"/>
      <c r="G94" s="80" t="s">
        <v>122</v>
      </c>
      <c r="H94" s="82"/>
      <c r="I94" s="18"/>
      <c r="J94" s="7"/>
    </row>
    <row r="95" spans="1:10" x14ac:dyDescent="0.2">
      <c r="E95" s="80" t="s">
        <v>118</v>
      </c>
      <c r="F95" s="81"/>
      <c r="G95" s="80" t="s">
        <v>123</v>
      </c>
      <c r="H95" s="82"/>
      <c r="I95" s="18"/>
    </row>
    <row r="96" spans="1:10" x14ac:dyDescent="0.2">
      <c r="E96" s="80"/>
      <c r="F96" s="81"/>
      <c r="G96" s="80"/>
      <c r="H96" s="82"/>
      <c r="I96" s="18"/>
    </row>
    <row r="97" spans="1:32" x14ac:dyDescent="0.2">
      <c r="E97" s="80"/>
      <c r="F97" s="81"/>
      <c r="G97" s="80"/>
      <c r="H97" s="83" t="s">
        <v>124</v>
      </c>
      <c r="I97" s="18"/>
    </row>
    <row r="98" spans="1:32" hidden="1" x14ac:dyDescent="0.2">
      <c r="E98" s="28"/>
      <c r="F98" s="29"/>
      <c r="G98" s="28"/>
      <c r="I98" s="30"/>
    </row>
    <row r="99" spans="1:32" hidden="1" x14ac:dyDescent="0.2">
      <c r="A99" s="31"/>
      <c r="B99" s="31"/>
      <c r="C99" s="31"/>
      <c r="D99" s="31"/>
      <c r="E99" s="31"/>
      <c r="F99" s="32"/>
      <c r="G99" s="31"/>
      <c r="H99" s="31"/>
      <c r="I99" s="31"/>
      <c r="J99" s="31"/>
      <c r="K99" s="162" t="s">
        <v>98</v>
      </c>
      <c r="L99" s="31"/>
      <c r="M99" s="31"/>
      <c r="N99" s="31"/>
      <c r="O99" s="159" t="s">
        <v>81</v>
      </c>
    </row>
    <row r="100" spans="1:32" hidden="1" x14ac:dyDescent="0.2">
      <c r="A100" s="31"/>
      <c r="B100" s="31"/>
      <c r="C100" s="31"/>
      <c r="D100" s="31"/>
      <c r="E100" s="31"/>
      <c r="F100" s="32"/>
      <c r="G100" s="31"/>
      <c r="H100" s="31"/>
      <c r="I100" s="31"/>
      <c r="J100" s="31"/>
      <c r="K100" s="162" t="s">
        <v>99</v>
      </c>
      <c r="L100" s="31"/>
      <c r="M100" s="31"/>
      <c r="N100" s="31"/>
      <c r="O100" s="159" t="s">
        <v>82</v>
      </c>
    </row>
    <row r="101" spans="1:32" hidden="1" x14ac:dyDescent="0.2">
      <c r="E101" s="28">
        <f>E5-F15</f>
        <v>0</v>
      </c>
      <c r="F101" s="29"/>
      <c r="G101" s="28"/>
      <c r="H101" s="28"/>
      <c r="I101" s="28"/>
      <c r="J101" s="33"/>
      <c r="K101" s="28"/>
      <c r="L101" s="28"/>
      <c r="M101" s="34"/>
      <c r="O101" s="34"/>
      <c r="Q101" s="35"/>
      <c r="S101" s="34"/>
      <c r="U101" s="34"/>
      <c r="W101" s="34"/>
      <c r="Y101" s="34"/>
      <c r="AA101" s="34"/>
      <c r="AC101" s="34"/>
      <c r="AE101" s="34"/>
    </row>
    <row r="102" spans="1:32" hidden="1" x14ac:dyDescent="0.2">
      <c r="E102" s="28"/>
      <c r="F102" s="29"/>
      <c r="G102" s="28"/>
      <c r="H102" s="28"/>
      <c r="I102" s="28"/>
      <c r="J102" s="33"/>
      <c r="M102" s="28"/>
      <c r="N102" s="28"/>
      <c r="O102" s="28"/>
      <c r="Q102" s="34"/>
      <c r="S102" s="34"/>
      <c r="U102" s="34"/>
      <c r="W102" s="34"/>
      <c r="Y102" s="34"/>
      <c r="AA102" s="34"/>
      <c r="AC102" s="34"/>
      <c r="AE102" s="34"/>
    </row>
    <row r="103" spans="1:32" hidden="1" x14ac:dyDescent="0.2">
      <c r="E103" s="28"/>
      <c r="F103" s="29"/>
      <c r="G103" s="28"/>
      <c r="H103" s="28"/>
      <c r="I103" s="28"/>
      <c r="J103" s="33"/>
      <c r="K103" s="28"/>
      <c r="L103" s="28"/>
      <c r="M103" s="34"/>
      <c r="O103" s="34"/>
      <c r="Q103" s="34"/>
      <c r="S103" s="34"/>
      <c r="U103" s="34"/>
      <c r="W103" s="34"/>
      <c r="Y103" s="34"/>
      <c r="AA103" s="34"/>
      <c r="AC103" s="34"/>
      <c r="AE103" s="34"/>
    </row>
    <row r="104" spans="1:32" ht="18" hidden="1" x14ac:dyDescent="0.25">
      <c r="E104" s="28"/>
      <c r="F104" s="29"/>
      <c r="G104" s="28"/>
      <c r="H104" s="28"/>
      <c r="I104" s="28"/>
      <c r="J104" s="174" t="s">
        <v>9</v>
      </c>
      <c r="K104" s="174"/>
      <c r="L104" s="36"/>
      <c r="M104" s="173" t="s">
        <v>10</v>
      </c>
      <c r="N104" s="173"/>
      <c r="O104" s="173" t="s">
        <v>11</v>
      </c>
      <c r="P104" s="173"/>
      <c r="Q104" s="173" t="s">
        <v>12</v>
      </c>
      <c r="R104" s="173"/>
      <c r="S104" s="173" t="s">
        <v>13</v>
      </c>
      <c r="T104" s="173"/>
      <c r="U104" s="173" t="s">
        <v>14</v>
      </c>
      <c r="V104" s="173"/>
      <c r="W104" s="173" t="s">
        <v>15</v>
      </c>
      <c r="X104" s="173"/>
      <c r="Y104" s="173" t="s">
        <v>16</v>
      </c>
      <c r="Z104" s="173"/>
      <c r="AA104" s="173" t="s">
        <v>17</v>
      </c>
      <c r="AB104" s="173"/>
      <c r="AC104" s="173" t="s">
        <v>18</v>
      </c>
      <c r="AD104" s="173"/>
      <c r="AE104" s="173" t="s">
        <v>19</v>
      </c>
      <c r="AF104" s="173"/>
    </row>
    <row r="105" spans="1:32" hidden="1" x14ac:dyDescent="0.2">
      <c r="E105" s="28">
        <v>0</v>
      </c>
      <c r="F105" s="29"/>
      <c r="G105" s="28"/>
      <c r="H105" s="28">
        <v>7500</v>
      </c>
      <c r="I105" s="28"/>
      <c r="J105" s="34">
        <v>2.8500000000000001E-3</v>
      </c>
      <c r="K105" s="31">
        <f t="shared" ref="K105:K111" si="0">IF((IF($H105-($E$101-$E105)&gt;$E105,($E$101-$E105)*J105,($H105-$E105)*J105))&lt;0,0,(IF($H105-($E$101-$E105)&gt;$E105,($E$101-$E105)*J105,($H105-$E105)*J105)))</f>
        <v>0</v>
      </c>
      <c r="L105" s="31"/>
      <c r="M105" s="34">
        <v>3.9899999999999996E-3</v>
      </c>
      <c r="N105" s="31">
        <f t="shared" ref="N105:N111" si="1">IF((IF($H105-($E$101-$E105)&gt;$E105,($E$101-$E105)*M105,($H105-$E105)*M105))&lt;0,0,(IF($H105-($E$101-$E105)&gt;$E105,($E$101-$E105)*M105,($H105-$E105)*M105)))</f>
        <v>0</v>
      </c>
      <c r="O105" s="34">
        <v>5.7000000000000002E-3</v>
      </c>
      <c r="P105" s="31">
        <f t="shared" ref="P105:P111" si="2">IF((IF($H105-($E$101-$E105)&gt;$E105,($E$101-$E105)*O105,($H105-$E105)*O105))&lt;0,0,(IF($H105-($E$101-$E105)&gt;$E105,($E$101-$E105)*O105,($H105-$E105)*O105)))</f>
        <v>0</v>
      </c>
      <c r="Q105" s="34">
        <v>8.5500000000000003E-3</v>
      </c>
      <c r="R105" s="31">
        <f t="shared" ref="R105:R111" si="3">IF((IF($H105-($E$101-$E105)&gt;$E105,($E$101-$E105)*Q105,($H105-$E105)*Q105))&lt;0,0,(IF($H105-($E$101-$E105)&gt;$E105,($E$101-$E105)*Q105,($H105-$E105)*Q105)))</f>
        <v>0</v>
      </c>
      <c r="S105" s="34">
        <v>1.14E-2</v>
      </c>
      <c r="T105" s="31">
        <f t="shared" ref="T105:T111" si="4">IF((IF($H105-($E$101-$E105)&gt;$E105,($E$101-$E105)*S105,($H105-$E105)*S105))&lt;0,0,(IF($H105-($E$101-$E105)&gt;$E105,($E$101-$E105)*S105,($H105-$E105)*S105)))</f>
        <v>0</v>
      </c>
      <c r="U105" s="34">
        <v>1.4250000000000001E-2</v>
      </c>
      <c r="V105" s="31">
        <f t="shared" ref="V105:V111" si="5">IF((IF($H105-($E$101-$E105)&gt;$E105,($E$101-$E105)*U105,($H105-$E105)*U105))&lt;0,0,(IF($H105-($E$101-$E105)&gt;$E105,($E$101-$E105)*U105,($H105-$E105)*U105)))</f>
        <v>0</v>
      </c>
      <c r="W105" s="34">
        <v>1.7100000000000001E-2</v>
      </c>
      <c r="X105" s="31">
        <f t="shared" ref="X105:X111" si="6">IF((IF($H105-($E$101-$E105)&gt;$E105,($E$101-$E105)*W105,($H105-$E105)*W105))&lt;0,0,(IF($H105-($E$101-$E105)&gt;$E105,($E$101-$E105)*W105,($H105-$E105)*W105)))</f>
        <v>0</v>
      </c>
      <c r="Y105" s="34">
        <v>2.8500000000000001E-2</v>
      </c>
      <c r="Z105" s="31">
        <f t="shared" ref="Z105:Z111" si="7">IF((IF($H105-($E$101-$E105)&gt;$E105,($E$101-$E105)*Y105,($H105-$E105)*Y105))&lt;0,0,(IF($H105-($E$101-$E105)&gt;$E105,($E$101-$E105)*Y105,($H105-$E105)*Y105)))</f>
        <v>0</v>
      </c>
      <c r="AA105" s="34">
        <v>3.4200000000000001E-2</v>
      </c>
      <c r="AB105" s="31">
        <f t="shared" ref="AB105:AB111" si="8">IF((IF($H105-($E$101-$E105)&gt;$E105,($E$101-$E105)*AA105,($H105-$E105)*AA105))&lt;0,0,(IF($H105-($E$101-$E105)&gt;$E105,($E$101-$E105)*AA105,($H105-$E105)*AA105)))</f>
        <v>0</v>
      </c>
      <c r="AC105" s="34">
        <v>4.5600000000000002E-2</v>
      </c>
      <c r="AD105" s="31">
        <f t="shared" ref="AD105:AD111" si="9">IF((IF($H105-($E$101-$E105)&gt;$E105,($E$101-$E105)*AC105,($H105-$E105)*AC105))&lt;0,0,(IF($H105-($E$101-$E105)&gt;$E105,($E$101-$E105)*AC105,($H105-$E105)*AC105)))</f>
        <v>0</v>
      </c>
      <c r="AE105" s="34">
        <v>5.7000000000000002E-2</v>
      </c>
      <c r="AF105" s="31">
        <f t="shared" ref="AF105:AF111" si="10">IF((IF($H105-($E$101-$E105)&gt;$E105,($E$101-$E105)*AE105,($H105-$E105)*AE105))&lt;0,0,(IF($H105-($E$101-$E105)&gt;$E105,($E$101-$E105)*AE105,($H105-$E105)*AE105)))</f>
        <v>0</v>
      </c>
    </row>
    <row r="106" spans="1:32" hidden="1" x14ac:dyDescent="0.2">
      <c r="E106" s="28">
        <v>7500</v>
      </c>
      <c r="F106" s="29"/>
      <c r="G106" s="28"/>
      <c r="H106" s="28">
        <v>17500</v>
      </c>
      <c r="I106" s="28"/>
      <c r="J106" s="34">
        <v>2.2799999999999999E-3</v>
      </c>
      <c r="K106" s="31">
        <f t="shared" si="0"/>
        <v>0</v>
      </c>
      <c r="L106" s="31"/>
      <c r="M106" s="34">
        <v>3.4199999999999999E-3</v>
      </c>
      <c r="N106" s="31">
        <f t="shared" si="1"/>
        <v>0</v>
      </c>
      <c r="O106" s="34">
        <v>4.5599999999999998E-3</v>
      </c>
      <c r="P106" s="31">
        <f t="shared" si="2"/>
        <v>0</v>
      </c>
      <c r="Q106" s="34">
        <v>6.8399999999999997E-3</v>
      </c>
      <c r="R106" s="31">
        <f t="shared" si="3"/>
        <v>0</v>
      </c>
      <c r="S106" s="34">
        <v>8.5500000000000003E-3</v>
      </c>
      <c r="T106" s="31">
        <f t="shared" si="4"/>
        <v>0</v>
      </c>
      <c r="U106" s="34">
        <v>1.14E-2</v>
      </c>
      <c r="V106" s="31">
        <f t="shared" si="5"/>
        <v>0</v>
      </c>
      <c r="W106" s="34">
        <v>1.3679999999999999E-2</v>
      </c>
      <c r="X106" s="31">
        <f t="shared" si="6"/>
        <v>0</v>
      </c>
      <c r="Y106" s="34">
        <v>1.7100000000000001E-2</v>
      </c>
      <c r="Z106" s="31">
        <f t="shared" si="7"/>
        <v>0</v>
      </c>
      <c r="AA106" s="34">
        <v>2.5649999999999999E-2</v>
      </c>
      <c r="AB106" s="31">
        <f t="shared" si="8"/>
        <v>0</v>
      </c>
      <c r="AC106" s="34">
        <v>2.8500000000000001E-2</v>
      </c>
      <c r="AD106" s="31">
        <f t="shared" si="9"/>
        <v>0</v>
      </c>
      <c r="AE106" s="34">
        <v>5.1299999999999998E-2</v>
      </c>
      <c r="AF106" s="31">
        <f t="shared" si="10"/>
        <v>0</v>
      </c>
    </row>
    <row r="107" spans="1:32" hidden="1" x14ac:dyDescent="0.2">
      <c r="E107" s="28">
        <v>17500</v>
      </c>
      <c r="F107" s="29"/>
      <c r="G107" s="28"/>
      <c r="H107" s="28">
        <v>30000</v>
      </c>
      <c r="I107" s="28"/>
      <c r="J107" s="34">
        <v>1.7099999999999999E-3</v>
      </c>
      <c r="K107" s="31">
        <f t="shared" si="0"/>
        <v>0</v>
      </c>
      <c r="L107" s="31"/>
      <c r="M107" s="34">
        <v>2.2799999999999999E-3</v>
      </c>
      <c r="N107" s="31">
        <f t="shared" si="1"/>
        <v>0</v>
      </c>
      <c r="O107" s="34">
        <v>3.4199999999999999E-3</v>
      </c>
      <c r="P107" s="31">
        <f t="shared" si="2"/>
        <v>0</v>
      </c>
      <c r="Q107" s="34">
        <v>4.5599999999999998E-3</v>
      </c>
      <c r="R107" s="31">
        <f t="shared" si="3"/>
        <v>0</v>
      </c>
      <c r="S107" s="34">
        <v>5.7000000000000002E-3</v>
      </c>
      <c r="T107" s="31">
        <f t="shared" si="4"/>
        <v>0</v>
      </c>
      <c r="U107" s="34">
        <v>6.8399999999999997E-3</v>
      </c>
      <c r="V107" s="31">
        <f t="shared" si="5"/>
        <v>0</v>
      </c>
      <c r="W107" s="34">
        <v>9.1199999999999996E-3</v>
      </c>
      <c r="X107" s="31">
        <f t="shared" si="6"/>
        <v>0</v>
      </c>
      <c r="Y107" s="34">
        <v>1.4250000000000001E-2</v>
      </c>
      <c r="Z107" s="31">
        <f t="shared" si="7"/>
        <v>0</v>
      </c>
      <c r="AA107" s="34">
        <v>1.7100000000000001E-2</v>
      </c>
      <c r="AB107" s="31">
        <f t="shared" si="8"/>
        <v>0</v>
      </c>
      <c r="AC107" s="34">
        <v>2.2800000000000001E-2</v>
      </c>
      <c r="AD107" s="31">
        <f t="shared" si="9"/>
        <v>0</v>
      </c>
      <c r="AE107" s="34">
        <v>4.5600000000000002E-2</v>
      </c>
      <c r="AF107" s="31">
        <f t="shared" si="10"/>
        <v>0</v>
      </c>
    </row>
    <row r="108" spans="1:32" hidden="1" x14ac:dyDescent="0.2">
      <c r="E108" s="28">
        <v>30000</v>
      </c>
      <c r="F108" s="29"/>
      <c r="G108" s="28"/>
      <c r="H108" s="28">
        <v>45495</v>
      </c>
      <c r="I108" s="28"/>
      <c r="J108" s="34">
        <v>1.14E-3</v>
      </c>
      <c r="K108" s="31">
        <f t="shared" si="0"/>
        <v>0</v>
      </c>
      <c r="L108" s="31"/>
      <c r="M108" s="34">
        <v>1.7099999999999999E-3</v>
      </c>
      <c r="N108" s="31">
        <f t="shared" si="1"/>
        <v>0</v>
      </c>
      <c r="O108" s="34">
        <v>2.2799999999999999E-3</v>
      </c>
      <c r="P108" s="31">
        <f t="shared" si="2"/>
        <v>0</v>
      </c>
      <c r="Q108" s="34">
        <v>3.4199999999999999E-3</v>
      </c>
      <c r="R108" s="31">
        <f t="shared" si="3"/>
        <v>0</v>
      </c>
      <c r="S108" s="34">
        <v>4.5599999999999998E-3</v>
      </c>
      <c r="T108" s="31">
        <f t="shared" si="4"/>
        <v>0</v>
      </c>
      <c r="U108" s="34">
        <v>5.7000000000000002E-3</v>
      </c>
      <c r="V108" s="31">
        <f t="shared" si="5"/>
        <v>0</v>
      </c>
      <c r="W108" s="34">
        <v>6.8399999999999997E-3</v>
      </c>
      <c r="X108" s="31">
        <f t="shared" si="6"/>
        <v>0</v>
      </c>
      <c r="Y108" s="34">
        <v>1.14E-2</v>
      </c>
      <c r="Z108" s="31">
        <f t="shared" si="7"/>
        <v>0</v>
      </c>
      <c r="AA108" s="34">
        <v>1.14E-2</v>
      </c>
      <c r="AB108" s="31">
        <f t="shared" si="8"/>
        <v>0</v>
      </c>
      <c r="AC108" s="34">
        <v>1.7100000000000001E-2</v>
      </c>
      <c r="AD108" s="31">
        <f t="shared" si="9"/>
        <v>0</v>
      </c>
      <c r="AE108" s="34">
        <v>3.9899999999999998E-2</v>
      </c>
      <c r="AF108" s="31">
        <f t="shared" si="10"/>
        <v>0</v>
      </c>
    </row>
    <row r="109" spans="1:32" hidden="1" x14ac:dyDescent="0.2">
      <c r="E109" s="28">
        <v>45495</v>
      </c>
      <c r="F109" s="29"/>
      <c r="G109" s="28"/>
      <c r="H109" s="28">
        <v>64095</v>
      </c>
      <c r="I109" s="28"/>
      <c r="J109" s="34">
        <v>5.6999999999999998E-4</v>
      </c>
      <c r="K109" s="31">
        <f t="shared" si="0"/>
        <v>0</v>
      </c>
      <c r="L109" s="31"/>
      <c r="M109" s="34">
        <v>1.14E-3</v>
      </c>
      <c r="N109" s="31">
        <f t="shared" si="1"/>
        <v>0</v>
      </c>
      <c r="O109" s="34">
        <v>1.14E-3</v>
      </c>
      <c r="P109" s="31">
        <f t="shared" si="2"/>
        <v>0</v>
      </c>
      <c r="Q109" s="34">
        <v>2.2799999999999999E-3</v>
      </c>
      <c r="R109" s="31">
        <f t="shared" si="3"/>
        <v>0</v>
      </c>
      <c r="S109" s="34">
        <v>2.8500000000000001E-3</v>
      </c>
      <c r="T109" s="31">
        <f t="shared" si="4"/>
        <v>0</v>
      </c>
      <c r="U109" s="34">
        <v>4.5599999999999998E-3</v>
      </c>
      <c r="V109" s="31">
        <f t="shared" si="5"/>
        <v>0</v>
      </c>
      <c r="W109" s="34">
        <v>4.5599999999999998E-3</v>
      </c>
      <c r="X109" s="31">
        <f t="shared" si="6"/>
        <v>0</v>
      </c>
      <c r="Y109" s="34">
        <v>8.5500000000000003E-3</v>
      </c>
      <c r="Z109" s="31">
        <f t="shared" si="7"/>
        <v>0</v>
      </c>
      <c r="AA109" s="34">
        <v>8.5500000000000003E-3</v>
      </c>
      <c r="AB109" s="31">
        <f t="shared" si="8"/>
        <v>0</v>
      </c>
      <c r="AC109" s="34">
        <v>1.14E-2</v>
      </c>
      <c r="AD109" s="31">
        <f t="shared" si="9"/>
        <v>0</v>
      </c>
      <c r="AE109" s="34">
        <v>2.8500000000000001E-2</v>
      </c>
      <c r="AF109" s="31">
        <f t="shared" si="10"/>
        <v>0</v>
      </c>
    </row>
    <row r="110" spans="1:32" hidden="1" x14ac:dyDescent="0.2">
      <c r="E110" s="28">
        <v>64095</v>
      </c>
      <c r="F110" s="29"/>
      <c r="G110" s="28"/>
      <c r="H110" s="28">
        <v>250095</v>
      </c>
      <c r="I110" s="28"/>
      <c r="J110" s="34">
        <v>2.2800000000000001E-4</v>
      </c>
      <c r="K110" s="31">
        <f t="shared" si="0"/>
        <v>0</v>
      </c>
      <c r="L110" s="31"/>
      <c r="M110" s="34">
        <v>5.6999999999999998E-4</v>
      </c>
      <c r="N110" s="31">
        <f t="shared" si="1"/>
        <v>0</v>
      </c>
      <c r="O110" s="34">
        <v>5.6999999999999998E-4</v>
      </c>
      <c r="P110" s="31">
        <f t="shared" si="2"/>
        <v>0</v>
      </c>
      <c r="Q110" s="34">
        <v>1.14E-3</v>
      </c>
      <c r="R110" s="31">
        <f t="shared" si="3"/>
        <v>0</v>
      </c>
      <c r="S110" s="34">
        <v>1.14E-3</v>
      </c>
      <c r="T110" s="31">
        <f t="shared" si="4"/>
        <v>0</v>
      </c>
      <c r="U110" s="34">
        <v>2.2799999999999999E-3</v>
      </c>
      <c r="V110" s="31">
        <f t="shared" si="5"/>
        <v>0</v>
      </c>
      <c r="W110" s="34">
        <v>2.2799999999999999E-3</v>
      </c>
      <c r="X110" s="31">
        <f t="shared" si="6"/>
        <v>0</v>
      </c>
      <c r="Y110" s="34">
        <v>5.7000000000000002E-3</v>
      </c>
      <c r="Z110" s="31">
        <f t="shared" si="7"/>
        <v>0</v>
      </c>
      <c r="AA110" s="34">
        <v>5.7000000000000002E-3</v>
      </c>
      <c r="AB110" s="31">
        <f t="shared" si="8"/>
        <v>0</v>
      </c>
      <c r="AC110" s="34">
        <v>5.7000000000000002E-3</v>
      </c>
      <c r="AD110" s="31">
        <f t="shared" si="9"/>
        <v>0</v>
      </c>
      <c r="AE110" s="34">
        <v>1.3679999999999999E-2</v>
      </c>
      <c r="AF110" s="31">
        <f t="shared" si="10"/>
        <v>0</v>
      </c>
    </row>
    <row r="111" spans="1:32" hidden="1" x14ac:dyDescent="0.2">
      <c r="E111" s="28">
        <v>250095</v>
      </c>
      <c r="F111" s="29"/>
      <c r="G111" s="28"/>
      <c r="H111" s="28">
        <v>999999999999</v>
      </c>
      <c r="I111" s="28"/>
      <c r="J111" s="34">
        <v>1.1400000000000001E-4</v>
      </c>
      <c r="K111" s="31">
        <f t="shared" si="0"/>
        <v>0</v>
      </c>
      <c r="L111" s="31"/>
      <c r="M111" s="34">
        <v>2.2800000000000001E-4</v>
      </c>
      <c r="N111" s="31">
        <f t="shared" si="1"/>
        <v>0</v>
      </c>
      <c r="O111" s="34">
        <v>2.2800000000000001E-4</v>
      </c>
      <c r="P111" s="31">
        <f t="shared" si="2"/>
        <v>0</v>
      </c>
      <c r="Q111" s="34">
        <v>3.4200000000000002E-4</v>
      </c>
      <c r="R111" s="31">
        <f t="shared" si="3"/>
        <v>0</v>
      </c>
      <c r="S111" s="34">
        <v>3.4200000000000002E-4</v>
      </c>
      <c r="T111" s="31">
        <f t="shared" si="4"/>
        <v>0</v>
      </c>
      <c r="U111" s="34">
        <v>4.5600000000000003E-4</v>
      </c>
      <c r="V111" s="31">
        <f t="shared" si="5"/>
        <v>0</v>
      </c>
      <c r="W111" s="34">
        <v>4.5600000000000003E-4</v>
      </c>
      <c r="X111" s="31">
        <f t="shared" si="6"/>
        <v>0</v>
      </c>
      <c r="Y111" s="34">
        <v>5.6999999999999998E-4</v>
      </c>
      <c r="Z111" s="31">
        <f t="shared" si="7"/>
        <v>0</v>
      </c>
      <c r="AA111" s="34">
        <v>5.6999999999999998E-4</v>
      </c>
      <c r="AB111" s="31">
        <f t="shared" si="8"/>
        <v>0</v>
      </c>
      <c r="AC111" s="34">
        <v>5.6999999999999998E-4</v>
      </c>
      <c r="AD111" s="31">
        <f t="shared" si="9"/>
        <v>0</v>
      </c>
      <c r="AE111" s="34">
        <v>1.14E-3</v>
      </c>
      <c r="AF111" s="31">
        <f t="shared" si="10"/>
        <v>0</v>
      </c>
    </row>
    <row r="112" spans="1:32" hidden="1" x14ac:dyDescent="0.2">
      <c r="E112" s="28"/>
      <c r="F112" s="29"/>
      <c r="G112" s="28"/>
      <c r="H112" s="28"/>
      <c r="I112" s="28"/>
      <c r="J112" s="34"/>
      <c r="K112" s="31"/>
      <c r="L112" s="31"/>
      <c r="M112" s="34"/>
      <c r="N112" s="31"/>
      <c r="O112" s="34"/>
      <c r="P112" s="31"/>
      <c r="Q112" s="34"/>
      <c r="R112" s="31"/>
      <c r="S112" s="34"/>
      <c r="T112" s="31"/>
      <c r="U112" s="34"/>
      <c r="V112" s="31"/>
      <c r="W112" s="34"/>
      <c r="X112" s="31"/>
      <c r="Y112" s="34"/>
      <c r="Z112" s="31"/>
      <c r="AA112" s="34"/>
      <c r="AB112" s="31"/>
      <c r="AC112" s="34"/>
      <c r="AD112" s="31"/>
      <c r="AE112" s="34"/>
      <c r="AF112" s="31"/>
    </row>
    <row r="113" spans="1:50" hidden="1" x14ac:dyDescent="0.2">
      <c r="E113" s="28"/>
      <c r="F113" s="29"/>
      <c r="G113" s="28"/>
      <c r="H113" s="28"/>
      <c r="I113" s="28"/>
      <c r="J113" s="34"/>
      <c r="K113" s="31"/>
      <c r="L113" s="31"/>
      <c r="M113" s="34"/>
      <c r="N113" s="31"/>
      <c r="O113" s="34"/>
      <c r="P113" s="31"/>
      <c r="Q113" s="34"/>
      <c r="R113" s="31"/>
      <c r="S113" s="34"/>
      <c r="T113" s="31"/>
      <c r="U113" s="34"/>
      <c r="V113" s="31"/>
      <c r="W113" s="34"/>
      <c r="X113" s="31"/>
      <c r="Y113" s="34"/>
      <c r="Z113" s="31"/>
      <c r="AA113" s="34"/>
      <c r="AB113" s="31"/>
      <c r="AC113" s="34"/>
      <c r="AD113" s="31"/>
      <c r="AE113" s="34"/>
      <c r="AF113" s="31"/>
    </row>
    <row r="114" spans="1:50" hidden="1" x14ac:dyDescent="0.2">
      <c r="A114" s="28"/>
      <c r="B114" s="28"/>
      <c r="C114" s="28"/>
      <c r="D114" s="28"/>
      <c r="E114" s="28"/>
      <c r="F114" s="29"/>
      <c r="G114" s="28"/>
      <c r="H114" s="28"/>
      <c r="I114" s="28"/>
      <c r="J114" s="33"/>
      <c r="K114" s="31">
        <f>SUM(K105:K111)</f>
        <v>0</v>
      </c>
      <c r="L114" s="31"/>
      <c r="M114" s="33"/>
      <c r="N114" s="31">
        <f>SUM(N105:N111)</f>
        <v>0</v>
      </c>
      <c r="O114" s="33"/>
      <c r="P114" s="31">
        <f>SUM(P105:P111)</f>
        <v>0</v>
      </c>
      <c r="Q114" s="33"/>
      <c r="R114" s="31">
        <f>SUM(R105:R111)</f>
        <v>0</v>
      </c>
      <c r="S114" s="33"/>
      <c r="T114" s="31">
        <f>SUM(T105:T111)</f>
        <v>0</v>
      </c>
      <c r="U114" s="33"/>
      <c r="V114" s="31">
        <f>SUM(V105:V111)</f>
        <v>0</v>
      </c>
      <c r="W114" s="33"/>
      <c r="X114" s="31">
        <f>SUM(X105:X111)</f>
        <v>0</v>
      </c>
      <c r="Y114" s="33"/>
      <c r="Z114" s="31">
        <f>SUM(Z105:Z111)</f>
        <v>0</v>
      </c>
      <c r="AA114" s="33"/>
      <c r="AB114" s="31">
        <f>SUM(AB105:AB111)</f>
        <v>0</v>
      </c>
      <c r="AC114" s="33"/>
      <c r="AD114" s="31">
        <f>SUM(AD105:AD111)</f>
        <v>0</v>
      </c>
      <c r="AE114" s="33"/>
      <c r="AF114" s="31">
        <f>SUM(AF105:AF111)</f>
        <v>0</v>
      </c>
    </row>
    <row r="115" spans="1:50" hidden="1" x14ac:dyDescent="0.2">
      <c r="E115" s="28"/>
      <c r="F115" s="29"/>
      <c r="G115" s="28"/>
      <c r="H115" s="28"/>
      <c r="I115" s="28"/>
      <c r="J115" s="34"/>
      <c r="K115" s="31"/>
      <c r="L115" s="31"/>
      <c r="M115" s="34"/>
      <c r="N115" s="31"/>
      <c r="O115" s="34"/>
      <c r="P115" s="31"/>
      <c r="Q115" s="34"/>
      <c r="R115" s="31"/>
      <c r="S115" s="34"/>
      <c r="T115" s="31"/>
      <c r="U115" s="34"/>
      <c r="V115" s="31"/>
      <c r="W115" s="34"/>
      <c r="X115" s="31"/>
      <c r="Y115" s="34"/>
      <c r="Z115" s="31"/>
      <c r="AA115" s="34"/>
      <c r="AB115" s="31"/>
      <c r="AC115" s="34"/>
      <c r="AD115" s="31"/>
      <c r="AE115" s="34"/>
      <c r="AF115" s="31"/>
    </row>
    <row r="116" spans="1:50" ht="18" hidden="1" x14ac:dyDescent="0.25">
      <c r="E116" s="28"/>
      <c r="F116" s="29"/>
      <c r="G116" s="28"/>
      <c r="H116" s="28"/>
      <c r="I116" s="28"/>
      <c r="J116" s="173" t="s">
        <v>20</v>
      </c>
      <c r="K116" s="173"/>
      <c r="L116" s="37"/>
      <c r="M116" s="173" t="s">
        <v>21</v>
      </c>
      <c r="N116" s="173"/>
      <c r="O116" s="34"/>
      <c r="P116" s="31"/>
      <c r="Q116" s="34"/>
      <c r="R116" s="31"/>
      <c r="S116" s="34"/>
      <c r="T116" s="31"/>
      <c r="U116" s="34"/>
      <c r="V116" s="31"/>
      <c r="W116" s="34"/>
      <c r="X116" s="31"/>
      <c r="Y116" s="34"/>
      <c r="Z116" s="31"/>
      <c r="AA116" s="34"/>
      <c r="AB116" s="31"/>
      <c r="AC116" s="34"/>
      <c r="AD116" s="31"/>
      <c r="AE116" s="34"/>
      <c r="AF116" s="31"/>
    </row>
    <row r="117" spans="1:50" hidden="1" x14ac:dyDescent="0.2">
      <c r="E117" s="28">
        <v>0</v>
      </c>
      <c r="F117" s="29"/>
      <c r="G117" s="28"/>
      <c r="H117" s="28">
        <v>37000</v>
      </c>
      <c r="I117" s="28"/>
      <c r="J117" s="34">
        <v>5.7000000000000002E-3</v>
      </c>
      <c r="K117" s="31">
        <f t="shared" ref="K117:K123" si="11">IF((IF($H117-($E$101-$E117)&gt;$E117,($E$101-$E117)*J117,($H117-$E117)*J117))&lt;0,0,(IF($H117-($E$101-$E117)&gt;$E117,($E$101-$E117)*J117,($H117-$E117)*J117)))</f>
        <v>0</v>
      </c>
      <c r="L117" s="31"/>
      <c r="M117" s="34">
        <v>8.5500000000000003E-3</v>
      </c>
      <c r="N117" s="31">
        <f t="shared" ref="N117:N123" si="12">IF((IF($H117-($E$101-$E117)&gt;$E117,($E$101-$E117)*M117,($H117-$E117)*M117))&lt;0,0,(IF($H117-($E$101-$E117)&gt;$E117,($E$101-$E117)*M117,($H117-$E117)*M117)))</f>
        <v>0</v>
      </c>
      <c r="O117" s="34"/>
      <c r="P117" s="31"/>
      <c r="Q117" s="34"/>
      <c r="R117" s="31"/>
      <c r="S117" s="34"/>
      <c r="T117" s="31"/>
      <c r="U117" s="34"/>
      <c r="V117" s="31"/>
      <c r="W117" s="34"/>
      <c r="X117" s="31"/>
      <c r="Y117" s="34"/>
      <c r="Z117" s="31"/>
      <c r="AA117" s="34"/>
      <c r="AB117" s="31"/>
      <c r="AC117" s="34"/>
      <c r="AD117" s="31"/>
      <c r="AE117" s="34"/>
      <c r="AF117" s="31"/>
    </row>
    <row r="118" spans="1:50" hidden="1" x14ac:dyDescent="0.2">
      <c r="E118" s="28">
        <v>37000</v>
      </c>
      <c r="F118" s="29"/>
      <c r="G118" s="28"/>
      <c r="H118" s="28">
        <v>99000</v>
      </c>
      <c r="I118" s="28"/>
      <c r="J118" s="34">
        <v>3.9899999999999996E-3</v>
      </c>
      <c r="K118" s="31">
        <f t="shared" si="11"/>
        <v>0</v>
      </c>
      <c r="L118" s="31"/>
      <c r="M118" s="34">
        <v>5.7000000000000002E-3</v>
      </c>
      <c r="N118" s="31">
        <f t="shared" si="12"/>
        <v>0</v>
      </c>
      <c r="O118" s="34"/>
      <c r="P118" s="31"/>
      <c r="Q118" s="34"/>
      <c r="R118" s="31"/>
      <c r="S118" s="34"/>
      <c r="T118" s="31"/>
      <c r="U118" s="34"/>
      <c r="V118" s="31"/>
      <c r="W118" s="34"/>
      <c r="X118" s="31"/>
      <c r="Y118" s="34"/>
      <c r="Z118" s="31"/>
      <c r="AA118" s="34"/>
      <c r="AB118" s="31"/>
      <c r="AC118" s="34"/>
      <c r="AD118" s="31"/>
      <c r="AE118" s="34"/>
      <c r="AF118" s="31"/>
    </row>
    <row r="119" spans="1:50" hidden="1" x14ac:dyDescent="0.2">
      <c r="E119" s="28">
        <v>99000</v>
      </c>
      <c r="F119" s="29"/>
      <c r="G119" s="28"/>
      <c r="H119" s="28">
        <v>224000</v>
      </c>
      <c r="I119" s="28"/>
      <c r="J119" s="34">
        <v>2.8500000000000001E-3</v>
      </c>
      <c r="K119" s="31">
        <f t="shared" si="11"/>
        <v>0</v>
      </c>
      <c r="L119" s="31"/>
      <c r="M119" s="34">
        <v>3.9899999999999996E-3</v>
      </c>
      <c r="N119" s="31">
        <f t="shared" si="12"/>
        <v>0</v>
      </c>
      <c r="O119" s="34"/>
      <c r="P119" s="31"/>
      <c r="Q119" s="34"/>
      <c r="R119" s="31"/>
      <c r="S119" s="34"/>
      <c r="T119" s="31"/>
      <c r="U119" s="34"/>
      <c r="V119" s="31"/>
      <c r="W119" s="34"/>
      <c r="X119" s="31"/>
      <c r="Y119" s="34"/>
      <c r="Z119" s="31"/>
      <c r="AA119" s="34"/>
      <c r="AB119" s="31"/>
      <c r="AC119" s="34"/>
      <c r="AD119" s="31"/>
      <c r="AE119" s="34"/>
      <c r="AF119" s="31"/>
    </row>
    <row r="120" spans="1:50" hidden="1" x14ac:dyDescent="0.2">
      <c r="E120" s="28">
        <v>224000</v>
      </c>
      <c r="F120" s="29"/>
      <c r="G120" s="28"/>
      <c r="H120" s="28">
        <v>534000</v>
      </c>
      <c r="I120" s="28"/>
      <c r="J120" s="34">
        <v>1.7099999999999999E-3</v>
      </c>
      <c r="K120" s="31">
        <f t="shared" si="11"/>
        <v>0</v>
      </c>
      <c r="L120" s="31"/>
      <c r="M120" s="34">
        <v>2.2799999999999999E-3</v>
      </c>
      <c r="N120" s="31">
        <f t="shared" si="12"/>
        <v>0</v>
      </c>
      <c r="O120" s="34"/>
      <c r="P120" s="31"/>
      <c r="Q120" s="34"/>
      <c r="R120" s="31"/>
      <c r="S120" s="34"/>
      <c r="T120" s="31"/>
      <c r="U120" s="34"/>
      <c r="V120" s="31"/>
      <c r="W120" s="34"/>
      <c r="X120" s="31"/>
      <c r="Y120" s="34"/>
      <c r="Z120" s="31"/>
      <c r="AA120" s="34"/>
      <c r="AB120" s="31"/>
      <c r="AC120" s="34"/>
      <c r="AD120" s="31"/>
      <c r="AE120" s="34"/>
      <c r="AF120" s="31"/>
    </row>
    <row r="121" spans="1:50" hidden="1" x14ac:dyDescent="0.2">
      <c r="E121" s="28">
        <v>534000</v>
      </c>
      <c r="F121" s="29"/>
      <c r="G121" s="28"/>
      <c r="H121" s="28">
        <v>1784000</v>
      </c>
      <c r="I121" s="28"/>
      <c r="J121" s="34">
        <v>5.6999999999999998E-4</v>
      </c>
      <c r="K121" s="31">
        <f t="shared" si="11"/>
        <v>0</v>
      </c>
      <c r="L121" s="31"/>
      <c r="M121" s="34">
        <v>1.14E-3</v>
      </c>
      <c r="N121" s="31">
        <f t="shared" si="12"/>
        <v>0</v>
      </c>
      <c r="O121" s="34"/>
      <c r="P121" s="31"/>
      <c r="Q121" s="34"/>
      <c r="R121" s="31"/>
      <c r="S121" s="34"/>
      <c r="T121" s="31"/>
      <c r="U121" s="34"/>
      <c r="V121" s="31"/>
      <c r="W121" s="34"/>
      <c r="X121" s="31"/>
      <c r="Y121" s="34"/>
      <c r="Z121" s="31"/>
      <c r="AA121" s="34"/>
      <c r="AB121" s="31"/>
      <c r="AC121" s="34"/>
      <c r="AD121" s="31"/>
      <c r="AE121" s="34"/>
      <c r="AF121" s="31"/>
    </row>
    <row r="122" spans="1:50" hidden="1" x14ac:dyDescent="0.2">
      <c r="E122" s="28">
        <v>1784000</v>
      </c>
      <c r="F122" s="29"/>
      <c r="G122" s="28"/>
      <c r="H122" s="28">
        <v>3333500</v>
      </c>
      <c r="I122" s="28"/>
      <c r="J122" s="34">
        <v>2.2800000000000001E-4</v>
      </c>
      <c r="K122" s="31">
        <f t="shared" si="11"/>
        <v>0</v>
      </c>
      <c r="L122" s="31"/>
      <c r="M122" s="34">
        <v>4.5600000000000003E-4</v>
      </c>
      <c r="N122" s="31">
        <f t="shared" si="12"/>
        <v>0</v>
      </c>
      <c r="O122" s="34"/>
      <c r="P122" s="31"/>
      <c r="Q122" s="34"/>
      <c r="R122" s="31"/>
      <c r="S122" s="34"/>
      <c r="T122" s="31"/>
      <c r="U122" s="34"/>
      <c r="V122" s="31"/>
      <c r="W122" s="34"/>
      <c r="X122" s="31"/>
      <c r="Y122" s="34"/>
      <c r="Z122" s="31"/>
      <c r="AA122" s="34"/>
      <c r="AB122" s="31"/>
      <c r="AC122" s="34"/>
      <c r="AD122" s="31"/>
      <c r="AE122" s="34"/>
      <c r="AF122" s="31"/>
    </row>
    <row r="123" spans="1:50" hidden="1" x14ac:dyDescent="0.2">
      <c r="E123" s="28">
        <v>3333500</v>
      </c>
      <c r="F123" s="29"/>
      <c r="G123" s="28"/>
      <c r="H123" s="28">
        <v>999999999999</v>
      </c>
      <c r="I123" s="28"/>
      <c r="J123" s="34">
        <v>1.1400000000000001E-4</v>
      </c>
      <c r="K123" s="31">
        <f t="shared" si="11"/>
        <v>0</v>
      </c>
      <c r="L123" s="31"/>
      <c r="M123" s="34">
        <v>2.2800000000000001E-4</v>
      </c>
      <c r="N123" s="31">
        <f t="shared" si="12"/>
        <v>0</v>
      </c>
      <c r="O123" s="34"/>
      <c r="P123" s="31"/>
      <c r="Q123" s="34"/>
      <c r="R123" s="31"/>
      <c r="S123" s="34"/>
      <c r="T123" s="31"/>
      <c r="U123" s="34"/>
      <c r="V123" s="31"/>
      <c r="W123" s="34"/>
      <c r="X123" s="31"/>
      <c r="Y123" s="34"/>
      <c r="Z123" s="31"/>
      <c r="AA123" s="34"/>
      <c r="AB123" s="31"/>
      <c r="AC123" s="34"/>
      <c r="AD123" s="31"/>
      <c r="AE123" s="34"/>
      <c r="AF123" s="31"/>
    </row>
    <row r="124" spans="1:50" hidden="1" x14ac:dyDescent="0.2">
      <c r="A124" s="28"/>
      <c r="B124" s="28"/>
      <c r="C124" s="28"/>
      <c r="D124" s="28"/>
      <c r="E124" s="28"/>
      <c r="F124" s="29"/>
      <c r="G124" s="28"/>
      <c r="H124" s="28"/>
      <c r="I124" s="28"/>
      <c r="J124" s="33"/>
      <c r="K124" s="31">
        <f>SUM(K117:K123)</f>
        <v>0</v>
      </c>
      <c r="L124" s="31"/>
      <c r="M124" s="33"/>
      <c r="N124" s="31">
        <f>SUM(N117:N123)</f>
        <v>0</v>
      </c>
      <c r="O124" s="33"/>
      <c r="P124" s="28"/>
      <c r="Q124" s="33"/>
      <c r="R124" s="28"/>
      <c r="S124" s="33"/>
      <c r="T124" s="28"/>
      <c r="U124" s="33"/>
      <c r="V124" s="28"/>
      <c r="W124" s="33"/>
      <c r="X124" s="28"/>
      <c r="Y124" s="33"/>
      <c r="Z124" s="28"/>
      <c r="AA124" s="33"/>
      <c r="AB124" s="28"/>
      <c r="AC124" s="33"/>
      <c r="AD124" s="28"/>
      <c r="AE124" s="33"/>
      <c r="AF124" s="28"/>
    </row>
    <row r="125" spans="1:50" hidden="1" x14ac:dyDescent="0.2"/>
    <row r="126" spans="1:50" hidden="1" x14ac:dyDescent="0.2"/>
    <row r="127" spans="1:50" hidden="1" x14ac:dyDescent="0.2"/>
    <row r="128" spans="1:50" hidden="1" x14ac:dyDescent="0.2">
      <c r="AA128" s="123" t="s">
        <v>32</v>
      </c>
      <c r="AB128" s="123"/>
      <c r="AC128" s="123"/>
      <c r="AD128" s="123"/>
      <c r="AE128" s="86"/>
      <c r="AF128" s="124"/>
      <c r="AG128" s="86"/>
      <c r="AH128" s="86"/>
      <c r="AI128" s="86"/>
      <c r="AJ128" s="86"/>
      <c r="AK128" s="86"/>
      <c r="AL128" s="86"/>
      <c r="AM128" s="86"/>
      <c r="AN128" s="86"/>
      <c r="AO128" s="86"/>
      <c r="AP128" s="86"/>
      <c r="AQ128" s="86"/>
      <c r="AR128" s="86"/>
      <c r="AS128" s="86"/>
      <c r="AT128" s="86"/>
      <c r="AU128" s="86"/>
      <c r="AV128" s="86"/>
      <c r="AW128" s="86"/>
      <c r="AX128" s="86"/>
    </row>
    <row r="129" spans="1:50" hidden="1" x14ac:dyDescent="0.2">
      <c r="AA129" s="123"/>
      <c r="AB129" s="123"/>
      <c r="AC129" s="123"/>
      <c r="AD129" s="123"/>
      <c r="AE129" s="86"/>
      <c r="AF129" s="124"/>
      <c r="AG129" s="86"/>
      <c r="AH129" s="86"/>
      <c r="AI129" s="86"/>
      <c r="AJ129" s="86"/>
      <c r="AK129" s="86"/>
      <c r="AL129" s="86"/>
      <c r="AM129" s="86"/>
      <c r="AN129" s="86"/>
      <c r="AO129" s="86"/>
      <c r="AP129" s="86"/>
      <c r="AQ129" s="86"/>
      <c r="AR129" s="86"/>
      <c r="AS129" s="86"/>
      <c r="AT129" s="86"/>
      <c r="AU129" s="86"/>
      <c r="AV129" s="86"/>
      <c r="AW129" s="86"/>
      <c r="AX129" s="86"/>
    </row>
    <row r="130" spans="1:50" hidden="1" x14ac:dyDescent="0.2">
      <c r="H130" s="159" t="s">
        <v>93</v>
      </c>
      <c r="AA130" s="125">
        <f>IF(AND(E24="US",B25&lt;20),E7*18*B24/D24,0)</f>
        <v>0</v>
      </c>
      <c r="AB130" s="125"/>
      <c r="AC130" s="125"/>
      <c r="AD130" s="125"/>
      <c r="AE130" s="87">
        <f>IF(AND(E29="US",B30&lt;20),E7*18*B29/D29,0)</f>
        <v>0</v>
      </c>
      <c r="AF130" s="126">
        <f>IF(AND(E34="US",B35&lt;20),E7*18*B34/D34,0)</f>
        <v>0</v>
      </c>
      <c r="AG130" s="87">
        <f>IF(AND(E39="US",B40&lt;20),E7*18*B39/D39,0)</f>
        <v>0</v>
      </c>
      <c r="AH130" s="87">
        <f>IF(AND(E44="US",B45&lt;20),E7*18*B44/D44,0)</f>
        <v>0</v>
      </c>
      <c r="AI130" s="87">
        <f>IF(AND(E49="US",B50&lt;20),E7*18*B49/D49,0)</f>
        <v>0</v>
      </c>
      <c r="AJ130" s="87">
        <f>IF(AND(E54="US",B55&lt;20),E7*18*B54/D54,0)</f>
        <v>0</v>
      </c>
      <c r="AK130" s="87">
        <f>IF(AND(E59="US",B60&lt;20),E7*18*B59/D59,0)</f>
        <v>0</v>
      </c>
      <c r="AL130" s="87"/>
      <c r="AM130" s="87"/>
      <c r="AN130" s="87">
        <f>IF(AND(E64="US",B65&lt;20),E7*18*B64/D64,0)</f>
        <v>0</v>
      </c>
      <c r="AO130" s="86"/>
      <c r="AP130" s="127">
        <f>IF(E7*18&gt;E5*80%,E5*80%*B24/D24,AA130)</f>
        <v>0</v>
      </c>
      <c r="AQ130" s="128">
        <f>IF(E7*18&gt;E5*80%,E5*80%*B29/D29,AE130)</f>
        <v>0</v>
      </c>
      <c r="AR130" s="129">
        <f>IF(E7*18&gt;E5*80%,E5*80%*B34/D34,AF130)</f>
        <v>0</v>
      </c>
      <c r="AS130" s="128">
        <f>IF(E7*18&gt;E5*80%,E5*80%*B39/D39,AG130)</f>
        <v>0</v>
      </c>
      <c r="AT130" s="128">
        <f>IF(E7*18&gt;E5*80%,E5*80%*B44/D44,AH130)</f>
        <v>0</v>
      </c>
      <c r="AU130" s="128">
        <f>IF(E7*18&gt;E5*80%,E5*80%*B49/D49,AI130)</f>
        <v>0</v>
      </c>
      <c r="AV130" s="128">
        <f>IF(E7*18&gt;E5*80%,E5*80%*B54/D54,AJ130)</f>
        <v>0</v>
      </c>
      <c r="AW130" s="128">
        <f>IF(E7*18&gt;E5*80%,E5*80%*B59/D59,AK130)</f>
        <v>0</v>
      </c>
      <c r="AX130" s="128">
        <f>IF(E7*18&gt;E5*80%,E5*80%*B64/D64,AN130)</f>
        <v>0</v>
      </c>
    </row>
    <row r="131" spans="1:50" hidden="1" x14ac:dyDescent="0.2">
      <c r="A131" s="38"/>
      <c r="B131" s="38"/>
      <c r="C131" s="38"/>
      <c r="D131" s="38"/>
      <c r="E131" s="5" t="s">
        <v>28</v>
      </c>
      <c r="H131" s="159" t="s">
        <v>94</v>
      </c>
      <c r="AA131" s="125"/>
      <c r="AB131" s="125"/>
      <c r="AC131" s="125"/>
      <c r="AD131" s="125"/>
      <c r="AE131" s="87"/>
      <c r="AF131" s="126"/>
      <c r="AG131" s="87"/>
      <c r="AH131" s="87"/>
      <c r="AI131" s="87"/>
      <c r="AJ131" s="87"/>
      <c r="AK131" s="87"/>
      <c r="AL131" s="87"/>
      <c r="AM131" s="87"/>
      <c r="AN131" s="87"/>
      <c r="AO131" s="86"/>
      <c r="AP131" s="127"/>
      <c r="AQ131" s="128"/>
      <c r="AR131" s="129"/>
      <c r="AS131" s="128"/>
      <c r="AT131" s="128"/>
      <c r="AU131" s="128"/>
      <c r="AV131" s="128"/>
      <c r="AW131" s="128"/>
      <c r="AX131" s="128"/>
    </row>
    <row r="132" spans="1:50" hidden="1" x14ac:dyDescent="0.2">
      <c r="A132" s="38"/>
      <c r="B132" s="38"/>
      <c r="C132" s="38"/>
      <c r="D132" s="38"/>
      <c r="E132" s="5" t="s">
        <v>29</v>
      </c>
      <c r="H132" s="159" t="s">
        <v>95</v>
      </c>
      <c r="AA132" s="125">
        <f>IF(AND(E24="US",B25&gt;=20,B25&lt;=29),E7*17*B24/D24,0)</f>
        <v>0</v>
      </c>
      <c r="AB132" s="125"/>
      <c r="AC132" s="125"/>
      <c r="AD132" s="125"/>
      <c r="AE132" s="87">
        <f>IF(AND(E29="US",B30&gt;=20,B30&lt;=29),E7*17*B29/D29,0)</f>
        <v>0</v>
      </c>
      <c r="AF132" s="126">
        <f>IF(AND(E34="US",B35&gt;=20,B35&lt;=29),E7*17*B34/D34,0)</f>
        <v>0</v>
      </c>
      <c r="AG132" s="87">
        <f>IF(AND(E39="US",B40&gt;=20,B40&lt;=29),E7*17*B39/D39,0)</f>
        <v>0</v>
      </c>
      <c r="AH132" s="87">
        <f>IF(AND(E44="US",B45&gt;=20,B45&lt;=29),E7*17*B44/D44,0)</f>
        <v>0</v>
      </c>
      <c r="AI132" s="87">
        <f>IF(AND(E49="US",B50&gt;=20,B50&lt;=29),E7*17*B49/D49,0)</f>
        <v>0</v>
      </c>
      <c r="AJ132" s="87">
        <f>IF(AND(E54="US",B55&gt;=20,B55&lt;=29),E7*17*B54/D54,0)</f>
        <v>0</v>
      </c>
      <c r="AK132" s="87">
        <f>IF(AND(E59="US",B60&gt;=20,B60&lt;=29),E7*17*B59/D59,0)</f>
        <v>0</v>
      </c>
      <c r="AL132" s="87"/>
      <c r="AM132" s="87"/>
      <c r="AN132" s="87">
        <f>IF(AND(E64="US",B65&gt;=20,B65&lt;=29),E7*17*B64/D64,0)</f>
        <v>0</v>
      </c>
      <c r="AO132" s="86"/>
      <c r="AP132" s="127">
        <f>IF(E7*17&gt;E5*80%,E5*80%*B24/D24,AA132)</f>
        <v>0</v>
      </c>
      <c r="AQ132" s="128">
        <f>IF(E7*17&gt;E5*80%,E5*80%*B29/D29,AE132)</f>
        <v>0</v>
      </c>
      <c r="AR132" s="129">
        <f>IF(E7*17&gt;E5*80%,E5*80%*B34/D34,AF132)</f>
        <v>0</v>
      </c>
      <c r="AS132" s="128">
        <f>IF(E7*17&gt;E5*80%,E5*80%*B39/D39,AG132)</f>
        <v>0</v>
      </c>
      <c r="AT132" s="128">
        <f>IF(E7*17&gt;E5*80%,E5*80%*B44/D44,AH132)</f>
        <v>0</v>
      </c>
      <c r="AU132" s="128">
        <f>IF(E7*17&gt;E5*80%,E5*80%*B49/D49,AI132)</f>
        <v>0</v>
      </c>
      <c r="AV132" s="128">
        <f>IF(E7*17&gt;E5*80%,E5*80%*B54/D54,AJ132)</f>
        <v>0</v>
      </c>
      <c r="AW132" s="128">
        <f>IF(E7*17&gt;E5*80%,E5*80%*B59/D59,AK132)</f>
        <v>0</v>
      </c>
      <c r="AX132" s="128">
        <f>IF(E7*18&gt;E5*80%,E5*80%*B64/D64,AN132)</f>
        <v>0</v>
      </c>
    </row>
    <row r="133" spans="1:50" hidden="1" x14ac:dyDescent="0.2">
      <c r="A133" s="38"/>
      <c r="B133" s="38"/>
      <c r="C133" s="38"/>
      <c r="D133" s="38"/>
      <c r="E133" s="5" t="s">
        <v>30</v>
      </c>
      <c r="H133" s="159" t="s">
        <v>96</v>
      </c>
      <c r="AA133" s="125"/>
      <c r="AB133" s="125"/>
      <c r="AC133" s="125"/>
      <c r="AD133" s="125"/>
      <c r="AE133" s="87"/>
      <c r="AF133" s="126"/>
      <c r="AG133" s="87"/>
      <c r="AH133" s="87"/>
      <c r="AI133" s="87"/>
      <c r="AJ133" s="87"/>
      <c r="AK133" s="87"/>
      <c r="AL133" s="87"/>
      <c r="AM133" s="87"/>
      <c r="AN133" s="87"/>
      <c r="AO133" s="86"/>
      <c r="AP133" s="127"/>
      <c r="AQ133" s="128"/>
      <c r="AR133" s="129"/>
      <c r="AS133" s="128"/>
      <c r="AT133" s="128"/>
      <c r="AU133" s="128"/>
      <c r="AV133" s="128"/>
      <c r="AW133" s="128"/>
      <c r="AX133" s="128"/>
    </row>
    <row r="134" spans="1:50" hidden="1" x14ac:dyDescent="0.2">
      <c r="A134" s="38"/>
      <c r="B134" s="38"/>
      <c r="C134" s="38"/>
      <c r="D134" s="38"/>
      <c r="H134" s="159" t="s">
        <v>97</v>
      </c>
      <c r="AA134" s="125">
        <f>IF(AND(E24="US",B25&gt;=30,B25&lt;=39),E7*16*B24/D24,0)</f>
        <v>0</v>
      </c>
      <c r="AB134" s="125"/>
      <c r="AC134" s="125"/>
      <c r="AD134" s="125"/>
      <c r="AE134" s="87">
        <f>IF(AND(E29="US",B30&gt;=30,B30&lt;=39),E7*16*B29/D29,0)</f>
        <v>0</v>
      </c>
      <c r="AF134" s="126">
        <f>IF(AND(E34="US",B35&gt;=30,B35&lt;=39),E7*16*B34/D34,0)</f>
        <v>0</v>
      </c>
      <c r="AG134" s="87">
        <f>IF(AND(E39="US",B40&gt;=30,B40&lt;=39),E7*16*B39/D39,0)</f>
        <v>0</v>
      </c>
      <c r="AH134" s="87">
        <f>IF(AND(E44="US",B45&gt;=30,B45&lt;=39),E7*16*B44/D44,0)</f>
        <v>0</v>
      </c>
      <c r="AI134" s="87">
        <f>IF(AND(E49="US",B50&gt;=30,B50&lt;=39),E7*16*B49/D49,0)</f>
        <v>0</v>
      </c>
      <c r="AJ134" s="87">
        <f>IF(AND(E54="US",B55&gt;=30,B55&lt;=39),E7*16*B54/D54,0)</f>
        <v>0</v>
      </c>
      <c r="AK134" s="87">
        <f>IF(AND(E59="US",B60&gt;=30,B60&lt;=39),E7*16*B59/D59,0)</f>
        <v>0</v>
      </c>
      <c r="AL134" s="87"/>
      <c r="AM134" s="87"/>
      <c r="AN134" s="87">
        <f>IF(AND(E64="US",B65&gt;=30,B65&lt;=39),E7*16*B64/D64,0)</f>
        <v>0</v>
      </c>
      <c r="AO134" s="86"/>
      <c r="AP134" s="127">
        <f>IF(E7*16&gt;E5*80%,E5*80%*B24/D24,AA134)</f>
        <v>0</v>
      </c>
      <c r="AQ134" s="128">
        <f>IF(E7*16&gt;E5*80%,E5*80%*B29/D29,AE134)</f>
        <v>0</v>
      </c>
      <c r="AR134" s="129">
        <f>IF(E7*16&gt;E5*80%,E5*80%*B34/D34,AF134)</f>
        <v>0</v>
      </c>
      <c r="AS134" s="128">
        <f>IF(E7*16&gt;E5*80%,E5*80%*B39/D39,AG134)</f>
        <v>0</v>
      </c>
      <c r="AT134" s="128">
        <f>IF(E7*16&gt;E5*80%,E5*80%*B44/D44,AH134)</f>
        <v>0</v>
      </c>
      <c r="AU134" s="128">
        <f>IF(E7*16&gt;E5*80%,E5*80%*B49/D49,AI134)</f>
        <v>0</v>
      </c>
      <c r="AV134" s="128">
        <f>IF(E7*16&gt;E5*80%,E5*80%*B54/D54,AJ134)</f>
        <v>0</v>
      </c>
      <c r="AW134" s="128">
        <f>IF(E7*16&gt;E5*80%,E5*80%*B59/D59,AK134)</f>
        <v>0</v>
      </c>
      <c r="AX134" s="128">
        <f>IF(E7*16&gt;E5*80%,E5*80%*B64/D64,AN134)</f>
        <v>0</v>
      </c>
    </row>
    <row r="135" spans="1:50" hidden="1" x14ac:dyDescent="0.2">
      <c r="A135" s="38"/>
      <c r="B135" s="38"/>
      <c r="C135" s="38"/>
      <c r="D135" s="38"/>
      <c r="M135" s="104" t="s">
        <v>83</v>
      </c>
      <c r="AA135" s="125"/>
      <c r="AB135" s="125"/>
      <c r="AC135" s="125"/>
      <c r="AD135" s="125"/>
      <c r="AE135" s="87"/>
      <c r="AF135" s="126"/>
      <c r="AG135" s="87"/>
      <c r="AH135" s="87"/>
      <c r="AI135" s="87"/>
      <c r="AJ135" s="87"/>
      <c r="AK135" s="87"/>
      <c r="AL135" s="87"/>
      <c r="AM135" s="87"/>
      <c r="AN135" s="87"/>
      <c r="AO135" s="86"/>
      <c r="AP135" s="127"/>
      <c r="AQ135" s="128"/>
      <c r="AR135" s="129"/>
      <c r="AS135" s="128"/>
      <c r="AT135" s="128"/>
      <c r="AU135" s="128"/>
      <c r="AV135" s="128"/>
      <c r="AW135" s="128"/>
      <c r="AX135" s="128"/>
    </row>
    <row r="136" spans="1:50" hidden="1" x14ac:dyDescent="0.2">
      <c r="A136" s="38"/>
      <c r="B136" s="38"/>
      <c r="C136" s="38"/>
      <c r="D136" s="38"/>
      <c r="M136" s="104" t="s">
        <v>84</v>
      </c>
      <c r="AA136" s="125">
        <f>IF(AND(E24="US",B25&gt;=40,B25&lt;=49),E7*14*B24/D24,0)</f>
        <v>0</v>
      </c>
      <c r="AB136" s="125"/>
      <c r="AC136" s="125"/>
      <c r="AD136" s="125"/>
      <c r="AE136" s="87">
        <f>IF(AND(E29="US",B30&gt;=40,B30&lt;=49),E7*14*B29/D29,0)</f>
        <v>0</v>
      </c>
      <c r="AF136" s="126">
        <f>IF(AND(E34="US",B35&gt;=40,B35&lt;=49),E7*14*B34/D34,0)</f>
        <v>0</v>
      </c>
      <c r="AG136" s="87">
        <f>IF(AND(E39="US",B40&gt;=40,B40&lt;=49),E7*14*B39/D39,0)</f>
        <v>0</v>
      </c>
      <c r="AH136" s="87">
        <f>IF(AND(E44="US",B45&gt;=40,B45&lt;=49),E7*14*B44/D44,0)</f>
        <v>0</v>
      </c>
      <c r="AI136" s="87">
        <f>IF(AND(E49="US",B50&gt;=40,B50&lt;=49),E7*14*B49/D49,0)</f>
        <v>0</v>
      </c>
      <c r="AJ136" s="87">
        <f>IF(AND(E54="US",B55&gt;=40,B55&lt;=49),E7*14*B54/D54,0)</f>
        <v>0</v>
      </c>
      <c r="AK136" s="87">
        <f>IF(AND(E59="US",B60&gt;=40,B60&lt;=49),E7*14*B59/D59,0)</f>
        <v>0</v>
      </c>
      <c r="AL136" s="87"/>
      <c r="AM136" s="87"/>
      <c r="AN136" s="87">
        <f>IF(AND(E64="US",B65&gt;=40,B65&lt;=49),E7*14*B64/D64,0)</f>
        <v>0</v>
      </c>
      <c r="AO136" s="86"/>
      <c r="AP136" s="127">
        <f>IF(E7*14&gt;E5*80%,E5*80%*B24/D24,AA136)</f>
        <v>0</v>
      </c>
      <c r="AQ136" s="128">
        <f>IF(E7*14&gt;E5*80%,E5*80%*B29/D29,AE136)</f>
        <v>0</v>
      </c>
      <c r="AR136" s="129">
        <f>IF(E7*14&gt;E5*80%,E5*80%*B34/D34,AF136)</f>
        <v>0</v>
      </c>
      <c r="AS136" s="128">
        <f>IF(E7*14&gt;E5*80%,E5*80%*B39/D39,AG136)</f>
        <v>0</v>
      </c>
      <c r="AT136" s="128">
        <f>IF(E7*14&gt;E5*80%,E5*80%*B44/D44,AH136)</f>
        <v>0</v>
      </c>
      <c r="AU136" s="128">
        <f>IF(E7*14&gt;E5*80%,E5*80%*B49/D49,AI136)</f>
        <v>0</v>
      </c>
      <c r="AV136" s="128">
        <f>IF(E7*14&gt;E5*80%,E5*80%*B54/D54,AJ136)</f>
        <v>0</v>
      </c>
      <c r="AW136" s="128">
        <f>IF(E7*14&gt;E5*80%,E5*80%*B59/D59,AK136)</f>
        <v>0</v>
      </c>
      <c r="AX136" s="128">
        <f>IF(E7*14&gt;E5*80%,E5*80%*B64/D64,AN136)</f>
        <v>0</v>
      </c>
    </row>
    <row r="137" spans="1:50" hidden="1" x14ac:dyDescent="0.2">
      <c r="A137" s="38"/>
      <c r="B137" s="38"/>
      <c r="C137" s="38"/>
      <c r="D137" s="38"/>
      <c r="M137" s="104" t="s">
        <v>85</v>
      </c>
      <c r="AA137" s="125"/>
      <c r="AB137" s="125"/>
      <c r="AC137" s="125"/>
      <c r="AD137" s="125"/>
      <c r="AE137" s="87"/>
      <c r="AF137" s="126"/>
      <c r="AG137" s="87"/>
      <c r="AH137" s="87"/>
      <c r="AI137" s="87"/>
      <c r="AJ137" s="87"/>
      <c r="AK137" s="87"/>
      <c r="AL137" s="87"/>
      <c r="AM137" s="87"/>
      <c r="AN137" s="87"/>
      <c r="AO137" s="86"/>
      <c r="AP137" s="127"/>
      <c r="AQ137" s="128"/>
      <c r="AR137" s="129"/>
      <c r="AS137" s="128"/>
      <c r="AT137" s="128"/>
      <c r="AU137" s="128"/>
      <c r="AV137" s="128"/>
      <c r="AW137" s="128"/>
      <c r="AX137" s="128"/>
    </row>
    <row r="138" spans="1:50" hidden="1" x14ac:dyDescent="0.2">
      <c r="A138" s="38"/>
      <c r="B138" s="38"/>
      <c r="C138" s="38"/>
      <c r="D138" s="38"/>
      <c r="M138" s="104" t="s">
        <v>86</v>
      </c>
      <c r="AA138" s="125">
        <f>IF(AND(E24="US",B25&gt;=50,B25&lt;=54),E7*13*B24/D24,0)</f>
        <v>0</v>
      </c>
      <c r="AB138" s="125"/>
      <c r="AC138" s="125"/>
      <c r="AD138" s="125"/>
      <c r="AE138" s="87">
        <f>IF(AND(E29="US",B30&gt;=50,B30&lt;=54),E7*13*B29/D29,0)</f>
        <v>0</v>
      </c>
      <c r="AF138" s="126">
        <f>IF(AND(E34="US",B35&gt;=50,B35&lt;=54),E7*13*B34/D34,0)</f>
        <v>0</v>
      </c>
      <c r="AG138" s="87">
        <f>IF(AND(E39="US",B40&gt;=50,B40&lt;=54),E7*13*B39/D39,0)</f>
        <v>0</v>
      </c>
      <c r="AH138" s="87">
        <f>IF(AND(E44="US",B45&gt;=50,B45&lt;=54),E7*13*B44/D44,0)</f>
        <v>0</v>
      </c>
      <c r="AI138" s="87">
        <f>IF(AND(E49="US",B50&gt;=50,B50&lt;=54),E7*13*B49/D49,0)</f>
        <v>0</v>
      </c>
      <c r="AJ138" s="87">
        <f>IF(AND(E54="US",B55&gt;=50,B55&lt;=54),E7*13*B54/D54,0)</f>
        <v>0</v>
      </c>
      <c r="AK138" s="87">
        <f>IF(AND(E59="US",B60&gt;=50,B60&lt;=54),E7*13*B59/D59,0)</f>
        <v>0</v>
      </c>
      <c r="AL138" s="87"/>
      <c r="AM138" s="87"/>
      <c r="AN138" s="87">
        <f>IF(AND(E64="US",B65&gt;=50,B65&lt;=54),E7*13*B64/D64,0)</f>
        <v>0</v>
      </c>
      <c r="AO138" s="86"/>
      <c r="AP138" s="127">
        <f>IF(E7*13&gt;E5*80%,E5*80%*B24/D24,AA138)</f>
        <v>0</v>
      </c>
      <c r="AQ138" s="128">
        <f>IF(E7*13&gt;E5*80%,E5*80%*B29/D29,AE138)</f>
        <v>0</v>
      </c>
      <c r="AR138" s="129">
        <f>IF(E7*13&gt;E5*80%,E5*80%*B34/D34,AF138)</f>
        <v>0</v>
      </c>
      <c r="AS138" s="128">
        <f>IF(E7*13&gt;E5*80%,E5*80%*B39/D39,AG138)</f>
        <v>0</v>
      </c>
      <c r="AT138" s="128">
        <f>IF(E7*13&gt;E5*80%,E5*80%*B44/D44,AH138)</f>
        <v>0</v>
      </c>
      <c r="AU138" s="128">
        <f>IF(E7*13&gt;E5*80%,E5*80%*B49/D49,AI138)</f>
        <v>0</v>
      </c>
      <c r="AV138" s="128">
        <f>IF(E7*13&gt;E5*80%,E5*80%*B54/D54,AJ138)</f>
        <v>0</v>
      </c>
      <c r="AW138" s="128">
        <f>IF(E7*13&gt;E5*80%,E5*80%*B59/D59,AK138)</f>
        <v>0</v>
      </c>
      <c r="AX138" s="128">
        <f>IF(E7*13&gt;E5*80%,E5*80%*B64/D64,AN138)</f>
        <v>0</v>
      </c>
    </row>
    <row r="139" spans="1:50" hidden="1" x14ac:dyDescent="0.2">
      <c r="A139" s="38"/>
      <c r="B139" s="38"/>
      <c r="C139" s="38"/>
      <c r="D139" s="38"/>
      <c r="AA139" s="125"/>
      <c r="AB139" s="125"/>
      <c r="AC139" s="125"/>
      <c r="AD139" s="125"/>
      <c r="AE139" s="87"/>
      <c r="AF139" s="126"/>
      <c r="AG139" s="87"/>
      <c r="AH139" s="87"/>
      <c r="AI139" s="87"/>
      <c r="AJ139" s="87"/>
      <c r="AK139" s="87"/>
      <c r="AL139" s="87"/>
      <c r="AM139" s="87"/>
      <c r="AN139" s="87"/>
      <c r="AO139" s="86"/>
      <c r="AP139" s="127"/>
      <c r="AQ139" s="128"/>
      <c r="AR139" s="129"/>
      <c r="AS139" s="128"/>
      <c r="AT139" s="128"/>
      <c r="AU139" s="128"/>
      <c r="AV139" s="128"/>
      <c r="AW139" s="128"/>
      <c r="AX139" s="128"/>
    </row>
    <row r="140" spans="1:50" hidden="1" x14ac:dyDescent="0.2">
      <c r="A140" s="38"/>
      <c r="B140" s="38"/>
      <c r="C140" s="38"/>
      <c r="D140" s="38"/>
      <c r="AA140" s="125">
        <f>IF(AND(E24="US",B25&gt;=55,B25&lt;=59),E7*11*B24/D24,0)</f>
        <v>0</v>
      </c>
      <c r="AB140" s="125"/>
      <c r="AC140" s="125"/>
      <c r="AD140" s="125"/>
      <c r="AE140" s="87">
        <f>IF(AND(E29="US",B30&gt;=55,B30&lt;=59),E7*11*B29/D29,0)</f>
        <v>0</v>
      </c>
      <c r="AF140" s="126">
        <f>IF(AND(E34="US",B35&gt;=55,B35&lt;=59),E7*11*B34/D34,0)</f>
        <v>0</v>
      </c>
      <c r="AG140" s="87">
        <f>IF(AND(E39="US",B40&gt;=55,B40&lt;=59),E7*11*B39/D39,0)</f>
        <v>0</v>
      </c>
      <c r="AH140" s="87">
        <f>IF(AND(E44="US",B45&gt;=55,B45&lt;=59),E7*11*B44/D44,0)</f>
        <v>0</v>
      </c>
      <c r="AI140" s="87">
        <f>IF(AND(E49="US",B50&gt;=55,B50&lt;=59),E7*11*B49/D49,0)</f>
        <v>0</v>
      </c>
      <c r="AJ140" s="87">
        <f>IF(AND(E54="US",B55&gt;=55,B55&lt;=59),E7*11*B54/D54,0)</f>
        <v>0</v>
      </c>
      <c r="AK140" s="87">
        <f>IF(AND(E59="US",B60&gt;=55,B60&lt;=59),E7*11*B59/D59,0)</f>
        <v>0</v>
      </c>
      <c r="AL140" s="87"/>
      <c r="AM140" s="87"/>
      <c r="AN140" s="87">
        <f>IF(AND(E64="US",B65&gt;=55,B65&lt;=59),E7*11*B64/D64,0)</f>
        <v>0</v>
      </c>
      <c r="AO140" s="86"/>
      <c r="AP140" s="127">
        <f>IF(E7*11&gt;E5*80%,E5*80%*B24/D24,AA140)</f>
        <v>0</v>
      </c>
      <c r="AQ140" s="128">
        <f>IF(E7*11&gt;E5*80%,E5*80%*B29/D29,AE140)</f>
        <v>0</v>
      </c>
      <c r="AR140" s="129">
        <f>IF(E7*11&gt;E5*80%,E5*80%*B34/D34,AF140)</f>
        <v>0</v>
      </c>
      <c r="AS140" s="128">
        <f>IF(E7*11&gt;E5*80%,E5*80%*B39/D39,AG140)</f>
        <v>0</v>
      </c>
      <c r="AT140" s="128">
        <f>IF(E7*11&gt;E5*80%,E5*80%*B44/D44,AH140)</f>
        <v>0</v>
      </c>
      <c r="AU140" s="128">
        <f>IF(E7*11&gt;E5*80%,E5*80%*B49/D49,AI140)</f>
        <v>0</v>
      </c>
      <c r="AV140" s="128">
        <f>IF(E7*11&gt;E5*80%,E5*80%*B54/D54,AJ140)</f>
        <v>0</v>
      </c>
      <c r="AW140" s="128">
        <f>IF(E7*11&gt;E5*80%,E5*80%*B59/D59,AK140)</f>
        <v>0</v>
      </c>
      <c r="AX140" s="128">
        <f>IF(E7*11&gt;E5*80%,E5*80%*B64/D64,AN140)</f>
        <v>0</v>
      </c>
    </row>
    <row r="141" spans="1:50" hidden="1" x14ac:dyDescent="0.2">
      <c r="A141" s="38"/>
      <c r="B141" s="38"/>
      <c r="C141" s="38"/>
      <c r="D141" s="38"/>
      <c r="AA141" s="87"/>
      <c r="AB141" s="87"/>
      <c r="AC141" s="87"/>
      <c r="AD141" s="87"/>
      <c r="AE141" s="87"/>
      <c r="AF141" s="126"/>
      <c r="AG141" s="87"/>
      <c r="AH141" s="87"/>
      <c r="AI141" s="87"/>
      <c r="AJ141" s="87"/>
      <c r="AK141" s="87"/>
      <c r="AL141" s="87"/>
      <c r="AM141" s="87"/>
      <c r="AN141" s="87"/>
      <c r="AO141" s="86"/>
      <c r="AP141" s="128"/>
      <c r="AQ141" s="128"/>
      <c r="AR141" s="129"/>
      <c r="AS141" s="128"/>
      <c r="AT141" s="128"/>
      <c r="AU141" s="128"/>
      <c r="AV141" s="128"/>
      <c r="AW141" s="128"/>
      <c r="AX141" s="128"/>
    </row>
    <row r="142" spans="1:50" hidden="1" x14ac:dyDescent="0.2">
      <c r="A142" s="38" t="s">
        <v>32</v>
      </c>
      <c r="B142" s="38"/>
      <c r="C142" s="38"/>
      <c r="D142" s="38"/>
      <c r="AA142" s="125">
        <f>IF(AND(E24="US",B25&gt;=60,B25&lt;=64),E7*9.5*B24/D24,0)</f>
        <v>0</v>
      </c>
      <c r="AB142" s="125"/>
      <c r="AC142" s="125"/>
      <c r="AD142" s="125"/>
      <c r="AE142" s="87">
        <f>IF(AND(E29="US",B30&gt;=60,B30&lt;=64),E7*9.5*B29/D29,0)</f>
        <v>0</v>
      </c>
      <c r="AF142" s="126">
        <f>IF(AND(E34="US",B35&gt;=60,B35&lt;=64),E7*9.5*B34/D34,0)</f>
        <v>0</v>
      </c>
      <c r="AG142" s="87">
        <f>IF(AND(E39="US",B40&gt;=60,B40&lt;=64),E7*9.5*B39/D39,0)</f>
        <v>0</v>
      </c>
      <c r="AH142" s="87">
        <f>IF(AND(E44="US",B45&gt;=60,B45&lt;=64),E7*9.5*B44/D44,0)</f>
        <v>0</v>
      </c>
      <c r="AI142" s="87">
        <f>IF(AND(E49="US",B50&gt;=60,B50&lt;=64),E7*9.5*B49/D49,0)</f>
        <v>0</v>
      </c>
      <c r="AJ142" s="87">
        <f>IF(AND(E54="US",B55&gt;=60,B55&lt;=64),E7*9.5*B54/D54,0)</f>
        <v>0</v>
      </c>
      <c r="AK142" s="87">
        <f>IF(AND(E59="US",B60&gt;=60,B60&lt;=64),E7*9.5*B59/D59,0)</f>
        <v>0</v>
      </c>
      <c r="AL142" s="87"/>
      <c r="AM142" s="87"/>
      <c r="AN142" s="87">
        <f>IF(AND(E64="US",B65&gt;=60,B65&lt;=64),E7*9.5*B64/D64,0)</f>
        <v>0</v>
      </c>
      <c r="AO142" s="86"/>
      <c r="AP142" s="127">
        <f>IF(E7*9&gt;E5*80%,E5*80%*B24/D24,AA142)</f>
        <v>0</v>
      </c>
      <c r="AQ142" s="128">
        <f>IF(E7*9&gt;E5*80%,E5*80%*B29/D29,AE142)</f>
        <v>0</v>
      </c>
      <c r="AR142" s="129">
        <f>IF(E7*9&gt;E5*80%,E5*80%*B34/D34,AF142)</f>
        <v>0</v>
      </c>
      <c r="AS142" s="128">
        <f>IF(E7*9&gt;E5*80%,E5*80%*B39/D39,AG142)</f>
        <v>0</v>
      </c>
      <c r="AT142" s="128">
        <f>IF(E7*9&gt;E5*80%,E5*80%*B44/D44,AH142)</f>
        <v>0</v>
      </c>
      <c r="AU142" s="128">
        <f>IF(E7*9&gt;E5*80%,E5*80%*B49/D49,AI142)</f>
        <v>0</v>
      </c>
      <c r="AV142" s="128">
        <f>IF(E7*9&gt;E5*80%,E5*80%*B54/D54,AJ142)</f>
        <v>0</v>
      </c>
      <c r="AW142" s="128">
        <f>IF(E7*9&gt;E5*80%,E5*80%*B59/D59,AK142)</f>
        <v>0</v>
      </c>
      <c r="AX142" s="128">
        <f>IF(E7*9&gt;E5*80%,E5*80%*B64/D64,AN142)</f>
        <v>0</v>
      </c>
    </row>
    <row r="143" spans="1:50" hidden="1" x14ac:dyDescent="0.2">
      <c r="A143" s="38"/>
      <c r="B143" s="38"/>
      <c r="C143" s="38"/>
      <c r="D143" s="38"/>
      <c r="AA143" s="125"/>
      <c r="AB143" s="125"/>
      <c r="AC143" s="125"/>
      <c r="AD143" s="125"/>
      <c r="AE143" s="87"/>
      <c r="AF143" s="126"/>
      <c r="AG143" s="87"/>
      <c r="AH143" s="87"/>
      <c r="AI143" s="87"/>
      <c r="AJ143" s="87"/>
      <c r="AK143" s="87"/>
      <c r="AL143" s="87"/>
      <c r="AM143" s="87"/>
      <c r="AN143" s="87"/>
      <c r="AO143" s="86"/>
      <c r="AP143" s="127"/>
      <c r="AQ143" s="128"/>
      <c r="AR143" s="129"/>
      <c r="AS143" s="128"/>
      <c r="AT143" s="128"/>
      <c r="AU143" s="128"/>
      <c r="AV143" s="128"/>
      <c r="AW143" s="128"/>
      <c r="AX143" s="128"/>
    </row>
    <row r="144" spans="1:50" hidden="1" x14ac:dyDescent="0.2">
      <c r="A144" s="39">
        <f>IF(AND(E22="US",B23&lt;20),E7*18*B22/D22,0)</f>
        <v>0</v>
      </c>
      <c r="B144" s="39"/>
      <c r="C144" s="39"/>
      <c r="D144" s="39"/>
      <c r="E144" s="5">
        <f>IF(AND(E27="US",B28&lt;20),E7*18*B27/D27,0)</f>
        <v>0</v>
      </c>
      <c r="F144" s="18">
        <f>IF(AND(E32="US",B33&lt;20),E7*18*B32/D32,0)</f>
        <v>0</v>
      </c>
      <c r="G144" s="5">
        <f>IF(AND(E37="US",B38&lt;20),E7*18*B37/D37,0)</f>
        <v>0</v>
      </c>
      <c r="H144" s="5">
        <f>IF(AND(E42="US",B43&lt;20),E7*18*B42/D42,0)</f>
        <v>0</v>
      </c>
      <c r="I144" s="5">
        <f>IF(AND(E47="US",B48&lt;20),E7*18*B47/D47,0)</f>
        <v>0</v>
      </c>
      <c r="J144" s="5">
        <f>IF(AND(E52="US",B53&lt;20),E7*18*B52/D52,0)</f>
        <v>0</v>
      </c>
      <c r="K144" s="5">
        <f>IF(AND(E57="US",B58&lt;20),E7*18*B57/D57,0)</f>
        <v>0</v>
      </c>
      <c r="M144" s="5">
        <f>IF(AND(E62="US",B63&lt;20),E7*18*B62/D62,0)</f>
        <v>0</v>
      </c>
      <c r="O144" s="39">
        <f>IF(E7*18&gt;E5*80%,E5*80%*B22/D22,A144)</f>
        <v>0</v>
      </c>
      <c r="P144" s="5">
        <f>IF(E7*18&gt;E5*80%,E5*80%*B27/D27,E144)</f>
        <v>0</v>
      </c>
      <c r="Q144" s="18">
        <f>IF(E7*18&gt;E5*80%,E5*80%*B32/D32,F144)</f>
        <v>0</v>
      </c>
      <c r="R144" s="5">
        <f>IF(E7*18&gt;E5*80%,E5*80%*B37/D37,G144)</f>
        <v>0</v>
      </c>
      <c r="S144" s="5">
        <f>IF(E7*18&gt;E5*80%,E5*80%*B42/D42,H144)</f>
        <v>0</v>
      </c>
      <c r="T144" s="5">
        <f>IF(E7*18&gt;E5*80%,E5*80%*B47/D47,I144)</f>
        <v>0</v>
      </c>
      <c r="U144" s="5">
        <f>IF(E7*18&gt;E5*80%,E5*80%*B52/D52,J144)</f>
        <v>0</v>
      </c>
      <c r="V144" s="5">
        <f>IF(E7*18&gt;E5*80%,E5*80%*B57/D57,K144)</f>
        <v>0</v>
      </c>
      <c r="W144" s="5">
        <f>IF(E7*18&gt;E5*80%,E5*80%*B62/D62,M144)</f>
        <v>0</v>
      </c>
      <c r="AA144" s="125">
        <f>IF(AND(E24="US",B25&gt;=65,B25&lt;=69),E7*8*B24/D24,0)</f>
        <v>0</v>
      </c>
      <c r="AB144" s="125"/>
      <c r="AC144" s="125"/>
      <c r="AD144" s="125"/>
      <c r="AE144" s="87">
        <f>IF(AND(E29="US",B30&gt;=65,B30&lt;=69),E7*8*B29/D29,0)</f>
        <v>0</v>
      </c>
      <c r="AF144" s="126">
        <f>IF(AND(E34="US",B35&gt;=65,B35&lt;=69),E7*8*B34/D34,0)</f>
        <v>0</v>
      </c>
      <c r="AG144" s="87">
        <f>IF(AND(E39="US",B40&gt;=65,B40&lt;=69),E7*8*B39/D39,0)</f>
        <v>0</v>
      </c>
      <c r="AH144" s="87">
        <f>IF(AND(E44="US",B45&gt;=65,B45&lt;=69),E7*8*B44/D44,0)</f>
        <v>0</v>
      </c>
      <c r="AI144" s="87">
        <f>IF(AND(E49="US",B50&gt;=65,B50&lt;=69),E7*8*B49/D49,0)</f>
        <v>0</v>
      </c>
      <c r="AJ144" s="87">
        <f>IF(AND(E54="US",B55&gt;=65,B55&lt;=69),E7*8*B54/D54,0)</f>
        <v>0</v>
      </c>
      <c r="AK144" s="87">
        <f>IF(AND(E59="US",B60&gt;=65,B60&lt;=69),E7*8*B59/D59,0)</f>
        <v>0</v>
      </c>
      <c r="AL144" s="87"/>
      <c r="AM144" s="87"/>
      <c r="AN144" s="87">
        <f>IF(AND(E64="US",B65&gt;=65,B65&lt;=69),E7*8*B64/D64,0)</f>
        <v>0</v>
      </c>
      <c r="AO144" s="86"/>
      <c r="AP144" s="127">
        <f>IF(E7*8&gt;E5*80%,E5*80%*B24/D24,AA144)</f>
        <v>0</v>
      </c>
      <c r="AQ144" s="128">
        <f>IF(E7*8&gt;E5*80%,E5*80%*B29/D29,AE144)</f>
        <v>0</v>
      </c>
      <c r="AR144" s="129">
        <f>IF(E7*8&gt;E5*80%,E5*80%*B34/D34,AF144)</f>
        <v>0</v>
      </c>
      <c r="AS144" s="128">
        <f>IF(E7*8&gt;E5*80%,E5*80%*B39/D39,AG144)</f>
        <v>0</v>
      </c>
      <c r="AT144" s="128">
        <f>IF(E7*8&gt;E5*80%,E5*80%*B44/D44,AH144)</f>
        <v>0</v>
      </c>
      <c r="AU144" s="128">
        <f>IF(E7*8&gt;E5*80%,E5*80%*B49/D49,AI144)</f>
        <v>0</v>
      </c>
      <c r="AV144" s="128">
        <f>IF(E7*8&gt;E5*80%,E5*80%*B54/D54,AJ144)</f>
        <v>0</v>
      </c>
      <c r="AW144" s="128">
        <f>IF(E7*8&gt;E5*80%,E5*80%*B59/D59,AK144)</f>
        <v>0</v>
      </c>
      <c r="AX144" s="128">
        <f>IF(E7*8&gt;E5*80%,E5*80%*B64/D64,AN144)</f>
        <v>0</v>
      </c>
    </row>
    <row r="145" spans="1:50" hidden="1" x14ac:dyDescent="0.2">
      <c r="A145" s="39"/>
      <c r="B145" s="39"/>
      <c r="C145" s="39"/>
      <c r="D145" s="39"/>
      <c r="O145" s="39"/>
      <c r="Q145" s="18"/>
      <c r="AA145" s="125"/>
      <c r="AB145" s="125"/>
      <c r="AC145" s="125"/>
      <c r="AD145" s="125"/>
      <c r="AE145" s="87"/>
      <c r="AF145" s="126"/>
      <c r="AG145" s="87"/>
      <c r="AH145" s="87"/>
      <c r="AI145" s="87"/>
      <c r="AJ145" s="87"/>
      <c r="AK145" s="87"/>
      <c r="AL145" s="87"/>
      <c r="AM145" s="87"/>
      <c r="AN145" s="87"/>
      <c r="AO145" s="86"/>
      <c r="AP145" s="127"/>
      <c r="AQ145" s="128"/>
      <c r="AR145" s="129"/>
      <c r="AS145" s="128"/>
      <c r="AT145" s="128"/>
      <c r="AU145" s="128"/>
      <c r="AV145" s="128"/>
      <c r="AW145" s="128"/>
      <c r="AX145" s="128"/>
    </row>
    <row r="146" spans="1:50" hidden="1" x14ac:dyDescent="0.2">
      <c r="A146" s="39">
        <f>IF(AND(E22="US",B23&gt;=20,B23&lt;=29),E7*17*B22/D22,0)</f>
        <v>0</v>
      </c>
      <c r="B146" s="39"/>
      <c r="C146" s="39"/>
      <c r="D146" s="39"/>
      <c r="E146" s="5">
        <f>IF(AND(E27="US",B28&gt;=20,B28&lt;=29),E7*17*B27/D27,0)</f>
        <v>0</v>
      </c>
      <c r="F146" s="18">
        <f>IF(AND(E32="US",B33&gt;=20,B33&lt;=29),E7*17*B32/D32,0)</f>
        <v>0</v>
      </c>
      <c r="G146" s="5">
        <f>IF(AND(E37="US",B38&gt;=20,B38&lt;=29),E7*17*B37/D37,0)</f>
        <v>0</v>
      </c>
      <c r="H146" s="5">
        <f>IF(AND(E42="US",B43&gt;=20,B43&lt;=29),E7*17*B42/D42,0)</f>
        <v>0</v>
      </c>
      <c r="I146" s="5">
        <f>IF(AND(E47="US",B48&gt;=20,B48&lt;=29),E7*17*B47/D47,0)</f>
        <v>0</v>
      </c>
      <c r="J146" s="5">
        <f>IF(AND(E52="US",B53&gt;=20,B53&lt;=29),E7*17*B52/D52,0)</f>
        <v>0</v>
      </c>
      <c r="K146" s="5">
        <f>IF(AND(E57="US",B58&gt;=20,B58&lt;=29),E7*17*B57/D57,0)</f>
        <v>0</v>
      </c>
      <c r="M146" s="5">
        <f>IF(AND(E62="US",B63&gt;=20,B63&lt;=29),E7*17*B62/D62,0)</f>
        <v>0</v>
      </c>
      <c r="O146" s="39">
        <f>IF(E7*17&gt;E5*80%,E5*80%*B22/D22,A146)</f>
        <v>0</v>
      </c>
      <c r="P146" s="5">
        <f>IF(E7*17&gt;E5*80%,E5*80%*B27/D27,E146)</f>
        <v>0</v>
      </c>
      <c r="Q146" s="18">
        <f>IF(E7*17&gt;E5*80%,E5*80%*B32/D32,F146)</f>
        <v>0</v>
      </c>
      <c r="R146" s="5">
        <f>IF(E7*17&gt;E5*80%,E5*80%*B37/D37,G146)</f>
        <v>0</v>
      </c>
      <c r="S146" s="5">
        <f>IF(E7*17&gt;E5*80%,E5*80%*B42/D42,H146)</f>
        <v>0</v>
      </c>
      <c r="T146" s="5">
        <f>IF(E7*17&gt;E5*80%,E5*80%*B47/D47,I146)</f>
        <v>0</v>
      </c>
      <c r="U146" s="5">
        <f>IF(E7*17&gt;E5*80%,E5*80%*B52/D52,J146)</f>
        <v>0</v>
      </c>
      <c r="V146" s="5">
        <f>IF(E7*17&gt;E5*80%,E5*80%*B57/D57,K146)</f>
        <v>0</v>
      </c>
      <c r="W146" s="5">
        <f>IF(E7*18&gt;E5*80%,E5*80%*B62/D62,M144)</f>
        <v>0</v>
      </c>
      <c r="AA146" s="125">
        <f>IF(AND(E24="US",B25&gt;=70,B25&lt;=74),E7*6*B24/D24,0)</f>
        <v>0</v>
      </c>
      <c r="AB146" s="125"/>
      <c r="AC146" s="125"/>
      <c r="AD146" s="125"/>
      <c r="AE146" s="87">
        <f>IF(AND(E29="US",B30&gt;=70,B30&lt;=74),E7*6*B29/D29,0)</f>
        <v>0</v>
      </c>
      <c r="AF146" s="126">
        <f>IF(AND(E34="US",B35&gt;=70,B35&lt;=74),E7*6*B34/D34,0)</f>
        <v>0</v>
      </c>
      <c r="AG146" s="87">
        <f>IF(AND(E39="US",B40&gt;=70,B40&lt;=74),E7*6*B39/D39,0)</f>
        <v>0</v>
      </c>
      <c r="AH146" s="87">
        <f>IF(AND(E44="US",B45&gt;=70,B45&lt;=74),E7*6*B44/D44,0)</f>
        <v>0</v>
      </c>
      <c r="AI146" s="87">
        <f>IF(AND(E49="US",B50&gt;=70,B50&lt;=74),E7*6*B49/D49,0)</f>
        <v>0</v>
      </c>
      <c r="AJ146" s="87">
        <f>IF(AND(E54="US",B55&gt;=70,B55&lt;=74),E7*6*B54/D54,0)</f>
        <v>0</v>
      </c>
      <c r="AK146" s="87">
        <f>IF(AND(E59="US",B60&gt;=70,B60&lt;=74),E7*6*B59/D59,0)</f>
        <v>0</v>
      </c>
      <c r="AL146" s="87"/>
      <c r="AM146" s="87"/>
      <c r="AN146" s="87">
        <f>IF(AND(E64="US",B65&gt;=70,B65&lt;=74),E7*6*B64/D64,0)</f>
        <v>0</v>
      </c>
      <c r="AO146" s="86"/>
      <c r="AP146" s="127">
        <f>IF(E7*6&gt;E5*80%,E5*80%*B24/D24,AA146)</f>
        <v>0</v>
      </c>
      <c r="AQ146" s="128">
        <f>IF(E7*6&gt;E5*80%,E5*80%*B29/D29,AE146)</f>
        <v>0</v>
      </c>
      <c r="AR146" s="129">
        <f>IF(E7*6&gt;E5*80%,E5*80%*B34/D34,AF146)</f>
        <v>0</v>
      </c>
      <c r="AS146" s="128">
        <f>IF(E7*6&gt;E5*80%,E5*80%*B39/D39,AG146)</f>
        <v>0</v>
      </c>
      <c r="AT146" s="128">
        <f>IF(E7*6&gt;E5*80%,E5*80%*B44/D44,AH146)</f>
        <v>0</v>
      </c>
      <c r="AU146" s="128">
        <f>IF(E7*6&gt;E5*80%,E5*80%*B49/D49,AI146)</f>
        <v>0</v>
      </c>
      <c r="AV146" s="128">
        <f>IF(E7*6&gt;E5*80%,E5*80%*B54/D54,AJ146)</f>
        <v>0</v>
      </c>
      <c r="AW146" s="128">
        <f>IF(E7*6&gt;E5*80%,E5*80%*B59/D59,AK146)</f>
        <v>0</v>
      </c>
      <c r="AX146" s="128">
        <f>IF(E7*6&gt;E5*80%,E5*80%*B64/D64,AN146)</f>
        <v>0</v>
      </c>
    </row>
    <row r="147" spans="1:50" hidden="1" x14ac:dyDescent="0.2">
      <c r="A147" s="39"/>
      <c r="B147" s="39"/>
      <c r="C147" s="39"/>
      <c r="D147" s="39"/>
      <c r="O147" s="39"/>
      <c r="Q147" s="18"/>
      <c r="AA147" s="125"/>
      <c r="AB147" s="125"/>
      <c r="AC147" s="125"/>
      <c r="AD147" s="125"/>
      <c r="AE147" s="87"/>
      <c r="AF147" s="126"/>
      <c r="AG147" s="87"/>
      <c r="AH147" s="87"/>
      <c r="AI147" s="87"/>
      <c r="AJ147" s="87"/>
      <c r="AK147" s="87"/>
      <c r="AL147" s="87"/>
      <c r="AM147" s="87"/>
      <c r="AN147" s="87"/>
      <c r="AO147" s="86"/>
      <c r="AP147" s="127"/>
      <c r="AQ147" s="128"/>
      <c r="AR147" s="129"/>
      <c r="AS147" s="128"/>
      <c r="AT147" s="128"/>
      <c r="AU147" s="128"/>
      <c r="AV147" s="128"/>
      <c r="AW147" s="128"/>
      <c r="AX147" s="128"/>
    </row>
    <row r="148" spans="1:50" hidden="1" x14ac:dyDescent="0.2">
      <c r="A148" s="39">
        <f>IF(AND(E22="US",B23&gt;=30,B23&lt;=39),E7*16*B22/D22,0)</f>
        <v>0</v>
      </c>
      <c r="B148" s="39"/>
      <c r="C148" s="39"/>
      <c r="D148" s="39"/>
      <c r="E148" s="5">
        <f>IF(AND(E27="US",B28&gt;=30,B28&lt;=39),E7*16*B27/D27,0)</f>
        <v>0</v>
      </c>
      <c r="F148" s="18">
        <f>IF(AND(E32="US",B33&gt;=30,B33&lt;=39),E7*16*B32/D32,0)</f>
        <v>0</v>
      </c>
      <c r="G148" s="5">
        <f>IF(AND(E37="US",B38&gt;=30,B38&lt;=39),E7*16*B37/D37,0)</f>
        <v>0</v>
      </c>
      <c r="H148" s="5">
        <f>IF(AND(E42="US",B43&gt;=30,B43&lt;=39),E7*16*B42/D42,0)</f>
        <v>0</v>
      </c>
      <c r="I148" s="5">
        <f>IF(AND(E47="US",B48&gt;=30,B48&lt;=39),E7*16*B47/D47,0)</f>
        <v>0</v>
      </c>
      <c r="J148" s="5">
        <f>IF(AND(E52="US",B53&gt;=30,B53&lt;=39),E7*16*B52/D52,0)</f>
        <v>0</v>
      </c>
      <c r="K148" s="5">
        <f>IF(AND(E57="US",B58&gt;=30,B58&lt;=39),E7*16*B57/D57,0)</f>
        <v>0</v>
      </c>
      <c r="M148" s="5">
        <f>IF(AND(E62="US",B63&gt;=30,B63&lt;=39),E7*16*B62/D62,0)</f>
        <v>0</v>
      </c>
      <c r="O148" s="39">
        <f>IF(E7*16&gt;E5*80%,E5*80%*B22/D22,A148)</f>
        <v>0</v>
      </c>
      <c r="P148" s="5">
        <f>IF(E7*16&gt;E5*80%,E5*80%*B27/D27,E148)</f>
        <v>0</v>
      </c>
      <c r="Q148" s="18">
        <f>IF(E7*16&gt;E5*80%,E5*80%*B32/D32,F148)</f>
        <v>0</v>
      </c>
      <c r="R148" s="5">
        <f>IF(E7*16&gt;E5*80%,E5*80%*B37/D37,G148)</f>
        <v>0</v>
      </c>
      <c r="S148" s="5">
        <f>IF(E7*16&gt;E5*80%,E5*80%*B42/D42,H148)</f>
        <v>0</v>
      </c>
      <c r="T148" s="5">
        <f>IF(E7*16&gt;E5*80%,E5*80%*B47/D47,I148)</f>
        <v>0</v>
      </c>
      <c r="U148" s="5">
        <f>IF(E7*16&gt;E5*80%,E5*80%*B52/D52,J148)</f>
        <v>0</v>
      </c>
      <c r="V148" s="5">
        <f>IF(E7*16&gt;E5*80%,E5*80%*B57/D57,K148)</f>
        <v>0</v>
      </c>
      <c r="W148" s="5">
        <f>IF(E7*16&gt;E5*80%,E5*80%*B62/D62,M148)</f>
        <v>0</v>
      </c>
      <c r="AA148" s="125">
        <f>IF(AND(E24="US",B25&gt;=75,B25&lt;=79),E7*4*B24/D24,0)</f>
        <v>0</v>
      </c>
      <c r="AB148" s="125"/>
      <c r="AC148" s="125"/>
      <c r="AD148" s="125"/>
      <c r="AE148" s="87">
        <f>IF(AND(E29="US",B30&gt;=75,B30&lt;=79),E7*4*B29/D29,0)</f>
        <v>0</v>
      </c>
      <c r="AF148" s="126">
        <f>IF(AND(E34="US",B35&gt;=75,B35&lt;=79),E7*4*B34/D34,0)</f>
        <v>0</v>
      </c>
      <c r="AG148" s="87">
        <f>IF(AND(E39="US",B40&gt;=75,B40&lt;=79),E7*4*B39/D39,0)</f>
        <v>0</v>
      </c>
      <c r="AH148" s="87">
        <f>IF(AND(E44="US",B45&gt;=75,B45&lt;=79),E7*4*B44/D44,0)</f>
        <v>0</v>
      </c>
      <c r="AI148" s="87">
        <f>IF(AND(E49="US",B50&gt;=75,B50&lt;=79),E7*4*B49/D49,0)</f>
        <v>0</v>
      </c>
      <c r="AJ148" s="87">
        <f>IF(AND(E54="US",B55&gt;=75,B55&lt;=79),E7*4*B54/D54,0)</f>
        <v>0</v>
      </c>
      <c r="AK148" s="87">
        <f>IF(AND(E59="US",B60&gt;=75,B60&lt;=79),E7*4*B59/D59,0)</f>
        <v>0</v>
      </c>
      <c r="AL148" s="87"/>
      <c r="AM148" s="87"/>
      <c r="AN148" s="87">
        <f>IF(AND(E64="US",B65&gt;=75,B65&lt;=79),E7*4*B64/D64,0)</f>
        <v>0</v>
      </c>
      <c r="AO148" s="86"/>
      <c r="AP148" s="127">
        <f>IF(E7*4&gt;E5*80%,E5*80%*B24/D24,AA148)</f>
        <v>0</v>
      </c>
      <c r="AQ148" s="128">
        <f>IF(E7*4&gt;E5*80%,E5*80%*B29/D29,AE148)</f>
        <v>0</v>
      </c>
      <c r="AR148" s="129">
        <f>IF(E7*4&gt;E5*80%,E5*80%*B34/D34,AF148)</f>
        <v>0</v>
      </c>
      <c r="AS148" s="128">
        <f>IF(E7*4&gt;E5*80%,E5*80%*B39/D39,AG148)</f>
        <v>0</v>
      </c>
      <c r="AT148" s="128">
        <f>IF(E7*4&gt;E5*80%,E5*80%*B44/D44,AH148)</f>
        <v>0</v>
      </c>
      <c r="AU148" s="128">
        <f>IF(E7*4&gt;E5*80%,E5*80%*B49/D49,AI148)</f>
        <v>0</v>
      </c>
      <c r="AV148" s="128">
        <f>IF(E7*4&gt;E5*80%,E5*80%*B54/D54,AJ148)</f>
        <v>0</v>
      </c>
      <c r="AW148" s="128">
        <f>IF(E7*4&gt;E5*80%,E5*80%*B59/D59,AK148)</f>
        <v>0</v>
      </c>
      <c r="AX148" s="128">
        <f>IF(E7*4&gt;E5*80%,E5*80%*B64/D64,AN148)</f>
        <v>0</v>
      </c>
    </row>
    <row r="149" spans="1:50" hidden="1" x14ac:dyDescent="0.2">
      <c r="A149" s="39"/>
      <c r="B149" s="39"/>
      <c r="C149" s="39"/>
      <c r="D149" s="39"/>
      <c r="O149" s="39"/>
      <c r="Q149" s="18"/>
      <c r="AA149" s="125"/>
      <c r="AB149" s="125"/>
      <c r="AC149" s="125"/>
      <c r="AD149" s="125"/>
      <c r="AE149" s="87"/>
      <c r="AF149" s="126"/>
      <c r="AG149" s="87"/>
      <c r="AH149" s="87"/>
      <c r="AI149" s="87"/>
      <c r="AJ149" s="87"/>
      <c r="AK149" s="87"/>
      <c r="AL149" s="87"/>
      <c r="AM149" s="87"/>
      <c r="AN149" s="87"/>
      <c r="AO149" s="86"/>
      <c r="AP149" s="127"/>
      <c r="AQ149" s="128"/>
      <c r="AR149" s="129"/>
      <c r="AS149" s="128"/>
      <c r="AT149" s="128"/>
      <c r="AU149" s="128"/>
      <c r="AV149" s="128"/>
      <c r="AW149" s="128"/>
      <c r="AX149" s="128"/>
    </row>
    <row r="150" spans="1:50" hidden="1" x14ac:dyDescent="0.2">
      <c r="A150" s="39">
        <f>IF(AND(E22="US",B23&gt;=40,B23&lt;=49),E7*14*B22/D22,0)</f>
        <v>0</v>
      </c>
      <c r="B150" s="39"/>
      <c r="C150" s="39"/>
      <c r="D150" s="39"/>
      <c r="E150" s="5">
        <f>IF(AND(E27="US",B28&gt;=40,B28&lt;=49),E7*14*B27/D27,0)</f>
        <v>0</v>
      </c>
      <c r="F150" s="18">
        <f>IF(AND(E32="US",B33&gt;=40,B33&lt;=49),E7*14*B32/D32,0)</f>
        <v>0</v>
      </c>
      <c r="G150" s="5">
        <f>IF(AND(E37="US",B38&gt;=40,B38&lt;=49),E7*14*B37/D37,0)</f>
        <v>0</v>
      </c>
      <c r="H150" s="5">
        <f>IF(AND(E42="US",B43&gt;=40,B43&lt;=49),E7*14*B42/D42,0)</f>
        <v>0</v>
      </c>
      <c r="I150" s="5">
        <f>IF(AND(E47="US",B48&gt;=40,B48&lt;=49),E7*14*B47/D47,0)</f>
        <v>0</v>
      </c>
      <c r="J150" s="5">
        <f>IF(AND(E52="US",B53&gt;=40,B53&lt;=49),E7*14*B52/D52,0)</f>
        <v>0</v>
      </c>
      <c r="K150" s="5">
        <f>IF(AND(E57="US",B58&gt;=40,B58&lt;=49),E7*14*B57/D57,0)</f>
        <v>0</v>
      </c>
      <c r="M150" s="5">
        <f>IF(AND(E62="US",B63&gt;=40,B63&lt;=49),E7*14*B62/D62,0)</f>
        <v>0</v>
      </c>
      <c r="O150" s="39">
        <f>IF(E7*14&gt;E5*80%,E5*80%*B22/D22,A150)</f>
        <v>0</v>
      </c>
      <c r="P150" s="5">
        <f>IF(E7*14&gt;E5*80%,E5*80%*B27/D27,E150)</f>
        <v>0</v>
      </c>
      <c r="Q150" s="18">
        <f>IF(E7*14&gt;E5*80%,E5*80%*B32/D32,F150)</f>
        <v>0</v>
      </c>
      <c r="R150" s="5">
        <f>IF(E7*14&gt;E5*80%,E5*80%*B37/D37,G150)</f>
        <v>0</v>
      </c>
      <c r="S150" s="5">
        <f>IF(E7*14&gt;E5*80%,E5*80%*B42/D42,H150)</f>
        <v>0</v>
      </c>
      <c r="T150" s="5">
        <f>IF(E7*14&gt;E5*80%,E5*80%*B47/D47,I150)</f>
        <v>0</v>
      </c>
      <c r="U150" s="5">
        <f>IF(E7*14&gt;E5*80%,E5*80%*B52/D52,J150)</f>
        <v>0</v>
      </c>
      <c r="V150" s="5">
        <f>IF(E7*14&gt;E5*80%,E5*80%*B57/D57,K150)</f>
        <v>0</v>
      </c>
      <c r="W150" s="5">
        <f>IF(E7*14&gt;E5*80%,E5*80%*B62/D62,M150)</f>
        <v>0</v>
      </c>
      <c r="AA150" s="125">
        <f>IF(AND(E24="US",B25&gt;=80),E7*2*B24/D24,0)</f>
        <v>0</v>
      </c>
      <c r="AB150" s="125"/>
      <c r="AC150" s="125"/>
      <c r="AD150" s="125"/>
      <c r="AE150" s="87">
        <f>IF(AND(E29="US",B30&gt;=80),E7*2*B29/D29,0)</f>
        <v>0</v>
      </c>
      <c r="AF150" s="126">
        <f>IF(AND(E34="US",B35&gt;=80),E7*2*B34/D34,0)</f>
        <v>0</v>
      </c>
      <c r="AG150" s="87">
        <f>IF(AND(E39="US",B40&gt;=80),E7*2*B39/D39,0)</f>
        <v>0</v>
      </c>
      <c r="AH150" s="87">
        <f>IF(AND(E44="US",B45&gt;=80),E7*2*B44/D44,0)</f>
        <v>0</v>
      </c>
      <c r="AI150" s="87">
        <f>IF(AND(E49="US",B50&gt;=80),E7*2*B49/D49,0)</f>
        <v>0</v>
      </c>
      <c r="AJ150" s="87">
        <f>IF(AND(E54="US",B55&gt;=80),E7*2*B54/D54,0)</f>
        <v>0</v>
      </c>
      <c r="AK150" s="87">
        <f>IF(AND(E59="US",B60&gt;=80),E7*2*B59/D59,0)</f>
        <v>0</v>
      </c>
      <c r="AL150" s="87"/>
      <c r="AM150" s="87"/>
      <c r="AN150" s="87">
        <f>IF(AND(E64="US",B65&gt;=80),E7*2*B64/D64,0)</f>
        <v>0</v>
      </c>
      <c r="AO150" s="86"/>
      <c r="AP150" s="127">
        <f>IF(E7*2&gt;E5*80%,E5*80%*B24/D24,AA150)</f>
        <v>0</v>
      </c>
      <c r="AQ150" s="128">
        <f>IF(E7*2&gt;E5*80%,E5*80%*B29/D29,AE150)</f>
        <v>0</v>
      </c>
      <c r="AR150" s="129">
        <f>IF(E7*2&gt;E5*80%,E5*80%*B34/D34,AF150)</f>
        <v>0</v>
      </c>
      <c r="AS150" s="128">
        <f>IF(E7*2&gt;E5*80%,E5*80%*B39/D39,AG150)</f>
        <v>0</v>
      </c>
      <c r="AT150" s="128">
        <f>IF(E7*2&gt;E5*80%,E5*80%*B44/D44,AH150)</f>
        <v>0</v>
      </c>
      <c r="AU150" s="128">
        <f>IF(E7*2&gt;E5*80%,E5*80%*B49/D49,AI150)</f>
        <v>0</v>
      </c>
      <c r="AV150" s="128">
        <f>IF(E7*2&gt;E5*80%,E5*80%*B54/D54,AJ150)</f>
        <v>0</v>
      </c>
      <c r="AW150" s="128">
        <f>IF(E7*2&gt;E5*80%,E5*80%*B59/D59,AK150)</f>
        <v>0</v>
      </c>
      <c r="AX150" s="128">
        <f>IF(E7*2&gt;E5*80%,E5*80%*B64/D64,AN150)</f>
        <v>0</v>
      </c>
    </row>
    <row r="151" spans="1:50" ht="13.5" hidden="1" thickBot="1" x14ac:dyDescent="0.25">
      <c r="A151" s="39"/>
      <c r="B151" s="39"/>
      <c r="C151" s="39"/>
      <c r="D151" s="39"/>
      <c r="O151" s="39"/>
      <c r="Q151" s="18"/>
      <c r="AA151" s="125"/>
      <c r="AB151" s="125"/>
      <c r="AC151" s="125"/>
      <c r="AD151" s="125"/>
      <c r="AE151" s="87"/>
      <c r="AF151" s="126"/>
      <c r="AG151" s="87"/>
      <c r="AH151" s="87"/>
      <c r="AI151" s="87"/>
      <c r="AJ151" s="87"/>
      <c r="AK151" s="87"/>
      <c r="AL151" s="87"/>
      <c r="AM151" s="87"/>
      <c r="AN151" s="87"/>
      <c r="AO151" s="86"/>
      <c r="AP151" s="119"/>
      <c r="AQ151" s="86"/>
      <c r="AR151" s="124"/>
      <c r="AS151" s="86"/>
      <c r="AT151" s="86"/>
      <c r="AU151" s="86"/>
      <c r="AV151" s="86"/>
      <c r="AW151" s="86"/>
      <c r="AX151" s="86"/>
    </row>
    <row r="152" spans="1:50" ht="13.5" hidden="1" thickBot="1" x14ac:dyDescent="0.25">
      <c r="A152" s="39">
        <f>IF(AND(E22="US",B23&gt;=50,B23&lt;=54),E7*13*B22/D22,0)</f>
        <v>0</v>
      </c>
      <c r="B152" s="39"/>
      <c r="C152" s="39"/>
      <c r="D152" s="39"/>
      <c r="E152" s="5">
        <f>IF(AND(E27="US",B28&gt;=50,B28&lt;=54),E7*13*B27/D27,0)</f>
        <v>0</v>
      </c>
      <c r="F152" s="18">
        <f>IF(AND(E32="US",B33&gt;=50,B33&lt;=54),E7*13*B32/D32,0)</f>
        <v>0</v>
      </c>
      <c r="G152" s="5">
        <f>IF(AND(E37="US",B38&gt;=50,B38&lt;=54),E7*13*B37/D37,0)</f>
        <v>0</v>
      </c>
      <c r="H152" s="5">
        <f>IF(AND(E42="US",B43&gt;=50,B43&lt;=54),E7*13*B42/D42,0)</f>
        <v>0</v>
      </c>
      <c r="I152" s="5">
        <f>IF(AND(E47="US",B48&gt;=50,B48&lt;=54),E7*13*B47/D47,0)</f>
        <v>0</v>
      </c>
      <c r="J152" s="5">
        <f>IF(AND(E52="US",B53&gt;=50,B53&lt;=54),E7*13*B52/D52,0)</f>
        <v>0</v>
      </c>
      <c r="K152" s="5">
        <f>IF(AND(E57="US",B58&gt;=50,B58&lt;=54),E7*13*B57/D57,0)</f>
        <v>0</v>
      </c>
      <c r="M152" s="5">
        <f>IF(AND(E62="US",B63&gt;=50,B63&lt;=54),E7*13*B62/D62,0)</f>
        <v>0</v>
      </c>
      <c r="O152" s="39">
        <f>IF(E7*13&gt;E5*80%,E5*80%*B22/D22,A152)</f>
        <v>0</v>
      </c>
      <c r="P152" s="5">
        <f>IF(E7*13&gt;E5*80%,E5*80%*B27/D27,E152)</f>
        <v>0</v>
      </c>
      <c r="Q152" s="18">
        <f>IF(E7*13&gt;E5*80%,E5*80%*B32/D32,F152)</f>
        <v>0</v>
      </c>
      <c r="R152" s="5">
        <f>IF(E7*13&gt;E5*80%,E5*80%*B37/D37,G152)</f>
        <v>0</v>
      </c>
      <c r="S152" s="5">
        <f>IF(E7*13&gt;E5*80%,E5*80%*B42/D42,H152)</f>
        <v>0</v>
      </c>
      <c r="T152" s="5">
        <f>IF(E7*13&gt;E5*80%,E5*80%*B47/D47,I152)</f>
        <v>0</v>
      </c>
      <c r="U152" s="5">
        <f>IF(E7*13&gt;E5*80%,E5*80%*B52/D52,J152)</f>
        <v>0</v>
      </c>
      <c r="V152" s="5">
        <f>IF(E7*13&gt;E5*80%,E5*80%*B57/D57,K152)</f>
        <v>0</v>
      </c>
      <c r="W152" s="5">
        <f>IF(E7*13&gt;E5*80%,E5*80%*B62/D62,M152)</f>
        <v>0</v>
      </c>
      <c r="AA152" s="130">
        <f>SUM(AA130:AA150)</f>
        <v>0</v>
      </c>
      <c r="AB152" s="130"/>
      <c r="AC152" s="130"/>
      <c r="AD152" s="130"/>
      <c r="AE152" s="131">
        <f>SUM(AE130:AE150)</f>
        <v>0</v>
      </c>
      <c r="AF152" s="132">
        <f>SUM(AF130:AF150)</f>
        <v>0</v>
      </c>
      <c r="AG152" s="131">
        <f>SUM(AG130:AG150)</f>
        <v>0</v>
      </c>
      <c r="AH152" s="131">
        <f>SUM(AH130:AH150)</f>
        <v>0</v>
      </c>
      <c r="AI152" s="131">
        <f>SUM(AI130:AI150)</f>
        <v>0</v>
      </c>
      <c r="AJ152" s="131">
        <f>SUM(AI130:AI150)</f>
        <v>0</v>
      </c>
      <c r="AK152" s="131">
        <f>SUM(AK130:AK150)</f>
        <v>0</v>
      </c>
      <c r="AL152" s="131"/>
      <c r="AM152" s="131"/>
      <c r="AN152" s="131">
        <f>SUM(AN130:AN150)</f>
        <v>0</v>
      </c>
      <c r="AO152" s="86"/>
      <c r="AP152" s="119"/>
      <c r="AQ152" s="86"/>
      <c r="AR152" s="124"/>
      <c r="AS152" s="86"/>
      <c r="AT152" s="86"/>
      <c r="AU152" s="86"/>
      <c r="AV152" s="86"/>
      <c r="AW152" s="86"/>
      <c r="AX152" s="86"/>
    </row>
    <row r="153" spans="1:50" hidden="1" x14ac:dyDescent="0.2">
      <c r="A153" s="39"/>
      <c r="B153" s="39"/>
      <c r="C153" s="39"/>
      <c r="D153" s="39"/>
      <c r="O153" s="39"/>
      <c r="Q153" s="18"/>
      <c r="AA153" s="125"/>
      <c r="AB153" s="125"/>
      <c r="AC153" s="125"/>
      <c r="AD153" s="125"/>
      <c r="AE153" s="87"/>
      <c r="AF153" s="126"/>
      <c r="AG153" s="87"/>
      <c r="AH153" s="87"/>
      <c r="AI153" s="87"/>
      <c r="AJ153" s="87"/>
      <c r="AK153" s="87"/>
      <c r="AL153" s="87"/>
      <c r="AM153" s="87"/>
      <c r="AN153" s="87"/>
      <c r="AO153" s="86"/>
      <c r="AP153" s="119"/>
      <c r="AQ153" s="86"/>
      <c r="AR153" s="124"/>
      <c r="AS153" s="86"/>
      <c r="AT153" s="86"/>
      <c r="AU153" s="86"/>
      <c r="AV153" s="86"/>
      <c r="AW153" s="86"/>
      <c r="AX153" s="86"/>
    </row>
    <row r="154" spans="1:50" hidden="1" x14ac:dyDescent="0.2">
      <c r="A154" s="39">
        <f>IF(AND(E22="US",B23&gt;=55,B23&lt;=59),E7*11*B22/D22,0)</f>
        <v>0</v>
      </c>
      <c r="B154" s="39"/>
      <c r="C154" s="39"/>
      <c r="D154" s="39"/>
      <c r="E154" s="5">
        <f>IF(AND(E27="US",B28&gt;=55,B28&lt;=59),E7*11*B27/D27,0)</f>
        <v>0</v>
      </c>
      <c r="F154" s="18">
        <f>IF(AND(E32="US",B33&gt;=55,B33&lt;=59),E7*11*B32/D32,0)</f>
        <v>0</v>
      </c>
      <c r="G154" s="5">
        <f>IF(AND(E37="US",B38&gt;=55,B38&lt;=59),E7*11*B37/D37,0)</f>
        <v>0</v>
      </c>
      <c r="H154" s="5">
        <f>IF(AND(E42="US",B43&gt;=55,B43&lt;=59),E7*11*B42/D42,0)</f>
        <v>0</v>
      </c>
      <c r="I154" s="5">
        <f>IF(AND(E47="US",B48&gt;=55,B48&lt;=59),E7*11*B47/D47,0)</f>
        <v>0</v>
      </c>
      <c r="J154" s="5">
        <f>IF(AND(E52="US",B53&gt;=55,B53&lt;=59),E7*11*B52/D52,0)</f>
        <v>0</v>
      </c>
      <c r="K154" s="5">
        <f>IF(AND(E57="US",B58&gt;=55,B58&lt;=59),E7*11*B57/D57,0)</f>
        <v>0</v>
      </c>
      <c r="M154" s="5">
        <f>IF(AND(E62="US",B63&gt;=55,B63&lt;=59),E7*11*B62/D62,0)</f>
        <v>0</v>
      </c>
      <c r="O154" s="39">
        <f>IF(E7*11&gt;E5*80%,E5*80%*B22/D22,A154)</f>
        <v>0</v>
      </c>
      <c r="P154" s="5">
        <f>IF(E7*11&gt;E5*80%,E5*80%*B27/D27,E154)</f>
        <v>0</v>
      </c>
      <c r="Q154" s="18">
        <f>IF(E7*11&gt;E5*80%,E5*80%*B32/D32,F154)</f>
        <v>0</v>
      </c>
      <c r="R154" s="5">
        <f>IF(E7*11&gt;E5*80%,E5*80%*B37/D37,G154)</f>
        <v>0</v>
      </c>
      <c r="S154" s="5">
        <f>IF(E7*11&gt;E5*80%,E5*80%*B42/D42,H154)</f>
        <v>0</v>
      </c>
      <c r="T154" s="5">
        <f>IF(E7*11&gt;E5*80%,E5*80%*B47/D47,I154)</f>
        <v>0</v>
      </c>
      <c r="U154" s="5">
        <f>IF(E7*11&gt;E5*80%,E5*80%*B52/D52,J154)</f>
        <v>0</v>
      </c>
      <c r="V154" s="5">
        <f>IF(E7*11&gt;E5*80%,E5*80%*B57/D57,K154)</f>
        <v>0</v>
      </c>
      <c r="W154" s="5">
        <f>IF(E7*11&gt;E5*80%,E5*80%*B62/D62,M154)</f>
        <v>0</v>
      </c>
      <c r="AA154" s="125">
        <f>SUM(AA152:AN152)</f>
        <v>0</v>
      </c>
      <c r="AB154" s="119"/>
      <c r="AC154" s="119"/>
      <c r="AD154" s="119"/>
      <c r="AE154" s="86"/>
      <c r="AF154" s="124"/>
      <c r="AG154" s="86"/>
      <c r="AH154" s="86"/>
      <c r="AI154" s="86"/>
      <c r="AJ154" s="86"/>
      <c r="AK154" s="86"/>
      <c r="AL154" s="86"/>
      <c r="AM154" s="86"/>
      <c r="AN154" s="86"/>
      <c r="AO154" s="86"/>
      <c r="AP154" s="119"/>
      <c r="AQ154" s="86"/>
      <c r="AR154" s="124"/>
      <c r="AS154" s="86"/>
      <c r="AT154" s="86"/>
      <c r="AU154" s="86"/>
      <c r="AV154" s="86"/>
      <c r="AW154" s="86"/>
      <c r="AX154" s="86"/>
    </row>
    <row r="155" spans="1:50" hidden="1" x14ac:dyDescent="0.2">
      <c r="Q155" s="18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6"/>
      <c r="AL155" s="86"/>
      <c r="AM155" s="86"/>
      <c r="AN155" s="86"/>
      <c r="AO155" s="86"/>
      <c r="AP155" s="86"/>
      <c r="AQ155" s="86"/>
      <c r="AR155" s="86"/>
      <c r="AS155" s="86"/>
      <c r="AT155" s="86"/>
      <c r="AU155" s="86"/>
      <c r="AV155" s="86"/>
      <c r="AW155" s="86"/>
      <c r="AX155" s="86"/>
    </row>
    <row r="156" spans="1:50" hidden="1" x14ac:dyDescent="0.2">
      <c r="A156" s="39">
        <f>IF(AND(E22="US",B23&gt;=60,B23&lt;=64),E7*9.5*B22/D22,0)</f>
        <v>0</v>
      </c>
      <c r="B156" s="39"/>
      <c r="C156" s="39"/>
      <c r="D156" s="39"/>
      <c r="E156" s="5">
        <f>IF(AND(E27="US",B28&gt;=60,B28&lt;=64),E7*9.5*B27/D27,0)</f>
        <v>0</v>
      </c>
      <c r="F156" s="18">
        <f>IF(AND(E32="US",B33&gt;=60,B33&lt;=64),E7*9.5*B32/D32,0)</f>
        <v>0</v>
      </c>
      <c r="G156" s="5">
        <f>IF(AND(E37="US",B38&gt;=60,B38&lt;=64),E7*9.5*B37/D37,0)</f>
        <v>0</v>
      </c>
      <c r="H156" s="5">
        <f>IF(AND(E42="US",B43&gt;=60,B43&lt;=64),E7*9.5*B42/D42,0)</f>
        <v>0</v>
      </c>
      <c r="I156" s="5">
        <f>IF(AND(E47="US",B48&gt;=60,B48&lt;=64),E7*9.5*B47/D47,0)</f>
        <v>0</v>
      </c>
      <c r="J156" s="5">
        <f>IF(AND(E52="US",B53&gt;=60,B53&lt;=64),E7*9.5*B52/D52,0)</f>
        <v>0</v>
      </c>
      <c r="K156" s="5">
        <f>IF(AND(E57="US",B58&gt;=60,B58&lt;=64),E7*9.5*B57/D57,0)</f>
        <v>0</v>
      </c>
      <c r="M156" s="5">
        <f>IF(AND(E62="US",B63&gt;=60,B63&lt;=64),E7*9.5*B62/D62,0)</f>
        <v>0</v>
      </c>
      <c r="O156" s="39">
        <f>IF(E7*9&gt;E5*80%,E5*80%*B22/D22,A156)</f>
        <v>0</v>
      </c>
      <c r="P156" s="5">
        <f>IF(E7*9&gt;E5*80%,E5*80%*B27/D27,E156)</f>
        <v>0</v>
      </c>
      <c r="Q156" s="18">
        <f>IF(E7*9&gt;E5*80%,E5*80%*B32/D32,F156)</f>
        <v>0</v>
      </c>
      <c r="R156" s="5">
        <f>IF(E7*9&gt;E5*80%,E5*80%*B37/D37,G156)</f>
        <v>0</v>
      </c>
      <c r="S156" s="5">
        <f>IF(E7*9&gt;E5*80%,E5*80%*B42/D42,H156)</f>
        <v>0</v>
      </c>
      <c r="T156" s="5">
        <f>IF(E7*9&gt;E5*80%,E5*80%*B47/D47,I156)</f>
        <v>0</v>
      </c>
      <c r="U156" s="5">
        <f>IF(E7*9&gt;E5*80%,E5*80%*B52/D52,J156)</f>
        <v>0</v>
      </c>
      <c r="V156" s="5">
        <f>IF(E7*9&gt;E5*80%,E5*80%*B57/D57,K156)</f>
        <v>0</v>
      </c>
      <c r="W156" s="5">
        <f>IF(E7*9&gt;E5*80%,E5*80%*B62/D62,M156)</f>
        <v>0</v>
      </c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6"/>
      <c r="AL156" s="86"/>
      <c r="AM156" s="86"/>
      <c r="AN156" s="86"/>
      <c r="AO156" s="86"/>
      <c r="AP156" s="86"/>
      <c r="AQ156" s="86"/>
      <c r="AR156" s="86"/>
      <c r="AS156" s="86"/>
      <c r="AT156" s="86"/>
      <c r="AU156" s="86"/>
      <c r="AV156" s="86"/>
      <c r="AW156" s="86"/>
      <c r="AX156" s="86"/>
    </row>
    <row r="157" spans="1:50" hidden="1" x14ac:dyDescent="0.2">
      <c r="A157" s="39"/>
      <c r="B157" s="39"/>
      <c r="C157" s="39"/>
      <c r="D157" s="39"/>
      <c r="O157" s="39"/>
      <c r="Q157" s="18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6"/>
      <c r="AL157" s="86"/>
      <c r="AM157" s="86"/>
      <c r="AN157" s="86"/>
      <c r="AO157" s="86"/>
      <c r="AP157" s="86"/>
      <c r="AQ157" s="86"/>
      <c r="AR157" s="86"/>
      <c r="AS157" s="86"/>
      <c r="AT157" s="86"/>
      <c r="AU157" s="86"/>
      <c r="AV157" s="86"/>
      <c r="AW157" s="86"/>
      <c r="AX157" s="86"/>
    </row>
    <row r="158" spans="1:50" hidden="1" x14ac:dyDescent="0.2">
      <c r="A158" s="39">
        <f>IF(AND(E22="US",B23&gt;=65,B23&lt;=69),E7*8*B22/D22,0)</f>
        <v>0</v>
      </c>
      <c r="B158" s="39"/>
      <c r="C158" s="39"/>
      <c r="D158" s="39"/>
      <c r="E158" s="5">
        <f>IF(AND(E27="US",B28&gt;=65,B28&lt;=69),E7*8*B27/D27,0)</f>
        <v>0</v>
      </c>
      <c r="F158" s="18">
        <f>IF(AND(E32="US",B33&gt;=65,B33&lt;=69),E7*8*B32/D32,0)</f>
        <v>0</v>
      </c>
      <c r="G158" s="5">
        <f>IF(AND(E37="US",B38&gt;=65,B38&lt;=69),E7*8*B37/D37,0)</f>
        <v>0</v>
      </c>
      <c r="H158" s="5">
        <f>IF(AND(E42="US",B43&gt;=65,B43&lt;=69),E7*8*B42/D42,0)</f>
        <v>0</v>
      </c>
      <c r="I158" s="5">
        <f>IF(AND(E47="US",B48&gt;=65,B48&lt;=69),E7*8*B47/D47,0)</f>
        <v>0</v>
      </c>
      <c r="J158" s="5">
        <f>IF(AND(E52="US",B53&gt;=65,B53&lt;=69),E7*8*B52/D52,0)</f>
        <v>0</v>
      </c>
      <c r="K158" s="5">
        <f>IF(AND(E57="US",B58&gt;=65,B58&lt;=69),E7*8*B57/D57,0)</f>
        <v>0</v>
      </c>
      <c r="M158" s="5">
        <f>IF(AND(E62="US",B63&gt;=65,B63&lt;=69),E7*8*B62/D62,0)</f>
        <v>0</v>
      </c>
      <c r="O158" s="39">
        <f>IF(E7*8&gt;E5*80%,E5*80%*B22/D22,A158)</f>
        <v>0</v>
      </c>
      <c r="P158" s="5">
        <f>IF(E7*8&gt;E5*80%,E5*80%*B27/D27,E158)</f>
        <v>0</v>
      </c>
      <c r="Q158" s="18">
        <f>IF(E7*8&gt;E5*80%,E5*80%*B32/D32,F158)</f>
        <v>0</v>
      </c>
      <c r="R158" s="5">
        <f>IF(E7*8&gt;E5*80%,E5*80%*B37/D37,G158)</f>
        <v>0</v>
      </c>
      <c r="S158" s="5">
        <f>IF(E7*8&gt;E5*80%,E5*80%*B42/D42,H158)</f>
        <v>0</v>
      </c>
      <c r="T158" s="5">
        <f>IF(E7*8&gt;E5*80%,E5*80%*B47/D47,I158)</f>
        <v>0</v>
      </c>
      <c r="U158" s="5">
        <f>IF(E7*8&gt;E5*80%,E5*80%*B52/D52,J158)</f>
        <v>0</v>
      </c>
      <c r="V158" s="5">
        <f>IF(E7*8&gt;E5*80%,E5*80%*B57/D57,K158)</f>
        <v>0</v>
      </c>
      <c r="W158" s="5">
        <f>IF(E7*8&gt;E5*80%,E5*80%*B62/D62,M158)</f>
        <v>0</v>
      </c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6"/>
      <c r="AL158" s="86"/>
      <c r="AM158" s="86"/>
      <c r="AN158" s="86"/>
      <c r="AO158" s="86"/>
      <c r="AP158" s="86"/>
      <c r="AQ158" s="86"/>
      <c r="AR158" s="86"/>
      <c r="AS158" s="86"/>
      <c r="AT158" s="86"/>
      <c r="AU158" s="86"/>
      <c r="AV158" s="86"/>
      <c r="AW158" s="86"/>
      <c r="AX158" s="86"/>
    </row>
    <row r="159" spans="1:50" hidden="1" x14ac:dyDescent="0.2">
      <c r="A159" s="39"/>
      <c r="B159" s="39"/>
      <c r="C159" s="39"/>
      <c r="D159" s="39"/>
      <c r="O159" s="39"/>
      <c r="Q159" s="18"/>
      <c r="AA159" s="133">
        <f>IF(E24="US",AP183,0)</f>
        <v>0</v>
      </c>
      <c r="AB159" s="133"/>
      <c r="AC159" s="133"/>
      <c r="AD159" s="133"/>
      <c r="AE159" s="133">
        <f>IF(E29="US",AQ183,0)</f>
        <v>0</v>
      </c>
      <c r="AF159" s="133">
        <f>IF(E34="US",AR183,0)</f>
        <v>0</v>
      </c>
      <c r="AG159" s="133">
        <f>IF(E39="US",AS183,0)</f>
        <v>0</v>
      </c>
      <c r="AH159" s="133">
        <f>IF(E44="US",AT183,0)</f>
        <v>0</v>
      </c>
      <c r="AI159" s="133">
        <f>IF(E49="US",AU183,0)</f>
        <v>0</v>
      </c>
      <c r="AJ159" s="133">
        <f>IF(E54="US",AV183,0)</f>
        <v>0</v>
      </c>
      <c r="AK159" s="133">
        <f>IF(E59="US",AW183,0)</f>
        <v>0</v>
      </c>
      <c r="AL159" s="133">
        <f>IF(E64="US",AX183,0)</f>
        <v>0</v>
      </c>
      <c r="AM159" s="152">
        <f>SUM(AA159:AL159)</f>
        <v>0</v>
      </c>
      <c r="AN159" s="86"/>
      <c r="AO159" s="86"/>
      <c r="AP159" s="134">
        <f>IF(AND(E24="US",B25&lt;20),AP130,0)</f>
        <v>0</v>
      </c>
      <c r="AQ159" s="135">
        <f>IF(AND(E29="US",B30&lt;20),AQ130,0)</f>
        <v>0</v>
      </c>
      <c r="AR159" s="136">
        <f>IF(AND(E34="US",B35&lt;20),AR130,0)</f>
        <v>0</v>
      </c>
      <c r="AS159" s="135">
        <f>IF(AND(E39="US",B40&lt;20),AS130,0)</f>
        <v>0</v>
      </c>
      <c r="AT159" s="135">
        <f>IF(AND(E44="US",B45&lt;20),AT130,0)</f>
        <v>0</v>
      </c>
      <c r="AU159" s="135">
        <f>IF(AND(E49="US",B50&lt;20),AU130,0)</f>
        <v>0</v>
      </c>
      <c r="AV159" s="135">
        <f>IF(AND(E54="US",B55&lt;20),AV130,0)</f>
        <v>0</v>
      </c>
      <c r="AW159" s="135">
        <f>IF(AND(E59="US",B60&lt;20),AW130,0)</f>
        <v>0</v>
      </c>
      <c r="AX159" s="135">
        <f>IF(AND(E64="US",B65&lt;20),AX130,0)</f>
        <v>0</v>
      </c>
    </row>
    <row r="160" spans="1:50" hidden="1" x14ac:dyDescent="0.2">
      <c r="A160" s="39">
        <f>IF(AND(E22="US",B23&gt;=70,B23&lt;=74),E7*6*B22/D22,0)</f>
        <v>0</v>
      </c>
      <c r="B160" s="39"/>
      <c r="C160" s="39"/>
      <c r="D160" s="39"/>
      <c r="E160" s="5">
        <f>IF(AND(E27="US",B28&gt;=70,B28&lt;=74),E7*6*B27/D27,0)</f>
        <v>0</v>
      </c>
      <c r="F160" s="18">
        <f>IF(AND(E32="US",B33&gt;=70,B33&lt;=74),E7*6*B32/D32,0)</f>
        <v>0</v>
      </c>
      <c r="G160" s="5">
        <f>IF(AND(E37="US",B38&gt;=70,B38&lt;=74),E7*6*B37/D37,0)</f>
        <v>0</v>
      </c>
      <c r="H160" s="5">
        <f>IF(AND(E42="US",B43&gt;=70,B43&lt;=74),E7*6*B42/D42,0)</f>
        <v>0</v>
      </c>
      <c r="I160" s="5">
        <f>IF(AND(E47="US",B48&gt;=70,B48&lt;=74),E7*6*B47/D47,0)</f>
        <v>0</v>
      </c>
      <c r="J160" s="5">
        <f>IF(AND(E52="US",B53&gt;=70,B53&lt;=74),E7*6*B52/D52,0)</f>
        <v>0</v>
      </c>
      <c r="K160" s="5">
        <f>IF(AND(E57="US",B58&gt;=70,B58&lt;=74),E7*6*B57/D57,0)</f>
        <v>0</v>
      </c>
      <c r="M160" s="5">
        <f>IF(AND(E62="US",B63&gt;=70,B63&lt;=74),E7*6*B62/D62,0)</f>
        <v>0</v>
      </c>
      <c r="O160" s="39">
        <f>IF(E7*6&gt;E5*80%,E5*80%*B22/D22,A160)</f>
        <v>0</v>
      </c>
      <c r="P160" s="5">
        <f>IF(E7*6&gt;E5*80%,E5*80%*B27/D27,E160)</f>
        <v>0</v>
      </c>
      <c r="Q160" s="18">
        <f>IF(E7*6&gt;E5*80%,E5*80%*B32/D32,F160)</f>
        <v>0</v>
      </c>
      <c r="R160" s="5">
        <f>IF(E7*6&gt;E5*80%,E5*80%*B37/D37,G160)</f>
        <v>0</v>
      </c>
      <c r="S160" s="5">
        <f>IF(E7*6&gt;E5*80%,E5*80%*B42/D42,H160)</f>
        <v>0</v>
      </c>
      <c r="T160" s="5">
        <f>IF(E7*6&gt;E5*80%,E5*80%*B47/D47,I160)</f>
        <v>0</v>
      </c>
      <c r="U160" s="5">
        <f>IF(E7*6&gt;E5*80%,E5*80%*B52/D52,J160)</f>
        <v>0</v>
      </c>
      <c r="V160" s="5">
        <f>IF(E7*6&gt;E5*80%,E5*80%*B57/D57,K160)</f>
        <v>0</v>
      </c>
      <c r="W160" s="5">
        <f>IF(E7*6&gt;E5*80%,E5*80%*B62/D62,M160)</f>
        <v>0</v>
      </c>
      <c r="AA160" s="133"/>
      <c r="AB160" s="133"/>
      <c r="AC160" s="133"/>
      <c r="AD160" s="133"/>
      <c r="AE160" s="133"/>
      <c r="AF160" s="137"/>
      <c r="AG160" s="133"/>
      <c r="AH160" s="133"/>
      <c r="AI160" s="133"/>
      <c r="AJ160" s="133"/>
      <c r="AK160" s="133"/>
      <c r="AL160" s="133"/>
      <c r="AM160" s="86"/>
      <c r="AN160" s="86"/>
      <c r="AO160" s="86"/>
      <c r="AP160" s="134"/>
      <c r="AQ160" s="135"/>
      <c r="AR160" s="136"/>
      <c r="AS160" s="135"/>
      <c r="AT160" s="135"/>
      <c r="AU160" s="135"/>
      <c r="AV160" s="135"/>
      <c r="AW160" s="135"/>
      <c r="AX160" s="135"/>
    </row>
    <row r="161" spans="1:50" hidden="1" x14ac:dyDescent="0.2">
      <c r="A161" s="39"/>
      <c r="B161" s="39"/>
      <c r="C161" s="39"/>
      <c r="D161" s="39"/>
      <c r="O161" s="39"/>
      <c r="Q161" s="18"/>
      <c r="AA161" s="133">
        <f>IF(E24="NP",M272*B24/D24,0)</f>
        <v>0</v>
      </c>
      <c r="AB161" s="133"/>
      <c r="AC161" s="133"/>
      <c r="AD161" s="133"/>
      <c r="AE161" s="133">
        <f>IF(E29="NP",M272*B29/D29,0)</f>
        <v>0</v>
      </c>
      <c r="AF161" s="137">
        <f>IF(E34="NP",M272*B34/D34,0)</f>
        <v>0</v>
      </c>
      <c r="AG161" s="133">
        <f>IF(E39="NP",M272*B39/D39,0)</f>
        <v>0</v>
      </c>
      <c r="AH161" s="133">
        <f>IF(E44="NP",M272*B44/D44,0)</f>
        <v>0</v>
      </c>
      <c r="AI161" s="133">
        <f>IF(E49="NP",M272*B49/D49,0)</f>
        <v>0</v>
      </c>
      <c r="AJ161" s="133">
        <f>IF(E54="NP",M272*B54/D54,0)</f>
        <v>0</v>
      </c>
      <c r="AK161" s="133">
        <f>IF(E59="NP",M272*B59/D59,0)</f>
        <v>0</v>
      </c>
      <c r="AL161" s="133">
        <f>IF(E64="NP",M272*B64/D64,0)</f>
        <v>0</v>
      </c>
      <c r="AM161" s="86"/>
      <c r="AN161" s="86"/>
      <c r="AO161" s="86"/>
      <c r="AP161" s="134">
        <f>IF(AND(E24="US",B25&gt;=20,B25&lt;=29),AP132,0)</f>
        <v>0</v>
      </c>
      <c r="AQ161" s="135">
        <f>IF(AND(E29="US",B30&gt;=20,B30&lt;=29),AQ132,0)</f>
        <v>0</v>
      </c>
      <c r="AR161" s="136">
        <f>IF(AND(E34="US",B35&gt;=20,B35&lt;=29),AR132,0)</f>
        <v>0</v>
      </c>
      <c r="AS161" s="135">
        <f>IF(AND(E39="US",B40&gt;=20,B40&lt;=29),AS132,0)</f>
        <v>0</v>
      </c>
      <c r="AT161" s="135">
        <f>IF(AND(E44="US",B45&gt;=20,B45&lt;=29),AT132,0)</f>
        <v>0</v>
      </c>
      <c r="AU161" s="135">
        <f>IF(AND(E49="US",B50&gt;=20,B50&lt;=29),AU132,0)</f>
        <v>0</v>
      </c>
      <c r="AV161" s="135">
        <f>IF(AND(E54="US",B55&gt;=20,B55&lt;=29),AV132,0)</f>
        <v>0</v>
      </c>
      <c r="AW161" s="135">
        <f>IF(AND(E59="US",B60&gt;=20,B60&lt;=29),AW132,0)</f>
        <v>0</v>
      </c>
      <c r="AX161" s="135">
        <f>IF(AND(E64="US",B65&gt;=20,B65&lt;=29),AX132,0)</f>
        <v>0</v>
      </c>
    </row>
    <row r="162" spans="1:50" hidden="1" x14ac:dyDescent="0.2">
      <c r="A162" s="39">
        <f>IF(AND(E22="US",B23&gt;=75,B23&lt;=79),E7*4*B22/D22,0)</f>
        <v>0</v>
      </c>
      <c r="B162" s="39"/>
      <c r="C162" s="39"/>
      <c r="D162" s="39"/>
      <c r="E162" s="5">
        <f>IF(AND(E27="US",B28&gt;=75,B28&lt;=79),E7*4*B27/D27,0)</f>
        <v>0</v>
      </c>
      <c r="F162" s="18">
        <f>IF(AND(E32="US",B33&gt;=75,B33&lt;=79),E7*4*B32/D32,0)</f>
        <v>0</v>
      </c>
      <c r="G162" s="5">
        <f>IF(AND(E37="US",B38&gt;=75,B38&lt;=79),E7*4*B37/D37,0)</f>
        <v>0</v>
      </c>
      <c r="H162" s="5">
        <f>IF(AND(E42="US",B43&gt;=75,B43&lt;=79),E7*4*B42/D42,0)</f>
        <v>0</v>
      </c>
      <c r="I162" s="5">
        <f>IF(AND(E47="US",B48&gt;=75,B48&lt;=79),E7*4*B47/D47,0)</f>
        <v>0</v>
      </c>
      <c r="J162" s="5">
        <f>IF(AND(E52="US",B53&gt;=75,B53&lt;=79),E7*4*B52/D52,0)</f>
        <v>0</v>
      </c>
      <c r="K162" s="5">
        <f>IF(AND(E57="US",B58&gt;=75,B58&lt;=79),E7*4*B57/D57,0)</f>
        <v>0</v>
      </c>
      <c r="M162" s="5">
        <f>IF(AND(E62="US",B63&gt;=75,B63&lt;=79),E7*4*B62/D62,0)</f>
        <v>0</v>
      </c>
      <c r="O162" s="39">
        <f>IF(E7*4&gt;E5*80%,E5*80%*B22/D22,A162)</f>
        <v>0</v>
      </c>
      <c r="P162" s="5">
        <f>IF(E7*4&gt;E5*80%,E5*80%*B27/D27,E162)</f>
        <v>0</v>
      </c>
      <c r="Q162" s="18">
        <f>IF(E7*4&gt;E5*80%,E5*80%*B32/D32,F162)</f>
        <v>0</v>
      </c>
      <c r="R162" s="5">
        <f>IF(E7*4&gt;E5*80%,E5*80%*B37/D37,G162)</f>
        <v>0</v>
      </c>
      <c r="S162" s="5">
        <f>IF(E7*4&gt;E5*80%,E5*80%*B42/D42,H162)</f>
        <v>0</v>
      </c>
      <c r="T162" s="5">
        <f>IF(E7*4&gt;E5*80%,E5*80%*B47/D47,I162)</f>
        <v>0</v>
      </c>
      <c r="U162" s="5">
        <f>IF(E7*4&gt;E5*80%,E5*80%*B52/D52,J162)</f>
        <v>0</v>
      </c>
      <c r="V162" s="5">
        <f>IF(E7*4&gt;E5*80%,E5*80%*B57/D57,K162)</f>
        <v>0</v>
      </c>
      <c r="W162" s="5">
        <f>IF(E7*4&gt;E5*80%,E5*80%*B62/D62,M162)</f>
        <v>0</v>
      </c>
      <c r="AA162" s="133"/>
      <c r="AB162" s="133"/>
      <c r="AC162" s="133"/>
      <c r="AD162" s="133"/>
      <c r="AE162" s="133"/>
      <c r="AF162" s="137"/>
      <c r="AG162" s="133"/>
      <c r="AH162" s="133"/>
      <c r="AI162" s="133"/>
      <c r="AJ162" s="133"/>
      <c r="AK162" s="133"/>
      <c r="AL162" s="133"/>
      <c r="AM162" s="86"/>
      <c r="AN162" s="86"/>
      <c r="AO162" s="86"/>
      <c r="AP162" s="134"/>
      <c r="AQ162" s="135"/>
      <c r="AR162" s="136"/>
      <c r="AS162" s="135"/>
      <c r="AT162" s="135"/>
      <c r="AU162" s="135"/>
      <c r="AV162" s="135"/>
      <c r="AW162" s="135"/>
      <c r="AX162" s="135"/>
    </row>
    <row r="163" spans="1:50" hidden="1" x14ac:dyDescent="0.2">
      <c r="A163" s="39"/>
      <c r="B163" s="39"/>
      <c r="C163" s="39"/>
      <c r="D163" s="39"/>
      <c r="O163" s="39"/>
      <c r="Q163" s="18"/>
      <c r="AA163" s="133">
        <f>IF(E24="PP",E5*B24/D24,0)</f>
        <v>0</v>
      </c>
      <c r="AB163" s="133"/>
      <c r="AC163" s="133"/>
      <c r="AD163" s="133"/>
      <c r="AE163" s="133">
        <f>IF(E29="PP",E5*B29/D29,0)</f>
        <v>0</v>
      </c>
      <c r="AF163" s="137">
        <f>IF(E34="PP",E5*B34/D34,0)</f>
        <v>0</v>
      </c>
      <c r="AG163" s="133">
        <f>IF(E39="PP",E5*B39/D39,0)</f>
        <v>0</v>
      </c>
      <c r="AH163" s="133">
        <f>IF(E44="PP",E5*B44/D44,0)</f>
        <v>0</v>
      </c>
      <c r="AI163" s="133">
        <f>IF(E49="PP",E5*B49/D49,0)</f>
        <v>0</v>
      </c>
      <c r="AJ163" s="133">
        <f>IF(E54="PP",E5*B54/D54,0)</f>
        <v>0</v>
      </c>
      <c r="AK163" s="133">
        <f>IF(E59="PP",E5*B59/D59,0)</f>
        <v>0</v>
      </c>
      <c r="AL163" s="133">
        <f>IF(E64="PP",E5*B64/D64,0)</f>
        <v>0</v>
      </c>
      <c r="AM163" s="86"/>
      <c r="AN163" s="86"/>
      <c r="AO163" s="86"/>
      <c r="AP163" s="134">
        <f>IF(AND(E24="US",B25&gt;=30,B25&lt;=39),AP134,0)</f>
        <v>0</v>
      </c>
      <c r="AQ163" s="135">
        <f>IF(AND(E29="US",B30&gt;=30,B30&lt;=39),AQ134,0)</f>
        <v>0</v>
      </c>
      <c r="AR163" s="136">
        <f>IF(AND(E34="US",B35&gt;=30,B35&lt;=39),AR134,0)</f>
        <v>0</v>
      </c>
      <c r="AS163" s="135">
        <f>IF(AND(E39="US",B40&gt;=30,B40&lt;=39),AS134,0)</f>
        <v>0</v>
      </c>
      <c r="AT163" s="135">
        <f>IF(AND(E44="US",B45&gt;=30,B45&lt;=39),AT134,0)</f>
        <v>0</v>
      </c>
      <c r="AU163" s="135">
        <f>IF(AND(E49="US",B50&gt;=30,B50&lt;=39),AU134,0)</f>
        <v>0</v>
      </c>
      <c r="AV163" s="135">
        <f>IF(AND(E54="US",B55&gt;=30,B55&lt;=39),AV134,0)</f>
        <v>0</v>
      </c>
      <c r="AW163" s="135">
        <f>IF(AND(E59="US",B60&gt;=30,B60&lt;=39),AW134,0)</f>
        <v>0</v>
      </c>
      <c r="AX163" s="135">
        <f>IF(AND(E64="US",B65&gt;=30,B65&lt;=39),AX134,0)</f>
        <v>0</v>
      </c>
    </row>
    <row r="164" spans="1:50" hidden="1" x14ac:dyDescent="0.2">
      <c r="A164" s="39">
        <f>IF(AND(E22="US",B23&gt;=80),E7*2*B22/D22,0)</f>
        <v>0</v>
      </c>
      <c r="B164" s="39"/>
      <c r="C164" s="39"/>
      <c r="D164" s="39"/>
      <c r="E164" s="5">
        <f>IF(AND(E27="US",B28&gt;=80),E7*2*B27/D27,0)</f>
        <v>0</v>
      </c>
      <c r="F164" s="18">
        <f>IF(AND(E32="US",B33&gt;=80),E7*2*B32/D32,0)</f>
        <v>0</v>
      </c>
      <c r="G164" s="5">
        <f>IF(AND(E37="US",B38&gt;=80),E7*2*B37/D37,0)</f>
        <v>0</v>
      </c>
      <c r="H164" s="5">
        <f>IF(AND(E42="US",B43&gt;=80),E7*2*B42/D42,0)</f>
        <v>0</v>
      </c>
      <c r="I164" s="5">
        <f>IF(AND(E47="US",B48&gt;=80),E7*2*B47/D47,0)</f>
        <v>0</v>
      </c>
      <c r="J164" s="5">
        <f>IF(AND(E52="US",B53&gt;=80),E7*2*B52/D52,0)</f>
        <v>0</v>
      </c>
      <c r="K164" s="5">
        <f>IF(AND(E57="US",B58&gt;=80),E7*2*B57/D57,0)</f>
        <v>0</v>
      </c>
      <c r="M164" s="5">
        <f>IF(AND(E62="US",B63&gt;=80),E7*2*B62/D62,0)</f>
        <v>0</v>
      </c>
      <c r="O164" s="39">
        <f>IF(E7*2&gt;E5*80%,E5*80%*B22/D22,A164)</f>
        <v>0</v>
      </c>
      <c r="P164" s="5">
        <f>IF(E7*2&gt;E5*80%,E5*80%*B27/D27,E164)</f>
        <v>0</v>
      </c>
      <c r="Q164" s="18">
        <f>IF(E7*2&gt;E5*80%,E5*80%*B32/D32,F164)</f>
        <v>0</v>
      </c>
      <c r="R164" s="5">
        <f>IF(E7*2&gt;E5*80%,E5*80%*B37/D37,G164)</f>
        <v>0</v>
      </c>
      <c r="S164" s="5">
        <f>IF(E7*2&gt;E5*80%,E5*80%*B42/D42,H164)</f>
        <v>0</v>
      </c>
      <c r="T164" s="5">
        <f>IF(E7*2&gt;E5*80%,E5*80%*B47/D47,I164)</f>
        <v>0</v>
      </c>
      <c r="U164" s="5">
        <f>IF(E7*2&gt;E5*80%,E5*80%*B52/D52,J164)</f>
        <v>0</v>
      </c>
      <c r="V164" s="5">
        <f>IF(E7*2&gt;E5*80%,E5*80%*B57/D57,K164)</f>
        <v>0</v>
      </c>
      <c r="W164" s="5">
        <f>IF(E7*2&gt;E5*80%,E5*80%*B62/D62,M164)</f>
        <v>0</v>
      </c>
      <c r="AA164" s="133"/>
      <c r="AB164" s="133"/>
      <c r="AC164" s="133"/>
      <c r="AD164" s="133"/>
      <c r="AE164" s="133"/>
      <c r="AF164" s="137"/>
      <c r="AG164" s="133"/>
      <c r="AH164" s="133"/>
      <c r="AI164" s="133"/>
      <c r="AJ164" s="133"/>
      <c r="AK164" s="133"/>
      <c r="AL164" s="133"/>
      <c r="AM164" s="86"/>
      <c r="AN164" s="86"/>
      <c r="AO164" s="86"/>
      <c r="AP164" s="134"/>
      <c r="AQ164" s="135"/>
      <c r="AR164" s="136"/>
      <c r="AS164" s="135"/>
      <c r="AT164" s="135"/>
      <c r="AU164" s="135"/>
      <c r="AV164" s="135"/>
      <c r="AW164" s="135"/>
      <c r="AX164" s="135"/>
    </row>
    <row r="165" spans="1:50" ht="13.5" hidden="1" thickBot="1" x14ac:dyDescent="0.25">
      <c r="A165" s="39"/>
      <c r="B165" s="39"/>
      <c r="C165" s="39"/>
      <c r="D165" s="39"/>
      <c r="O165" s="39"/>
      <c r="Q165" s="18"/>
      <c r="AA165" s="133">
        <f>IF(E24="USEV",M250*B24/D24,0)</f>
        <v>0</v>
      </c>
      <c r="AB165" s="133"/>
      <c r="AC165" s="133"/>
      <c r="AD165" s="133"/>
      <c r="AE165" s="133">
        <f>IF(E29="USEV",M252*B29/D29,0)</f>
        <v>0</v>
      </c>
      <c r="AF165" s="137">
        <f>IF(E34="USEV",M254*B34/D34,0)</f>
        <v>0</v>
      </c>
      <c r="AG165" s="133">
        <f>IF(E39="USEV",M256*B39/D39,0)</f>
        <v>0</v>
      </c>
      <c r="AH165" s="133">
        <f>IF(E44="USEV",M258*B44/D44,0)</f>
        <v>0</v>
      </c>
      <c r="AI165" s="133">
        <f>IF(E49="USEV",M260*B49/D49,0)</f>
        <v>0</v>
      </c>
      <c r="AJ165" s="133">
        <f>IF(E54="USEV",M262*B54/D54,0)</f>
        <v>0</v>
      </c>
      <c r="AK165" s="133">
        <f>IF(E59="USEV",M264*B59/D59,0)</f>
        <v>0</v>
      </c>
      <c r="AL165" s="133">
        <f>IF(E64="USEV",M266*B64/D64,0)</f>
        <v>0</v>
      </c>
      <c r="AM165" s="152">
        <f>SUM(AA165:AL165)</f>
        <v>0</v>
      </c>
      <c r="AN165" s="86"/>
      <c r="AO165" s="86"/>
      <c r="AP165" s="134"/>
      <c r="AQ165" s="135"/>
      <c r="AR165" s="136"/>
      <c r="AS165" s="135"/>
      <c r="AT165" s="135"/>
      <c r="AU165" s="135"/>
      <c r="AV165" s="135"/>
      <c r="AW165" s="135"/>
      <c r="AX165" s="135"/>
    </row>
    <row r="166" spans="1:50" ht="13.5" hidden="1" thickBot="1" x14ac:dyDescent="0.25">
      <c r="A166" s="40">
        <f t="shared" ref="A166:I166" si="13">SUM(A144:A164)</f>
        <v>0</v>
      </c>
      <c r="B166" s="40"/>
      <c r="C166" s="40"/>
      <c r="D166" s="40"/>
      <c r="E166" s="41">
        <f t="shared" si="13"/>
        <v>0</v>
      </c>
      <c r="F166" s="42">
        <f t="shared" si="13"/>
        <v>0</v>
      </c>
      <c r="G166" s="41">
        <f t="shared" si="13"/>
        <v>0</v>
      </c>
      <c r="H166" s="41">
        <f t="shared" si="13"/>
        <v>0</v>
      </c>
      <c r="I166" s="41">
        <f t="shared" si="13"/>
        <v>0</v>
      </c>
      <c r="J166" s="41">
        <f>SUM(I144:I164)</f>
        <v>0</v>
      </c>
      <c r="K166" s="41">
        <f>SUM(K144:K164)</f>
        <v>0</v>
      </c>
      <c r="L166" s="41"/>
      <c r="M166" s="41">
        <f>SUM(M144:M164)</f>
        <v>0</v>
      </c>
      <c r="O166" s="39"/>
      <c r="Q166" s="18"/>
      <c r="AA166" s="133"/>
      <c r="AB166" s="133"/>
      <c r="AC166" s="133"/>
      <c r="AD166" s="133"/>
      <c r="AE166" s="133"/>
      <c r="AF166" s="137"/>
      <c r="AG166" s="133"/>
      <c r="AH166" s="133"/>
      <c r="AI166" s="133"/>
      <c r="AJ166" s="133"/>
      <c r="AK166" s="133"/>
      <c r="AL166" s="133"/>
      <c r="AM166" s="86"/>
      <c r="AN166" s="86"/>
      <c r="AO166" s="86"/>
      <c r="AP166" s="134"/>
      <c r="AQ166" s="135"/>
      <c r="AR166" s="136"/>
      <c r="AS166" s="135"/>
      <c r="AT166" s="135"/>
      <c r="AU166" s="135"/>
      <c r="AV166" s="135"/>
      <c r="AW166" s="135"/>
      <c r="AX166" s="135"/>
    </row>
    <row r="167" spans="1:50" hidden="1" x14ac:dyDescent="0.2">
      <c r="A167" s="39"/>
      <c r="B167" s="39"/>
      <c r="C167" s="39"/>
      <c r="D167" s="39"/>
      <c r="O167" s="39"/>
      <c r="Q167" s="18"/>
      <c r="AA167" s="133">
        <f>SUM(AA159:AA165)</f>
        <v>0</v>
      </c>
      <c r="AB167" s="133"/>
      <c r="AC167" s="133"/>
      <c r="AD167" s="133"/>
      <c r="AE167" s="133">
        <f t="shared" ref="AE167:AK167" si="14">SUM(AE159:AE165)</f>
        <v>0</v>
      </c>
      <c r="AF167" s="133">
        <f t="shared" si="14"/>
        <v>0</v>
      </c>
      <c r="AG167" s="133">
        <f t="shared" si="14"/>
        <v>0</v>
      </c>
      <c r="AH167" s="133">
        <f t="shared" si="14"/>
        <v>0</v>
      </c>
      <c r="AI167" s="133">
        <f t="shared" si="14"/>
        <v>0</v>
      </c>
      <c r="AJ167" s="133">
        <f t="shared" si="14"/>
        <v>0</v>
      </c>
      <c r="AK167" s="133">
        <f t="shared" si="14"/>
        <v>0</v>
      </c>
      <c r="AL167" s="133">
        <f>SUM(AL159:AL165)</f>
        <v>0</v>
      </c>
      <c r="AM167" s="86"/>
      <c r="AN167" s="86"/>
      <c r="AO167" s="86"/>
      <c r="AP167" s="134">
        <f>IF(AND(E24="US",B25&gt;=40,B25&lt;=49),AP136,0)</f>
        <v>0</v>
      </c>
      <c r="AQ167" s="135">
        <f>IF(AND(E29="US",B30&gt;=40,B30&lt;=49),AQ136,0)</f>
        <v>0</v>
      </c>
      <c r="AR167" s="136">
        <f>IF(AND(E34="US",B35&gt;=40,B35&lt;=49),AR136,0)</f>
        <v>0</v>
      </c>
      <c r="AS167" s="135">
        <f>IF(AND(E39="US",B40&gt;=40,B40&lt;=49),AS136,0)</f>
        <v>0</v>
      </c>
      <c r="AT167" s="135">
        <f>IF(AND(E44="US",B45&gt;=40,B45&lt;=49),AT136,0)</f>
        <v>0</v>
      </c>
      <c r="AU167" s="135">
        <f>IF(AND(E49="US",B50&gt;=40,B50&lt;=49),AU136,0)</f>
        <v>0</v>
      </c>
      <c r="AV167" s="135">
        <f>IF(AND(E54="US",B55&gt;=40,B55&lt;=49),AV136,0)</f>
        <v>0</v>
      </c>
      <c r="AW167" s="135">
        <f>IF(AND(E59="US",B60&gt;=40,B60&lt;=49),AW136,0)</f>
        <v>0</v>
      </c>
      <c r="AX167" s="135">
        <f>IF(AND(E64="US",B65&gt;=40,B65&lt;=49),AX136,0)</f>
        <v>0</v>
      </c>
    </row>
    <row r="168" spans="1:50" hidden="1" x14ac:dyDescent="0.2">
      <c r="A168" s="39">
        <f>SUM(A166:M166)</f>
        <v>0</v>
      </c>
      <c r="B168" s="39"/>
      <c r="C168" s="39"/>
      <c r="D168" s="39"/>
      <c r="O168" s="39"/>
      <c r="Q168" s="18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6"/>
      <c r="AL168" s="86"/>
      <c r="AM168" s="86"/>
      <c r="AN168" s="86"/>
      <c r="AO168" s="86"/>
      <c r="AP168" s="134"/>
      <c r="AQ168" s="135"/>
      <c r="AR168" s="136"/>
      <c r="AS168" s="135"/>
      <c r="AT168" s="135"/>
      <c r="AU168" s="135"/>
      <c r="AV168" s="135"/>
      <c r="AW168" s="135"/>
      <c r="AX168" s="135"/>
    </row>
    <row r="169" spans="1:50" hidden="1" x14ac:dyDescent="0.2">
      <c r="A169" s="39"/>
      <c r="B169" s="39"/>
      <c r="C169" s="39"/>
      <c r="D169" s="39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6"/>
      <c r="AL169" s="86"/>
      <c r="AM169" s="86"/>
      <c r="AN169" s="86"/>
      <c r="AO169" s="86"/>
      <c r="AP169" s="134">
        <f>IF(AND(E24="US",B25&gt;=50,B25&lt;=54),AP138,0)</f>
        <v>0</v>
      </c>
      <c r="AQ169" s="135">
        <f>IF(AND(E29="US",B30&gt;=50,B30&lt;=54),AQ138,0)</f>
        <v>0</v>
      </c>
      <c r="AR169" s="136">
        <f>IF(AND(E34="US",B35&gt;=50,B35&lt;=54),AR138,0)</f>
        <v>0</v>
      </c>
      <c r="AS169" s="135">
        <f>IF(AND(E39="US",B40&gt;=50,B40&lt;=54),AS138,0)</f>
        <v>0</v>
      </c>
      <c r="AT169" s="135">
        <f>IF(AND(E44="US",B45&gt;=50,B45&lt;=54),AT138,0)</f>
        <v>0</v>
      </c>
      <c r="AU169" s="135">
        <f>IF(AND(E49="US",B50&gt;=50,B50&lt;=54),AU138,0)</f>
        <v>0</v>
      </c>
      <c r="AV169" s="135">
        <f>IF(AND(E54="US",B55&gt;=50,B55&lt;=54),AV138,0)</f>
        <v>0</v>
      </c>
      <c r="AW169" s="135">
        <f>IF(AND(E59="US",B60&gt;=50,B60&lt;=54),AW138,0)</f>
        <v>0</v>
      </c>
      <c r="AX169" s="135">
        <f>IF(AND(E64="US",B65&gt;=50,B65&lt;=54),AX138,0)</f>
        <v>0</v>
      </c>
    </row>
    <row r="170" spans="1:50" hidden="1" x14ac:dyDescent="0.2">
      <c r="A170" s="39"/>
      <c r="B170" s="39"/>
      <c r="C170" s="39"/>
      <c r="D170" s="39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6"/>
      <c r="AL170" s="86"/>
      <c r="AM170" s="86"/>
      <c r="AN170" s="86"/>
      <c r="AO170" s="86"/>
      <c r="AP170" s="134"/>
      <c r="AQ170" s="135"/>
      <c r="AR170" s="136"/>
      <c r="AS170" s="135"/>
      <c r="AT170" s="135"/>
      <c r="AU170" s="135"/>
      <c r="AV170" s="135"/>
      <c r="AW170" s="135"/>
      <c r="AX170" s="135"/>
    </row>
    <row r="171" spans="1:50" hidden="1" x14ac:dyDescent="0.2"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86"/>
      <c r="AL171" s="86"/>
      <c r="AM171" s="86"/>
      <c r="AN171" s="86"/>
      <c r="AO171" s="86"/>
      <c r="AP171" s="134">
        <f>IF(AND(E24="US",B25&gt;=55,B25&lt;=59),AP140,0)</f>
        <v>0</v>
      </c>
      <c r="AQ171" s="135">
        <f>IF(AND(E29="US",B30&gt;=55,B30&lt;=59),AQ140,0)</f>
        <v>0</v>
      </c>
      <c r="AR171" s="136">
        <f>IF(AND(E34="US",B35&gt;=55,B35&lt;=59),AR140,0)</f>
        <v>0</v>
      </c>
      <c r="AS171" s="135">
        <f>IF(AND(E39="US",B40&gt;=55,B40&lt;=59),AS140,0)</f>
        <v>0</v>
      </c>
      <c r="AT171" s="135">
        <f>IF(AND(E44="US",B45&gt;=55,B45&lt;=59),AT140,0)</f>
        <v>0</v>
      </c>
      <c r="AU171" s="135">
        <f>IF(AND(E49="US",B50&gt;=55,B50&lt;=59),AU140,0)</f>
        <v>0</v>
      </c>
      <c r="AV171" s="135">
        <f>IF(AND(E54="US",B55&gt;=55,B55&lt;=59),AV140,0)</f>
        <v>0</v>
      </c>
      <c r="AW171" s="135">
        <f>IF(AND(E59="US",B60&gt;=55,B60&lt;=59),AW140,0)</f>
        <v>0</v>
      </c>
      <c r="AX171" s="135">
        <f>IF(AND(E64="US",B65&gt;=55,B65&lt;=59),AX140,0)</f>
        <v>0</v>
      </c>
    </row>
    <row r="172" spans="1:50" hidden="1" x14ac:dyDescent="0.2"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6"/>
      <c r="AL172" s="86"/>
      <c r="AM172" s="86"/>
      <c r="AN172" s="86"/>
      <c r="AO172" s="86"/>
      <c r="AP172" s="135"/>
      <c r="AQ172" s="135"/>
      <c r="AR172" s="136"/>
      <c r="AS172" s="135"/>
      <c r="AT172" s="135"/>
      <c r="AU172" s="135"/>
      <c r="AV172" s="135"/>
      <c r="AW172" s="135"/>
      <c r="AX172" s="135"/>
    </row>
    <row r="173" spans="1:50" hidden="1" x14ac:dyDescent="0.2">
      <c r="A173" s="5">
        <f>IF(E22="US",O195,0)</f>
        <v>0</v>
      </c>
      <c r="E173" s="5">
        <f>IF(E27="US",P195,0)</f>
        <v>0</v>
      </c>
      <c r="F173" s="5">
        <f>IF(E32="US",Q195,0)</f>
        <v>0</v>
      </c>
      <c r="G173" s="5">
        <f>IF(E37="US",R195,0)</f>
        <v>0</v>
      </c>
      <c r="H173" s="5">
        <f>IF(E42="US",S195,0)</f>
        <v>0</v>
      </c>
      <c r="I173" s="5">
        <f>IF(E47="US",T195,0)</f>
        <v>0</v>
      </c>
      <c r="J173" s="5">
        <f>IF(E52="US",U195,0)</f>
        <v>0</v>
      </c>
      <c r="K173" s="5">
        <f>IF(E57="US",V195,0)</f>
        <v>0</v>
      </c>
      <c r="M173" s="5">
        <f>IF(E62="US",W195,0)</f>
        <v>0</v>
      </c>
      <c r="N173" s="151">
        <f>SUM(A173:M173)</f>
        <v>0</v>
      </c>
      <c r="O173" s="39">
        <f>IF(AND(E22="US",B23&lt;20),O144,0)</f>
        <v>0</v>
      </c>
      <c r="P173" s="5">
        <f>IF(AND(E27="US",B28&lt;20),P144,0)</f>
        <v>0</v>
      </c>
      <c r="Q173" s="18">
        <f>IF(AND(E32="US",B33&lt;20),Q144,0)</f>
        <v>0</v>
      </c>
      <c r="R173" s="5">
        <f>IF(AND(E37="US",B38&lt;20),R144,0)</f>
        <v>0</v>
      </c>
      <c r="S173" s="5">
        <f>IF(AND(E42="US",B43&lt;20),S144,0)</f>
        <v>0</v>
      </c>
      <c r="T173" s="5">
        <f>IF(AND(E47="US",B48&lt;20),T144,0)</f>
        <v>0</v>
      </c>
      <c r="U173" s="5">
        <f>IF(AND(E52="US",B53&lt;20),U144,0)</f>
        <v>0</v>
      </c>
      <c r="V173" s="5">
        <f>IF(AND(E57="US",B58&lt;20),V144,0)</f>
        <v>0</v>
      </c>
      <c r="W173" s="5">
        <f>IF(AND(E62="US",B63&lt;20),W144,0)</f>
        <v>0</v>
      </c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6"/>
      <c r="AL173" s="86"/>
      <c r="AM173" s="86"/>
      <c r="AN173" s="86"/>
      <c r="AO173" s="86"/>
      <c r="AP173" s="134">
        <f>IF(AND(E24="US",B25&gt;=60,B25&lt;=64),AP142,0)</f>
        <v>0</v>
      </c>
      <c r="AQ173" s="135">
        <f>IF(AND(E29="US",B30&gt;=60,B30&lt;=64),AQ142,0)</f>
        <v>0</v>
      </c>
      <c r="AR173" s="136">
        <f>IF(AND(E34="US",B35&gt;=60,B35&lt;=64),AR142,0)</f>
        <v>0</v>
      </c>
      <c r="AS173" s="135">
        <f>IF(AND(E39="US",B40&gt;=60,B40&lt;=64),AS142,0)</f>
        <v>0</v>
      </c>
      <c r="AT173" s="135">
        <f>IF(AND(E44="US",B45&gt;=60,B45&lt;=64),AT142,0)</f>
        <v>0</v>
      </c>
      <c r="AU173" s="135">
        <f>IF(AND(E49="US",B50&gt;=60,B50&lt;=64),AU142,0)</f>
        <v>0</v>
      </c>
      <c r="AV173" s="135">
        <f>IF(AND(E54="US",B55&gt;=60,B55&lt;=64),AV142,0)</f>
        <v>0</v>
      </c>
      <c r="AW173" s="135">
        <f>IF(AND(E59="US",B60&gt;=60,B60&lt;=64),AW142,0)</f>
        <v>0</v>
      </c>
      <c r="AX173" s="135">
        <f>IF(AND(E64="US",B65&gt;=60,B65&lt;=64),AX142,0)</f>
        <v>0</v>
      </c>
    </row>
    <row r="174" spans="1:50" hidden="1" x14ac:dyDescent="0.2">
      <c r="O174" s="39"/>
      <c r="Q174" s="18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6"/>
      <c r="AL174" s="86"/>
      <c r="AM174" s="86"/>
      <c r="AN174" s="86"/>
      <c r="AO174" s="86"/>
      <c r="AP174" s="134"/>
      <c r="AQ174" s="135"/>
      <c r="AR174" s="136"/>
      <c r="AS174" s="135"/>
      <c r="AT174" s="135"/>
      <c r="AU174" s="135"/>
      <c r="AV174" s="135"/>
      <c r="AW174" s="135"/>
      <c r="AX174" s="135"/>
    </row>
    <row r="175" spans="1:50" hidden="1" x14ac:dyDescent="0.2">
      <c r="A175" s="5">
        <f>IF(E22="NP",F272*B22/D22,0)</f>
        <v>0</v>
      </c>
      <c r="E175" s="5">
        <f>IF(E27="NP",F272*B27/D27,0)</f>
        <v>0</v>
      </c>
      <c r="F175" s="18">
        <f>IF(E32="NP",F272*B32/D32,0)</f>
        <v>0</v>
      </c>
      <c r="G175" s="5">
        <f>IF(E37="NP",F272*B37/D37,0)</f>
        <v>0</v>
      </c>
      <c r="H175" s="5">
        <f>IF(E42="NP",F272*B42/D42,0)</f>
        <v>0</v>
      </c>
      <c r="I175" s="5">
        <f>IF(E47="NP",F272*B47/D47,0)</f>
        <v>0</v>
      </c>
      <c r="J175" s="5">
        <f>IF(E52="NP",F272*B52/D52,0)</f>
        <v>0</v>
      </c>
      <c r="K175" s="5">
        <f>IF(E57="NP",F272*B57/D57,0)</f>
        <v>0</v>
      </c>
      <c r="M175" s="5">
        <f>IF(E62="NP",F272*B62/D62,0)</f>
        <v>0</v>
      </c>
      <c r="O175" s="39">
        <f>IF(AND(E22="US",B23&gt;=20,B23&lt;=29),O146,0)</f>
        <v>0</v>
      </c>
      <c r="P175" s="5">
        <f>IF(AND(E27="US",B28&gt;=20,B28&lt;=29),P146,0)</f>
        <v>0</v>
      </c>
      <c r="Q175" s="18">
        <f>IF(AND(E32="US",B33&gt;=20,B33&lt;=29),Q146,0)</f>
        <v>0</v>
      </c>
      <c r="R175" s="5">
        <f>IF(AND(E37="US",B38&gt;=20,B38&lt;=29),R146,0)</f>
        <v>0</v>
      </c>
      <c r="S175" s="5">
        <f>IF(AND(E42="US",B43&gt;=20,B43&lt;=29),S146,0)</f>
        <v>0</v>
      </c>
      <c r="T175" s="5">
        <f>IF(AND(E47="US",B48&gt;=20,B48&lt;=29),T146,0)</f>
        <v>0</v>
      </c>
      <c r="U175" s="5">
        <f>IF(AND(E52="US",B53&gt;=20,B53&lt;=29),U146,0)</f>
        <v>0</v>
      </c>
      <c r="V175" s="5">
        <f>IF(AND(E57="US",B58&gt;=20,B58&lt;=29),V146,0)</f>
        <v>0</v>
      </c>
      <c r="W175" s="5">
        <f>IF(AND(E62="US",B63&gt;=20,B63&lt;=29),W146,0)</f>
        <v>0</v>
      </c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6"/>
      <c r="AL175" s="86"/>
      <c r="AM175" s="86"/>
      <c r="AN175" s="86"/>
      <c r="AO175" s="86"/>
      <c r="AP175" s="134">
        <f>IF(AND(E24="US",B25&gt;=65,B25&lt;=69),AP144,0)</f>
        <v>0</v>
      </c>
      <c r="AQ175" s="135">
        <f>IF(AND(E29="US",B30&gt;=65,B30&lt;=69),AQ144,0)</f>
        <v>0</v>
      </c>
      <c r="AR175" s="136">
        <f>IF(AND(E34="US",B35&gt;=65,B35&lt;=69),AR144,0)</f>
        <v>0</v>
      </c>
      <c r="AS175" s="135">
        <f>IF(AND(E39="US",B40&gt;=65,B40&lt;=69),AS144,0)</f>
        <v>0</v>
      </c>
      <c r="AT175" s="135">
        <f>IF(AND(E44="US",B45&gt;=65,B45&lt;=69),AT144,0)</f>
        <v>0</v>
      </c>
      <c r="AU175" s="135">
        <f>IF(AND(E49="US",B50&gt;=65,B50&lt;=69),AU144,0)</f>
        <v>0</v>
      </c>
      <c r="AV175" s="135">
        <f>IF(AND(E54="US",B55&gt;=65,B55&lt;=69),AV144,0)</f>
        <v>0</v>
      </c>
      <c r="AW175" s="135">
        <f>IF(AND(E59="US",B60&gt;=65,B60&lt;=69),AW144,0)</f>
        <v>0</v>
      </c>
      <c r="AX175" s="135">
        <f>IF(AND(E64="US",B65&gt;=65,B65&lt;=69),AX144,0)</f>
        <v>0</v>
      </c>
    </row>
    <row r="176" spans="1:50" hidden="1" x14ac:dyDescent="0.2">
      <c r="O176" s="39"/>
      <c r="Q176" s="18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6"/>
      <c r="AL176" s="86"/>
      <c r="AM176" s="86"/>
      <c r="AN176" s="86"/>
      <c r="AO176" s="86"/>
      <c r="AP176" s="134"/>
      <c r="AQ176" s="135"/>
      <c r="AR176" s="136"/>
      <c r="AS176" s="135"/>
      <c r="AT176" s="135"/>
      <c r="AU176" s="135"/>
      <c r="AV176" s="135"/>
      <c r="AW176" s="135"/>
      <c r="AX176" s="135"/>
    </row>
    <row r="177" spans="1:50" hidden="1" x14ac:dyDescent="0.2">
      <c r="A177" s="5">
        <f>IF(E22="PP",E5*B22/D22,0)</f>
        <v>0</v>
      </c>
      <c r="E177" s="5">
        <f>IF(E27="PP",E5*B27/D27,0)</f>
        <v>0</v>
      </c>
      <c r="F177" s="18">
        <f>IF(E32="PP",E5*B32/D32,0)</f>
        <v>0</v>
      </c>
      <c r="G177" s="5">
        <f>IF(E37="PP",E5*B37/D37,0)</f>
        <v>0</v>
      </c>
      <c r="H177" s="5">
        <f>IF(E42="PP",E5*B42/D42,0)</f>
        <v>0</v>
      </c>
      <c r="I177" s="5">
        <f>IF(E47="PP",E5*B47/D47,0)</f>
        <v>0</v>
      </c>
      <c r="J177" s="5">
        <f>IF(E52="PP",E5*B52/D52,0)</f>
        <v>0</v>
      </c>
      <c r="K177" s="5">
        <f>IF(E57="PP",E5*B57/D57,0)</f>
        <v>0</v>
      </c>
      <c r="M177" s="5">
        <f>IF(E62="PP",E5*B62/D62,0)</f>
        <v>0</v>
      </c>
      <c r="O177" s="39">
        <f>IF(AND(E22="US",B23&gt;=30,B23&lt;=39),O148,0)</f>
        <v>0</v>
      </c>
      <c r="P177" s="5">
        <f>IF(AND(E27="US",B28&gt;=30,B28&lt;=39),P148,0)</f>
        <v>0</v>
      </c>
      <c r="Q177" s="18">
        <f>IF(AND(E32="US",B33&gt;=30,B33&lt;=39),Q148,0)</f>
        <v>0</v>
      </c>
      <c r="R177" s="5">
        <f>IF(AND(E37="US",B38&gt;=30,B38&lt;=39),R148,0)</f>
        <v>0</v>
      </c>
      <c r="S177" s="5">
        <f>IF(AND(E42="US",B43&gt;=30,B43&lt;=39),S148,0)</f>
        <v>0</v>
      </c>
      <c r="T177" s="5">
        <f>IF(AND(E47="US",B48&gt;=30,B48&lt;=39),T148,0)</f>
        <v>0</v>
      </c>
      <c r="U177" s="5">
        <f>IF(AND(E52="US",B53&gt;=30,B53&lt;=39),U148,0)</f>
        <v>0</v>
      </c>
      <c r="V177" s="5">
        <f>IF(AND(E57="US",B58&gt;=30,B58&lt;=39),V148,0)</f>
        <v>0</v>
      </c>
      <c r="W177" s="5">
        <f>IF(AND(E62="US",B63&gt;=30,B63&lt;=39),W148,0)</f>
        <v>0</v>
      </c>
      <c r="AA177" s="86"/>
      <c r="AB177" s="86"/>
      <c r="AC177" s="86"/>
      <c r="AD177" s="86"/>
      <c r="AE177" s="86"/>
      <c r="AF177" s="86"/>
      <c r="AG177" s="86"/>
      <c r="AH177" s="86"/>
      <c r="AI177" s="86"/>
      <c r="AJ177" s="86"/>
      <c r="AK177" s="86"/>
      <c r="AL177" s="86"/>
      <c r="AM177" s="86"/>
      <c r="AN177" s="86"/>
      <c r="AO177" s="86"/>
      <c r="AP177" s="134">
        <f>IF(AND(E24="US",B25&gt;=70,B25&lt;=74),AP146,0)</f>
        <v>0</v>
      </c>
      <c r="AQ177" s="135">
        <f>IF(AND(E29="US",B30&gt;=70,B30&lt;=74),AQ146,0)</f>
        <v>0</v>
      </c>
      <c r="AR177" s="136">
        <f>IF(AND(E34="US",B35&gt;=70,B35&lt;=74),AR146,0)</f>
        <v>0</v>
      </c>
      <c r="AS177" s="135">
        <f>IF(AND(E39="US",B40&gt;=70,B40&lt;=74),AS146,0)</f>
        <v>0</v>
      </c>
      <c r="AT177" s="135">
        <f>IF(AND(E44="US",B45&gt;=70,B45&lt;=74),AT146,0)</f>
        <v>0</v>
      </c>
      <c r="AU177" s="135">
        <f>IF(AND(E49="US",B50&gt;=70,B50&lt;=74),AU146,0)</f>
        <v>0</v>
      </c>
      <c r="AV177" s="135">
        <f>IF(AND(E54="US",B55&gt;=70,B55&lt;=74),AV146,0)</f>
        <v>0</v>
      </c>
      <c r="AW177" s="135">
        <f>IF(AND(E59="US",B60&gt;=70,B60&lt;=74),AW146,0)</f>
        <v>0</v>
      </c>
      <c r="AX177" s="135">
        <f>IF(AND(E64="US",B65&gt;=70,B65&lt;=74),AX146,0)</f>
        <v>0</v>
      </c>
    </row>
    <row r="178" spans="1:50" hidden="1" x14ac:dyDescent="0.2">
      <c r="O178" s="39"/>
      <c r="Q178" s="18"/>
      <c r="AA178" s="86"/>
      <c r="AB178" s="86"/>
      <c r="AC178" s="86"/>
      <c r="AD178" s="86"/>
      <c r="AE178" s="86"/>
      <c r="AF178" s="86"/>
      <c r="AG178" s="86"/>
      <c r="AH178" s="86"/>
      <c r="AI178" s="86"/>
      <c r="AJ178" s="86"/>
      <c r="AK178" s="86"/>
      <c r="AL178" s="86"/>
      <c r="AM178" s="86"/>
      <c r="AN178" s="86"/>
      <c r="AO178" s="86"/>
      <c r="AP178" s="134"/>
      <c r="AQ178" s="135"/>
      <c r="AR178" s="136"/>
      <c r="AS178" s="135"/>
      <c r="AT178" s="135"/>
      <c r="AU178" s="135"/>
      <c r="AV178" s="135"/>
      <c r="AW178" s="135"/>
      <c r="AX178" s="135"/>
    </row>
    <row r="179" spans="1:50" hidden="1" x14ac:dyDescent="0.2">
      <c r="A179" s="5">
        <f>IF(E22="USEV",F250*B22/D22,0)</f>
        <v>0</v>
      </c>
      <c r="E179" s="5">
        <f>IF(E27="USEV",F252*B27/D27,0)</f>
        <v>0</v>
      </c>
      <c r="F179" s="18">
        <f>IF(E32="USEV",F254*B32/D32,0)</f>
        <v>0</v>
      </c>
      <c r="G179" s="5">
        <f>IF(E37="USEV",F256*B37/D37,0)</f>
        <v>0</v>
      </c>
      <c r="H179" s="5">
        <f>IF(E42="USEV",F258*B42/D42,0)</f>
        <v>0</v>
      </c>
      <c r="I179" s="5">
        <f>IF(E47="USEV",F260*B47/D47,0)</f>
        <v>0</v>
      </c>
      <c r="J179" s="5">
        <f>IF(E52="USEV",F262*B52/D52,0)</f>
        <v>0</v>
      </c>
      <c r="K179" s="5">
        <f>IF(E57="USEV",F264*B57/D57,0)</f>
        <v>0</v>
      </c>
      <c r="M179" s="5">
        <f>IF(E62="USEV",F266*B62/D62,0)</f>
        <v>0</v>
      </c>
      <c r="N179" s="151">
        <f>SUM(A179:M179)</f>
        <v>0</v>
      </c>
      <c r="O179" s="39">
        <f>IF(AND(E22="US",B23&gt;=40,B23&lt;=49),O150,0)</f>
        <v>0</v>
      </c>
      <c r="P179" s="5">
        <f>IF(AND(E27="US",B28&gt;=40,B28&lt;=49),P150,0)</f>
        <v>0</v>
      </c>
      <c r="Q179" s="18">
        <f>IF(AND(E32="US",B33&gt;=40,B33&lt;=49),Q150,0)</f>
        <v>0</v>
      </c>
      <c r="R179" s="5">
        <f>IF(AND(E37="US",B38&gt;=40,B38&lt;=49),R150,0)</f>
        <v>0</v>
      </c>
      <c r="S179" s="5">
        <f>IF(AND(E42="US",B43&gt;=40,B43&lt;=49),S150,0)</f>
        <v>0</v>
      </c>
      <c r="T179" s="5">
        <f>IF(AND(E47="US",B48&gt;=40,B48&lt;=49),T150,0)</f>
        <v>0</v>
      </c>
      <c r="U179" s="5">
        <f>IF(AND(E52="US",B53&gt;=40,B53&lt;=49),U150,0)</f>
        <v>0</v>
      </c>
      <c r="V179" s="5">
        <f>IF(AND(E57="US",B58&gt;=40,B58&lt;=49),V150,0)</f>
        <v>0</v>
      </c>
      <c r="W179" s="5">
        <f>IF(AND(E62="US",B63&gt;=40,B63&lt;=49),W150,0)</f>
        <v>0</v>
      </c>
      <c r="AA179" s="86"/>
      <c r="AB179" s="86"/>
      <c r="AC179" s="86"/>
      <c r="AD179" s="86"/>
      <c r="AE179" s="86"/>
      <c r="AF179" s="86"/>
      <c r="AG179" s="86"/>
      <c r="AH179" s="86"/>
      <c r="AI179" s="86"/>
      <c r="AJ179" s="86"/>
      <c r="AK179" s="86"/>
      <c r="AL179" s="86"/>
      <c r="AM179" s="86"/>
      <c r="AN179" s="86"/>
      <c r="AO179" s="86"/>
      <c r="AP179" s="134">
        <f>IF(AND(E24="US",B25&gt;=75,B25&lt;=79),AP148,0)</f>
        <v>0</v>
      </c>
      <c r="AQ179" s="135">
        <f>IF(AND(E29="US",B30&gt;=75,B30&lt;=79),AQ148,0)</f>
        <v>0</v>
      </c>
      <c r="AR179" s="136">
        <f>IF(AND(E34="US",B35&gt;=75,B35&lt;=79),AR148,0)</f>
        <v>0</v>
      </c>
      <c r="AS179" s="135">
        <f>IF(AND(E39="US",B40&gt;=75,B40&lt;=79),AS148,0)</f>
        <v>0</v>
      </c>
      <c r="AT179" s="135">
        <f>IF(AND(E44="US",B45&gt;=75,B45&lt;=79),AT148,0)</f>
        <v>0</v>
      </c>
      <c r="AU179" s="135">
        <f>IF(AND(E49="US",B50&gt;=75,B50&lt;=79),AU148,0)</f>
        <v>0</v>
      </c>
      <c r="AV179" s="135">
        <f>IF(AND(E54="US",B55&gt;=75,B55&lt;=79),AV148,0)</f>
        <v>0</v>
      </c>
      <c r="AW179" s="135">
        <f>IF(AND(E59="US",B60&gt;=75,B60&lt;=79),AW148,0)</f>
        <v>0</v>
      </c>
      <c r="AX179" s="135">
        <f>IF(AND(E64="US",B65&gt;=75,B65&lt;=79),AX148,0)</f>
        <v>0</v>
      </c>
    </row>
    <row r="180" spans="1:50" hidden="1" x14ac:dyDescent="0.2">
      <c r="O180" s="39"/>
      <c r="Q180" s="18"/>
      <c r="AA180" s="86"/>
      <c r="AB180" s="86"/>
      <c r="AC180" s="86"/>
      <c r="AD180" s="86"/>
      <c r="AE180" s="86"/>
      <c r="AF180" s="86"/>
      <c r="AG180" s="86"/>
      <c r="AH180" s="86"/>
      <c r="AI180" s="86"/>
      <c r="AJ180" s="86"/>
      <c r="AK180" s="86"/>
      <c r="AL180" s="86"/>
      <c r="AM180" s="86"/>
      <c r="AN180" s="86"/>
      <c r="AO180" s="86"/>
      <c r="AP180" s="134"/>
      <c r="AQ180" s="135"/>
      <c r="AR180" s="136"/>
      <c r="AS180" s="135"/>
      <c r="AT180" s="135"/>
      <c r="AU180" s="135"/>
      <c r="AV180" s="135"/>
      <c r="AW180" s="135"/>
      <c r="AX180" s="135"/>
    </row>
    <row r="181" spans="1:50" hidden="1" x14ac:dyDescent="0.2">
      <c r="A181" s="5">
        <f>SUM(A173:A179)</f>
        <v>0</v>
      </c>
      <c r="E181" s="5">
        <f t="shared" ref="E181:K181" si="15">SUM(E173:E179)</f>
        <v>0</v>
      </c>
      <c r="F181" s="5">
        <f t="shared" si="15"/>
        <v>0</v>
      </c>
      <c r="G181" s="5">
        <f t="shared" si="15"/>
        <v>0</v>
      </c>
      <c r="H181" s="5">
        <f t="shared" si="15"/>
        <v>0</v>
      </c>
      <c r="I181" s="5">
        <f t="shared" si="15"/>
        <v>0</v>
      </c>
      <c r="J181" s="5">
        <f t="shared" si="15"/>
        <v>0</v>
      </c>
      <c r="K181" s="5">
        <f t="shared" si="15"/>
        <v>0</v>
      </c>
      <c r="M181" s="5">
        <f>SUM(M173:M179)</f>
        <v>0</v>
      </c>
      <c r="O181" s="39">
        <f>IF(AND(E22="US",B23&gt;=50,B23&lt;=54),O152,0)</f>
        <v>0</v>
      </c>
      <c r="P181" s="5">
        <f>IF(AND(E27="US",B28&gt;=50,B28&lt;=54),P152,0)</f>
        <v>0</v>
      </c>
      <c r="Q181" s="18">
        <f>IF(AND(E32="US",B33&gt;=50,B33&lt;=54),Q152,0)</f>
        <v>0</v>
      </c>
      <c r="R181" s="5">
        <f>IF(AND(E37="US",B38&gt;=50,B38&lt;=54),R152,0)</f>
        <v>0</v>
      </c>
      <c r="S181" s="5">
        <f>IF(AND(E42="US",B43&gt;=50,B43&lt;=54),S152,0)</f>
        <v>0</v>
      </c>
      <c r="T181" s="5">
        <f>IF(AND(E47="US",B48&gt;=50,B48&lt;=54),T152,0)</f>
        <v>0</v>
      </c>
      <c r="U181" s="5">
        <f>IF(AND(E52="US",B53&gt;=50,B53&lt;=54),U152,0)</f>
        <v>0</v>
      </c>
      <c r="V181" s="5">
        <f>IF(AND(E57="US",B58&gt;=50,B58&lt;=54),V152,0)</f>
        <v>0</v>
      </c>
      <c r="W181" s="5">
        <f>IF(AND(E62="US",B63&gt;=50,B63&lt;=54),W152,0)</f>
        <v>0</v>
      </c>
      <c r="AA181" s="86"/>
      <c r="AB181" s="86"/>
      <c r="AC181" s="86"/>
      <c r="AD181" s="86"/>
      <c r="AE181" s="86"/>
      <c r="AF181" s="86"/>
      <c r="AG181" s="86"/>
      <c r="AH181" s="86"/>
      <c r="AI181" s="86"/>
      <c r="AJ181" s="86"/>
      <c r="AK181" s="86"/>
      <c r="AL181" s="86"/>
      <c r="AM181" s="86"/>
      <c r="AN181" s="86"/>
      <c r="AO181" s="86"/>
      <c r="AP181" s="134">
        <f>IF(AND(E24="US",B25&gt;=80),AP150,0)</f>
        <v>0</v>
      </c>
      <c r="AQ181" s="135">
        <f>IF(AND(E29="US",B30&gt;=80),AQ150,0)</f>
        <v>0</v>
      </c>
      <c r="AR181" s="136">
        <f>IF(AND(E34="US",B35&gt;=80),AR150,0)</f>
        <v>0</v>
      </c>
      <c r="AS181" s="135">
        <f>IF(AND(E39="US",B40&gt;=80),AS150,0)</f>
        <v>0</v>
      </c>
      <c r="AT181" s="135">
        <f>IF(AND(E44="US",B45&gt;=80),AT150,0)</f>
        <v>0</v>
      </c>
      <c r="AU181" s="135">
        <f>IF(AND(E49="US",B50&gt;=80),AU150,0)</f>
        <v>0</v>
      </c>
      <c r="AV181" s="135">
        <f>IF(AND(E54="US",B55&gt;=80),AV150,0)</f>
        <v>0</v>
      </c>
      <c r="AW181" s="135">
        <f>IF(AND(E59="US",B60&gt;=80),AW150,0)</f>
        <v>0</v>
      </c>
      <c r="AX181" s="135">
        <f>IF(AND(E64="US",B65&gt;=80),AX150,0)</f>
        <v>0</v>
      </c>
    </row>
    <row r="182" spans="1:50" ht="13.5" hidden="1" thickBot="1" x14ac:dyDescent="0.25">
      <c r="O182" s="39"/>
      <c r="Q182" s="18"/>
      <c r="AA182" s="86"/>
      <c r="AB182" s="86"/>
      <c r="AC182" s="86"/>
      <c r="AD182" s="86"/>
      <c r="AE182" s="86"/>
      <c r="AF182" s="86"/>
      <c r="AG182" s="86"/>
      <c r="AH182" s="86"/>
      <c r="AI182" s="86"/>
      <c r="AJ182" s="86"/>
      <c r="AK182" s="86"/>
      <c r="AL182" s="86"/>
      <c r="AM182" s="86"/>
      <c r="AN182" s="86"/>
      <c r="AO182" s="86"/>
      <c r="AP182" s="134"/>
      <c r="AQ182" s="135"/>
      <c r="AR182" s="136"/>
      <c r="AS182" s="135"/>
      <c r="AT182" s="135"/>
      <c r="AU182" s="135"/>
      <c r="AV182" s="135"/>
      <c r="AW182" s="135"/>
      <c r="AX182" s="135"/>
    </row>
    <row r="183" spans="1:50" ht="13.5" hidden="1" thickBot="1" x14ac:dyDescent="0.25">
      <c r="O183" s="39">
        <f>IF(AND(E22="US",B23&gt;=55,B23&lt;=59),O154,0)</f>
        <v>0</v>
      </c>
      <c r="P183" s="5">
        <f>IF(AND(E27="US",B28&gt;=55,B28&lt;=59),P154,0)</f>
        <v>0</v>
      </c>
      <c r="Q183" s="18">
        <f>IF(AND(E32="US",B33&gt;=55,B33&lt;=59),Q154,0)</f>
        <v>0</v>
      </c>
      <c r="R183" s="5">
        <f>IF(AND(E37="US",B38&gt;=55,B38&lt;=59),R154,0)</f>
        <v>0</v>
      </c>
      <c r="S183" s="5">
        <f>IF(AND(E42="US",B43&gt;=55,B43&lt;=59),S154,0)</f>
        <v>0</v>
      </c>
      <c r="T183" s="5">
        <f>IF(AND(E47="US",B48&gt;=55,B48&lt;=59),T154,0)</f>
        <v>0</v>
      </c>
      <c r="U183" s="5">
        <f>IF(AND(E52="US",B53&gt;=55,B53&lt;=59),U154,0)</f>
        <v>0</v>
      </c>
      <c r="V183" s="5">
        <f>IF(AND(E57="US",B58&gt;=55,B58&lt;=59),V154,0)</f>
        <v>0</v>
      </c>
      <c r="W183" s="5">
        <f>IF(AND(E62="US",B63&gt;=55,B63&lt;=59),W154,0)</f>
        <v>0</v>
      </c>
      <c r="AA183" s="86"/>
      <c r="AB183" s="86"/>
      <c r="AC183" s="86"/>
      <c r="AD183" s="86"/>
      <c r="AE183" s="86"/>
      <c r="AF183" s="86"/>
      <c r="AG183" s="86"/>
      <c r="AH183" s="86"/>
      <c r="AI183" s="86"/>
      <c r="AJ183" s="86"/>
      <c r="AK183" s="86"/>
      <c r="AL183" s="86"/>
      <c r="AM183" s="86"/>
      <c r="AN183" s="86"/>
      <c r="AO183" s="86"/>
      <c r="AP183" s="138">
        <f t="shared" ref="AP183:AU183" si="16">SUM(AP159:AP181)</f>
        <v>0</v>
      </c>
      <c r="AQ183" s="139">
        <f t="shared" si="16"/>
        <v>0</v>
      </c>
      <c r="AR183" s="140">
        <f t="shared" si="16"/>
        <v>0</v>
      </c>
      <c r="AS183" s="139">
        <f t="shared" si="16"/>
        <v>0</v>
      </c>
      <c r="AT183" s="139">
        <f t="shared" si="16"/>
        <v>0</v>
      </c>
      <c r="AU183" s="139">
        <f t="shared" si="16"/>
        <v>0</v>
      </c>
      <c r="AV183" s="139">
        <f>SUM(AU159:AU181)</f>
        <v>0</v>
      </c>
      <c r="AW183" s="139">
        <f>SUM(AW159:AW181)</f>
        <v>0</v>
      </c>
      <c r="AX183" s="139">
        <f>SUM(AX159:AX181)</f>
        <v>0</v>
      </c>
    </row>
    <row r="184" spans="1:50" hidden="1" x14ac:dyDescent="0.2">
      <c r="Q184" s="18"/>
      <c r="AA184" s="86"/>
      <c r="AB184" s="86"/>
      <c r="AC184" s="86"/>
      <c r="AD184" s="86"/>
      <c r="AE184" s="86"/>
      <c r="AF184" s="86"/>
      <c r="AG184" s="86"/>
      <c r="AH184" s="86"/>
      <c r="AI184" s="86"/>
      <c r="AJ184" s="86"/>
      <c r="AK184" s="86"/>
      <c r="AL184" s="86"/>
      <c r="AM184" s="86"/>
      <c r="AN184" s="86"/>
      <c r="AO184" s="86"/>
      <c r="AP184" s="134"/>
      <c r="AQ184" s="135"/>
      <c r="AR184" s="136"/>
      <c r="AS184" s="135"/>
      <c r="AT184" s="135"/>
      <c r="AU184" s="135"/>
      <c r="AV184" s="135"/>
      <c r="AW184" s="135"/>
      <c r="AX184" s="135"/>
    </row>
    <row r="185" spans="1:50" hidden="1" x14ac:dyDescent="0.2">
      <c r="O185" s="39">
        <f>IF(AND(E22="US",B23&gt;=60,B23&lt;=64),O156,0)</f>
        <v>0</v>
      </c>
      <c r="P185" s="5">
        <f>IF(AND(E27="US",B28&gt;=60,B28&lt;=64),P156,0)</f>
        <v>0</v>
      </c>
      <c r="Q185" s="18">
        <f>IF(AND(E32="US",B33&gt;=60,B33&lt;=64),Q156,0)</f>
        <v>0</v>
      </c>
      <c r="R185" s="5">
        <f>IF(AND(E37="US",B38&gt;=60,B38&lt;=64),R156,0)</f>
        <v>0</v>
      </c>
      <c r="S185" s="5">
        <f>IF(AND(E42="US",B43&gt;=60,B43&lt;=64),S156,0)</f>
        <v>0</v>
      </c>
      <c r="T185" s="5">
        <f>IF(AND(E47="US",B48&gt;=60,B48&lt;=64),T156,0)</f>
        <v>0</v>
      </c>
      <c r="U185" s="5">
        <f>IF(AND(E52="US",B53&gt;=60,B53&lt;=64),U156,0)</f>
        <v>0</v>
      </c>
      <c r="V185" s="5">
        <f>IF(AND(E57="US",B58&gt;=60,B58&lt;=64),V156,0)</f>
        <v>0</v>
      </c>
      <c r="W185" s="5">
        <f>IF(AND(E62="US",B63&gt;=60,B63&lt;=64),W156,0)</f>
        <v>0</v>
      </c>
      <c r="AA185" s="86"/>
      <c r="AB185" s="86"/>
      <c r="AC185" s="86"/>
      <c r="AD185" s="86"/>
      <c r="AE185" s="86"/>
      <c r="AF185" s="86"/>
      <c r="AG185" s="86"/>
      <c r="AH185" s="86"/>
      <c r="AI185" s="86"/>
      <c r="AJ185" s="86"/>
      <c r="AK185" s="86"/>
      <c r="AL185" s="86"/>
      <c r="AM185" s="86"/>
      <c r="AN185" s="86"/>
      <c r="AO185" s="86"/>
      <c r="AP185" s="134">
        <f>SUM(AP183:AX183)</f>
        <v>0</v>
      </c>
      <c r="AQ185" s="135"/>
      <c r="AR185" s="136"/>
      <c r="AS185" s="135"/>
      <c r="AT185" s="135"/>
      <c r="AU185" s="135"/>
      <c r="AV185" s="135"/>
      <c r="AW185" s="135"/>
      <c r="AX185" s="135"/>
    </row>
    <row r="186" spans="1:50" hidden="1" x14ac:dyDescent="0.2">
      <c r="O186" s="39"/>
      <c r="Q186" s="18"/>
    </row>
    <row r="187" spans="1:50" hidden="1" x14ac:dyDescent="0.2">
      <c r="O187" s="39">
        <f>IF(AND(E22="US",B23&gt;=65,B23&lt;=69),O158,0)</f>
        <v>0</v>
      </c>
      <c r="P187" s="5">
        <f>IF(AND(E27="US",B28&gt;=65,B28&lt;=69),P158,0)</f>
        <v>0</v>
      </c>
      <c r="Q187" s="18">
        <f>IF(AND(E32="US",B33&gt;=65,B33&lt;=69),Q158,0)</f>
        <v>0</v>
      </c>
      <c r="R187" s="5">
        <f>IF(AND(E37="US",B38&gt;=65,B38&lt;=69),R158,0)</f>
        <v>0</v>
      </c>
      <c r="S187" s="5">
        <f>IF(AND(E42="US",B43&gt;=65,B43&lt;=69),S158,0)</f>
        <v>0</v>
      </c>
      <c r="T187" s="5">
        <f>IF(AND(E47="US",B48&gt;=65,B48&lt;=69),T158,0)</f>
        <v>0</v>
      </c>
      <c r="U187" s="5">
        <f>IF(AND(E52="US",B53&gt;=65,B53&lt;=69),U158,0)</f>
        <v>0</v>
      </c>
      <c r="V187" s="5">
        <f>IF(AND(E57="US",B58&gt;=65,B58&lt;=69),V158,0)</f>
        <v>0</v>
      </c>
      <c r="W187" s="5">
        <f>IF(AND(E62="US",B63&gt;=65,B63&lt;=69),W158,0)</f>
        <v>0</v>
      </c>
    </row>
    <row r="188" spans="1:50" hidden="1" x14ac:dyDescent="0.2">
      <c r="O188" s="39"/>
      <c r="Q188" s="18"/>
    </row>
    <row r="189" spans="1:50" hidden="1" x14ac:dyDescent="0.2">
      <c r="O189" s="39">
        <f>IF(AND(E22="US",B23&gt;=70,B23&lt;=74),O160,0)</f>
        <v>0</v>
      </c>
      <c r="P189" s="5">
        <f>IF(AND(E27="US",B28&gt;=70,B28&lt;=74),P160,0)</f>
        <v>0</v>
      </c>
      <c r="Q189" s="18">
        <f>IF(AND(E32="US",B33&gt;=70,B33&lt;=74),Q160,0)</f>
        <v>0</v>
      </c>
      <c r="R189" s="5">
        <f>IF(AND(E37="US",B38&gt;=70,B38&lt;=74),R160,0)</f>
        <v>0</v>
      </c>
      <c r="S189" s="5">
        <f>IF(AND(E42="US",B43&gt;=70,B43&lt;=74),S160,0)</f>
        <v>0</v>
      </c>
      <c r="T189" s="5">
        <f>IF(AND(E47="US",B48&gt;=70,B48&lt;=74),T160,0)</f>
        <v>0</v>
      </c>
      <c r="U189" s="5">
        <f>IF(AND(E52="US",B53&gt;=70,B53&lt;=74),U160,0)</f>
        <v>0</v>
      </c>
      <c r="V189" s="5">
        <f>IF(AND(E57="US",B58&gt;=70,B58&lt;=74),V160,0)</f>
        <v>0</v>
      </c>
      <c r="W189" s="5">
        <f>IF(AND(E62="US",B63&gt;=70,B63&lt;=74),W160,0)</f>
        <v>0</v>
      </c>
    </row>
    <row r="190" spans="1:50" hidden="1" x14ac:dyDescent="0.2">
      <c r="O190" s="39"/>
      <c r="Q190" s="18"/>
    </row>
    <row r="191" spans="1:50" hidden="1" x14ac:dyDescent="0.2">
      <c r="O191" s="39">
        <f>IF(AND(E22="US",B23&gt;=75,B23&lt;=79),O162,0)</f>
        <v>0</v>
      </c>
      <c r="P191" s="5">
        <f>IF(AND(E27="US",B28&gt;=75,B28&lt;=79),P162,0)</f>
        <v>0</v>
      </c>
      <c r="Q191" s="18">
        <f>IF(AND(E32="US",B33&gt;=75,B33&lt;=79),Q162,0)</f>
        <v>0</v>
      </c>
      <c r="R191" s="5">
        <f>IF(AND(E37="US",B38&gt;=75,B38&lt;=79),R162,0)</f>
        <v>0</v>
      </c>
      <c r="S191" s="5">
        <f>IF(AND(E42="US",B43&gt;=75,B43&lt;=79),S162,0)</f>
        <v>0</v>
      </c>
      <c r="T191" s="5">
        <f>IF(AND(E47="US",B48&gt;=75,B48&lt;=79),T162,0)</f>
        <v>0</v>
      </c>
      <c r="U191" s="5">
        <f>IF(AND(E52="US",B53&gt;=75,B53&lt;=79),U162,0)</f>
        <v>0</v>
      </c>
      <c r="V191" s="5">
        <f>IF(AND(E57="US",B58&gt;=75,B58&lt;=79),V162,0)</f>
        <v>0</v>
      </c>
      <c r="W191" s="5">
        <f>IF(AND(E62="US",B63&gt;=75,B63&lt;=79),W162,0)</f>
        <v>0</v>
      </c>
    </row>
    <row r="192" spans="1:50" hidden="1" x14ac:dyDescent="0.2">
      <c r="O192" s="39"/>
      <c r="Q192" s="18"/>
    </row>
    <row r="193" spans="15:23" hidden="1" x14ac:dyDescent="0.2">
      <c r="O193" s="39">
        <f>IF(AND(E22="US",B23&gt;=80),O164,0)</f>
        <v>0</v>
      </c>
      <c r="P193" s="5">
        <f>IF(AND(E27="US",B28&gt;=80),P164,0)</f>
        <v>0</v>
      </c>
      <c r="Q193" s="18">
        <f>IF(AND(E32="US",B33&gt;=80),Q164,0)</f>
        <v>0</v>
      </c>
      <c r="R193" s="5">
        <f>IF(AND(E37="US",B38&gt;=80),R164,0)</f>
        <v>0</v>
      </c>
      <c r="S193" s="5">
        <f>IF(AND(E42="US",B43&gt;=80),S164,0)</f>
        <v>0</v>
      </c>
      <c r="T193" s="5">
        <f>IF(AND(E47="US",B48&gt;=80),T164,0)</f>
        <v>0</v>
      </c>
      <c r="U193" s="5">
        <f>IF(AND(E52="US",B53&gt;=80),U164,0)</f>
        <v>0</v>
      </c>
      <c r="V193" s="5">
        <f>IF(AND(E57="US",B58&gt;=80),V164,0)</f>
        <v>0</v>
      </c>
      <c r="W193" s="5">
        <f>IF(AND(E62="US",B63&gt;=80),W164,0)</f>
        <v>0</v>
      </c>
    </row>
    <row r="194" spans="15:23" ht="13.5" hidden="1" thickBot="1" x14ac:dyDescent="0.25">
      <c r="O194" s="39"/>
      <c r="Q194" s="18"/>
    </row>
    <row r="195" spans="15:23" ht="13.5" hidden="1" thickBot="1" x14ac:dyDescent="0.25">
      <c r="O195" s="40">
        <f t="shared" ref="O195:T195" si="17">SUM(O173:O193)</f>
        <v>0</v>
      </c>
      <c r="P195" s="41">
        <f t="shared" si="17"/>
        <v>0</v>
      </c>
      <c r="Q195" s="42">
        <f t="shared" si="17"/>
        <v>0</v>
      </c>
      <c r="R195" s="41">
        <f t="shared" si="17"/>
        <v>0</v>
      </c>
      <c r="S195" s="41">
        <f t="shared" si="17"/>
        <v>0</v>
      </c>
      <c r="T195" s="41">
        <f t="shared" si="17"/>
        <v>0</v>
      </c>
      <c r="U195" s="41">
        <f>SUM(T173:T193)</f>
        <v>0</v>
      </c>
      <c r="V195" s="41">
        <f>SUM(V173:V193)</f>
        <v>0</v>
      </c>
      <c r="W195" s="41">
        <f>SUM(W173:W193)</f>
        <v>0</v>
      </c>
    </row>
    <row r="196" spans="15:23" hidden="1" x14ac:dyDescent="0.2">
      <c r="O196" s="39"/>
      <c r="Q196" s="18"/>
    </row>
    <row r="197" spans="15:23" hidden="1" x14ac:dyDescent="0.2">
      <c r="O197" s="39">
        <f>SUM(O195:W195)</f>
        <v>0</v>
      </c>
      <c r="Q197" s="18"/>
    </row>
    <row r="198" spans="15:23" hidden="1" x14ac:dyDescent="0.2"/>
    <row r="199" spans="15:23" hidden="1" x14ac:dyDescent="0.2"/>
    <row r="200" spans="15:23" hidden="1" x14ac:dyDescent="0.2"/>
    <row r="201" spans="15:23" hidden="1" x14ac:dyDescent="0.2"/>
    <row r="202" spans="15:23" hidden="1" x14ac:dyDescent="0.2"/>
    <row r="203" spans="15:23" hidden="1" x14ac:dyDescent="0.2"/>
    <row r="204" spans="15:23" hidden="1" x14ac:dyDescent="0.2"/>
    <row r="205" spans="15:23" hidden="1" x14ac:dyDescent="0.2"/>
    <row r="206" spans="15:23" hidden="1" x14ac:dyDescent="0.2"/>
    <row r="207" spans="15:23" hidden="1" x14ac:dyDescent="0.2"/>
    <row r="208" spans="15:23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spans="1:9" hidden="1" x14ac:dyDescent="0.2"/>
    <row r="226" spans="1:9" hidden="1" x14ac:dyDescent="0.2"/>
    <row r="227" spans="1:9" hidden="1" x14ac:dyDescent="0.2"/>
    <row r="228" spans="1:9" hidden="1" x14ac:dyDescent="0.2"/>
    <row r="229" spans="1:9" hidden="1" x14ac:dyDescent="0.2"/>
    <row r="230" spans="1:9" hidden="1" x14ac:dyDescent="0.2">
      <c r="A230" s="86"/>
      <c r="B230" s="86"/>
      <c r="C230" s="86"/>
      <c r="D230" s="86"/>
      <c r="E230" s="31"/>
      <c r="F230" s="86"/>
      <c r="G230" s="91" t="s">
        <v>35</v>
      </c>
      <c r="H230" s="92"/>
      <c r="I230" s="92"/>
    </row>
    <row r="231" spans="1:9" hidden="1" x14ac:dyDescent="0.2">
      <c r="A231" s="93" t="s">
        <v>36</v>
      </c>
      <c r="B231" s="94"/>
      <c r="C231" s="94"/>
      <c r="D231" s="96">
        <f t="shared" ref="D231:D241" si="18">IF(AND(F231&gt;0,E231&gt;0,F231&gt;=E231),E231,F231)</f>
        <v>0</v>
      </c>
      <c r="E231" s="95">
        <f>IF(AND(E9="oui",E7*18&gt;E5*80%),E5*80%*F13,F231)</f>
        <v>0</v>
      </c>
      <c r="F231" s="96">
        <f>IF(AND(E9="oui",F11&lt;20),E7*18*F13,0)</f>
        <v>0</v>
      </c>
      <c r="G231" s="31">
        <f>IF(AND(E9="oui",E7*18&gt;E5*80%),E5*80%,H231)</f>
        <v>0</v>
      </c>
      <c r="H231" s="31">
        <f>IF(AND(E9="oui",F11&lt;20),E7*18,0)</f>
        <v>0</v>
      </c>
      <c r="I231" s="96">
        <f t="shared" ref="I231:I241" si="19">IF(AND(H231&gt;0,G231&gt;0,H231&gt;=G231),G231,H231)</f>
        <v>0</v>
      </c>
    </row>
    <row r="232" spans="1:9" hidden="1" x14ac:dyDescent="0.2">
      <c r="A232" s="94"/>
      <c r="B232" s="94"/>
      <c r="C232" s="94"/>
      <c r="D232" s="96">
        <f t="shared" si="18"/>
        <v>0</v>
      </c>
      <c r="E232" s="95">
        <f>IF(AND(E9="oui",E7*17&gt;E5*80%),E5*80%*F13,F232)</f>
        <v>0</v>
      </c>
      <c r="F232" s="95">
        <f>IF(AND(E9="oui",F11&gt;=20,F11&lt;=29),E7*17*F13,0)</f>
        <v>0</v>
      </c>
      <c r="G232" s="97">
        <f>IF(AND(E9="oui",E7*17&gt;E5*80%),E5*80%,H232)</f>
        <v>0</v>
      </c>
      <c r="H232" s="31">
        <f>IF(AND(E9="oui",F11&gt;=20,F11&lt;=29),E7*17,0)</f>
        <v>0</v>
      </c>
      <c r="I232" s="96">
        <f t="shared" si="19"/>
        <v>0</v>
      </c>
    </row>
    <row r="233" spans="1:9" hidden="1" x14ac:dyDescent="0.2">
      <c r="A233" s="94"/>
      <c r="B233" s="94"/>
      <c r="C233" s="94"/>
      <c r="D233" s="96">
        <f t="shared" si="18"/>
        <v>0</v>
      </c>
      <c r="E233" s="95">
        <f>IF(AND(E9="oui",E7*16&gt;E5*80%),E5*80%*F13,F233)</f>
        <v>0</v>
      </c>
      <c r="F233" s="95">
        <f>IF(AND(E9="oui",F11&gt;=30,F11&lt;=39),E7*16*F13,0)</f>
        <v>0</v>
      </c>
      <c r="G233" s="31">
        <f>IF(AND(E9="oui",E7*16&gt;E5*80%),E5*80%,H233)</f>
        <v>0</v>
      </c>
      <c r="H233" s="31">
        <f>IF(AND(E9="oui",F11&gt;=30,F11&lt;=39),E7*16,0)</f>
        <v>0</v>
      </c>
      <c r="I233" s="96">
        <f t="shared" si="19"/>
        <v>0</v>
      </c>
    </row>
    <row r="234" spans="1:9" hidden="1" x14ac:dyDescent="0.2">
      <c r="A234" s="94"/>
      <c r="B234" s="94"/>
      <c r="C234" s="94"/>
      <c r="D234" s="96">
        <f t="shared" si="18"/>
        <v>0</v>
      </c>
      <c r="E234" s="95">
        <f>IF(AND(E9="oui",E7*14&gt;E5*80%),E5*80%*F13,F234)</f>
        <v>0</v>
      </c>
      <c r="F234" s="95">
        <f>IF(AND(E9="oui",F11&gt;=40,F11&lt;=49),E7*14*F13,0)</f>
        <v>0</v>
      </c>
      <c r="G234" s="98">
        <f>IF(AND(E9="oui",E7*14&gt;E5*80%),E5*80%,H234)</f>
        <v>0</v>
      </c>
      <c r="H234" s="98">
        <f>IF(AND(E9="oui",F11&gt;=40,F11&lt;=49),E7*14,0)</f>
        <v>0</v>
      </c>
      <c r="I234" s="96">
        <f t="shared" si="19"/>
        <v>0</v>
      </c>
    </row>
    <row r="235" spans="1:9" hidden="1" x14ac:dyDescent="0.2">
      <c r="A235" s="94"/>
      <c r="B235" s="94"/>
      <c r="C235" s="94"/>
      <c r="D235" s="96">
        <f t="shared" si="18"/>
        <v>0</v>
      </c>
      <c r="E235" s="95">
        <f>IF(AND(E9="oui",E7*13&gt;E5*80%),E5*80%*F13,F235)</f>
        <v>0</v>
      </c>
      <c r="F235" s="95">
        <f>IF(AND(E9="oui",F11&gt;=50,F11&lt;=54),E7*13*F13,0)</f>
        <v>0</v>
      </c>
      <c r="G235" s="31">
        <f>IF(AND(E9="oui",E7*13&gt;E5*80%),E5*80%,H235)</f>
        <v>0</v>
      </c>
      <c r="H235" s="31">
        <f>IF(AND(E9="oui",F11&gt;=50,F11&lt;=54),E7*13,0)</f>
        <v>0</v>
      </c>
      <c r="I235" s="96">
        <f t="shared" si="19"/>
        <v>0</v>
      </c>
    </row>
    <row r="236" spans="1:9" hidden="1" x14ac:dyDescent="0.2">
      <c r="A236" s="94"/>
      <c r="B236" s="94"/>
      <c r="C236" s="94"/>
      <c r="D236" s="96">
        <f t="shared" si="18"/>
        <v>0</v>
      </c>
      <c r="E236" s="95">
        <f>IF(AND(E9="oui",E7*11&gt;E5*80%),E5*80%*F13,F236)</f>
        <v>0</v>
      </c>
      <c r="F236" s="95">
        <f>IF(AND(E9="oui",F11&gt;=55,F11&lt;=59),E7*11*F13,0)</f>
        <v>0</v>
      </c>
      <c r="G236" s="31">
        <f>IF(AND(E9="oui",E7*11&gt;E5*80%),E5*80%,H236)</f>
        <v>0</v>
      </c>
      <c r="H236" s="31">
        <f>IF(AND(E9="oui",F11&gt;=55,F11&lt;=59),E7*11,0)</f>
        <v>0</v>
      </c>
      <c r="I236" s="96">
        <f t="shared" si="19"/>
        <v>0</v>
      </c>
    </row>
    <row r="237" spans="1:9" hidden="1" x14ac:dyDescent="0.2">
      <c r="A237" s="94"/>
      <c r="B237" s="94"/>
      <c r="C237" s="94"/>
      <c r="D237" s="96">
        <f t="shared" si="18"/>
        <v>0</v>
      </c>
      <c r="E237" s="95">
        <f>IF(AND(E9="oui",E7*9.5&gt;E5*80%),E5*80%*F13,F237)</f>
        <v>0</v>
      </c>
      <c r="F237" s="95">
        <f>IF(AND(E9="oui",F11&gt;=60,F11&lt;=64),E7*9.5*F13,0)</f>
        <v>0</v>
      </c>
      <c r="G237" s="31">
        <f>IF(AND(E9="oui",E7*9.5&gt;E5*80%),E5*80%,H237)</f>
        <v>0</v>
      </c>
      <c r="H237" s="31">
        <f>IF(AND(E9="oui",F11&gt;=60,F11&lt;=64),E7*9.5,0)</f>
        <v>0</v>
      </c>
      <c r="I237" s="96">
        <f t="shared" si="19"/>
        <v>0</v>
      </c>
    </row>
    <row r="238" spans="1:9" hidden="1" x14ac:dyDescent="0.2">
      <c r="A238" s="94"/>
      <c r="B238" s="94"/>
      <c r="C238" s="94"/>
      <c r="D238" s="96">
        <f t="shared" si="18"/>
        <v>0</v>
      </c>
      <c r="E238" s="95">
        <f>IF(AND(E9="oui",E7*8&gt;E5*80%),E5*80%*F13,F238)</f>
        <v>0</v>
      </c>
      <c r="F238" s="95">
        <f>IF(AND(E9="oui",F11&gt;=65,F11&lt;=69),E7*8*F13,0)</f>
        <v>0</v>
      </c>
      <c r="G238" s="31">
        <f>IF(AND(E9="oui",E7*8&gt;E5*80%),E5*80%,H238)</f>
        <v>0</v>
      </c>
      <c r="H238" s="31">
        <f>IF(AND(E9="oui",F11&gt;=65,F11&lt;=69),E7*8,0)</f>
        <v>0</v>
      </c>
      <c r="I238" s="96">
        <f t="shared" si="19"/>
        <v>0</v>
      </c>
    </row>
    <row r="239" spans="1:9" hidden="1" x14ac:dyDescent="0.2">
      <c r="A239" s="94"/>
      <c r="B239" s="94"/>
      <c r="C239" s="94"/>
      <c r="D239" s="96">
        <f t="shared" si="18"/>
        <v>0</v>
      </c>
      <c r="E239" s="95">
        <f>IF(AND(E9="oui",E7*6&gt;E5*80%),E5*80%*F13,F239)</f>
        <v>0</v>
      </c>
      <c r="F239" s="95">
        <f>IF(AND(E9="oui",F11&gt;=70,F11&lt;=74),E7*6*F13,0)</f>
        <v>0</v>
      </c>
      <c r="G239" s="31">
        <f>IF(AND(E9="oui",E7*6&gt;E5*80%),E5*80%,H239)</f>
        <v>0</v>
      </c>
      <c r="H239" s="31">
        <f>IF(AND(E9="oui",F11&gt;=70,F11&lt;=74),E7*6,0)</f>
        <v>0</v>
      </c>
      <c r="I239" s="96">
        <f t="shared" si="19"/>
        <v>0</v>
      </c>
    </row>
    <row r="240" spans="1:9" hidden="1" x14ac:dyDescent="0.2">
      <c r="A240" s="94"/>
      <c r="B240" s="94"/>
      <c r="C240" s="94"/>
      <c r="D240" s="96">
        <f t="shared" si="18"/>
        <v>0</v>
      </c>
      <c r="E240" s="95">
        <f>IF(AND(E9="oui",E7*4&gt;E5*80%),E5*80%*F13,F240)</f>
        <v>0</v>
      </c>
      <c r="F240" s="95">
        <f>IF(AND(E9="oui",F11&gt;=75,F11&lt;=80),E7*4*F13,0)</f>
        <v>0</v>
      </c>
      <c r="G240" s="31">
        <f>IF(AND(E9="oui",E7*4&gt;E5*80%),E5*80%,H240)</f>
        <v>0</v>
      </c>
      <c r="H240" s="31">
        <f>IF(AND(E9="oui",F11&gt;=75,F11&lt;=80),E7*4,0)</f>
        <v>0</v>
      </c>
      <c r="I240" s="96">
        <f t="shared" si="19"/>
        <v>0</v>
      </c>
    </row>
    <row r="241" spans="1:14" hidden="1" x14ac:dyDescent="0.2">
      <c r="A241" s="94"/>
      <c r="B241" s="94"/>
      <c r="C241" s="94"/>
      <c r="D241" s="96">
        <f t="shared" si="18"/>
        <v>0</v>
      </c>
      <c r="E241" s="95">
        <f>IF(AND(E9="oui",E7*2&gt;E5*80%),E5*80%*F13,F241)</f>
        <v>0</v>
      </c>
      <c r="F241" s="95">
        <f>IF(AND(E9="oui",F11&gt;=80),E7*2*F13,0)</f>
        <v>0</v>
      </c>
      <c r="G241" s="31">
        <f>IF(AND(E9="oui",E7*2&gt;E5*80%),E5*80%,H241)</f>
        <v>0</v>
      </c>
      <c r="H241" s="31">
        <f>IF(AND(E9="oui",F11&gt;=80),E7*2,0)</f>
        <v>0</v>
      </c>
      <c r="I241" s="96">
        <f t="shared" si="19"/>
        <v>0</v>
      </c>
    </row>
    <row r="242" spans="1:14" hidden="1" x14ac:dyDescent="0.2">
      <c r="A242" s="94"/>
      <c r="B242" s="94"/>
      <c r="C242" s="94"/>
      <c r="D242" s="94"/>
      <c r="E242" s="95"/>
      <c r="F242" s="95"/>
      <c r="G242" s="31"/>
      <c r="H242" s="31"/>
      <c r="I242" s="31"/>
    </row>
    <row r="243" spans="1:14" hidden="1" x14ac:dyDescent="0.2">
      <c r="A243" s="94"/>
      <c r="B243" s="94"/>
      <c r="C243" s="94"/>
      <c r="D243" s="99">
        <f>SUM(D231:D242)</f>
        <v>0</v>
      </c>
      <c r="E243" s="95"/>
      <c r="F243" s="95"/>
      <c r="G243" s="31"/>
      <c r="H243" s="31"/>
      <c r="I243" s="100">
        <f>SUM(I231:I242)</f>
        <v>0</v>
      </c>
    </row>
    <row r="244" spans="1:14" hidden="1" x14ac:dyDescent="0.2">
      <c r="A244" s="86"/>
      <c r="B244" s="86"/>
      <c r="C244" s="86"/>
      <c r="D244" s="86"/>
      <c r="E244" s="31"/>
      <c r="F244" s="31"/>
      <c r="G244" s="31"/>
      <c r="H244" s="31"/>
      <c r="I244" s="31"/>
    </row>
    <row r="245" spans="1:14" hidden="1" x14ac:dyDescent="0.2">
      <c r="A245" s="86"/>
      <c r="B245" s="86"/>
      <c r="C245" s="86"/>
      <c r="D245" s="86"/>
      <c r="E245" s="31"/>
      <c r="F245" s="31"/>
      <c r="G245" s="31"/>
      <c r="H245" s="31"/>
      <c r="I245" s="31"/>
    </row>
    <row r="246" spans="1:14" hidden="1" x14ac:dyDescent="0.2">
      <c r="A246" s="86"/>
      <c r="B246" s="86"/>
      <c r="C246" s="86"/>
      <c r="D246" s="86"/>
      <c r="E246" s="31"/>
      <c r="F246" s="31"/>
      <c r="G246" s="31"/>
      <c r="H246" s="31"/>
      <c r="I246" s="31"/>
    </row>
    <row r="247" spans="1:14" hidden="1" x14ac:dyDescent="0.2">
      <c r="A247" s="101">
        <v>1</v>
      </c>
      <c r="B247" s="86"/>
      <c r="C247" s="102" t="s">
        <v>37</v>
      </c>
      <c r="D247" s="86"/>
      <c r="E247" s="31" t="e">
        <f>D243/F13</f>
        <v>#DIV/0!</v>
      </c>
      <c r="F247" s="31"/>
      <c r="G247" s="44"/>
      <c r="H247" s="44"/>
      <c r="I247" s="103"/>
    </row>
    <row r="248" spans="1:14" hidden="1" x14ac:dyDescent="0.2"/>
    <row r="249" spans="1:14" hidden="1" x14ac:dyDescent="0.2"/>
    <row r="250" spans="1:14" hidden="1" x14ac:dyDescent="0.2">
      <c r="A250" s="116" t="s">
        <v>41</v>
      </c>
      <c r="B250" s="86"/>
      <c r="C250" s="102" t="s">
        <v>37</v>
      </c>
      <c r="D250" s="86"/>
      <c r="E250" s="31" t="e">
        <f>Blad1!P181-E247</f>
        <v>#DIV/0!</v>
      </c>
      <c r="F250" s="117" t="e">
        <f>IF(E250&gt;0,E250,0)</f>
        <v>#DIV/0!</v>
      </c>
      <c r="G250" s="31"/>
      <c r="H250" s="116" t="s">
        <v>42</v>
      </c>
      <c r="I250" s="86"/>
      <c r="J250" s="102" t="s">
        <v>37</v>
      </c>
      <c r="K250" s="86"/>
      <c r="L250" s="31" t="e">
        <f>Blad1!AP181-E247</f>
        <v>#DIV/0!</v>
      </c>
      <c r="M250" s="117" t="e">
        <f>IF(L250&gt;0,L250,0)</f>
        <v>#DIV/0!</v>
      </c>
      <c r="N250" s="31"/>
    </row>
    <row r="251" spans="1:14" hidden="1" x14ac:dyDescent="0.2">
      <c r="A251" s="86"/>
      <c r="B251" s="86"/>
      <c r="C251" s="86"/>
      <c r="D251" s="86"/>
      <c r="E251" s="118"/>
      <c r="F251" s="118"/>
      <c r="G251" s="31"/>
      <c r="H251" s="86"/>
      <c r="I251" s="86"/>
      <c r="J251" s="86"/>
      <c r="K251" s="86"/>
      <c r="L251" s="118"/>
      <c r="M251" s="118"/>
    </row>
    <row r="252" spans="1:14" hidden="1" x14ac:dyDescent="0.2">
      <c r="A252" s="116" t="s">
        <v>43</v>
      </c>
      <c r="B252" s="86"/>
      <c r="C252" s="102" t="s">
        <v>37</v>
      </c>
      <c r="D252" s="86"/>
      <c r="E252" s="118" t="e">
        <f>Blad1!Q181-E247</f>
        <v>#DIV/0!</v>
      </c>
      <c r="F252" s="117" t="e">
        <f>IF(E252&gt;0,E252,0)</f>
        <v>#DIV/0!</v>
      </c>
      <c r="G252" s="31"/>
      <c r="H252" s="116" t="s">
        <v>44</v>
      </c>
      <c r="I252" s="86"/>
      <c r="J252" s="102" t="s">
        <v>37</v>
      </c>
      <c r="K252" s="86"/>
      <c r="L252" s="118" t="e">
        <f>Blad1!AQ181-E247</f>
        <v>#DIV/0!</v>
      </c>
      <c r="M252" s="117" t="e">
        <f>IF(L252&gt;0,L252,0)</f>
        <v>#DIV/0!</v>
      </c>
      <c r="N252" s="31"/>
    </row>
    <row r="253" spans="1:14" hidden="1" x14ac:dyDescent="0.2">
      <c r="A253" s="86"/>
      <c r="B253" s="86"/>
      <c r="C253" s="86"/>
      <c r="D253" s="86"/>
      <c r="E253" s="118"/>
      <c r="F253" s="118"/>
      <c r="G253" s="31"/>
      <c r="H253" s="86"/>
      <c r="I253" s="86"/>
      <c r="J253" s="86"/>
      <c r="K253" s="86"/>
      <c r="L253" s="118"/>
      <c r="M253" s="118"/>
    </row>
    <row r="254" spans="1:14" hidden="1" x14ac:dyDescent="0.2">
      <c r="A254" s="116" t="s">
        <v>45</v>
      </c>
      <c r="B254" s="86"/>
      <c r="C254" s="102" t="s">
        <v>37</v>
      </c>
      <c r="D254" s="86"/>
      <c r="E254" s="118" t="e">
        <f>Blad1!R181-E247</f>
        <v>#DIV/0!</v>
      </c>
      <c r="F254" s="117" t="e">
        <f>IF(E254&gt;0,E254,0)</f>
        <v>#DIV/0!</v>
      </c>
      <c r="G254" s="31"/>
      <c r="H254" s="116" t="s">
        <v>46</v>
      </c>
      <c r="I254" s="86"/>
      <c r="J254" s="102" t="s">
        <v>37</v>
      </c>
      <c r="K254" s="86"/>
      <c r="L254" s="118" t="e">
        <f>Blad1!AR181-E247</f>
        <v>#DIV/0!</v>
      </c>
      <c r="M254" s="117" t="e">
        <f>IF(L254&gt;0,L254,0)</f>
        <v>#DIV/0!</v>
      </c>
      <c r="N254" s="31"/>
    </row>
    <row r="255" spans="1:14" hidden="1" x14ac:dyDescent="0.2">
      <c r="A255" s="86"/>
      <c r="B255" s="86"/>
      <c r="C255" s="86"/>
      <c r="D255" s="86"/>
      <c r="E255" s="118"/>
      <c r="F255" s="118"/>
      <c r="G255" s="31"/>
      <c r="H255" s="86"/>
      <c r="I255" s="86"/>
      <c r="J255" s="86"/>
      <c r="K255" s="86"/>
      <c r="L255" s="118"/>
      <c r="M255" s="118"/>
    </row>
    <row r="256" spans="1:14" hidden="1" x14ac:dyDescent="0.2">
      <c r="A256" s="116" t="s">
        <v>47</v>
      </c>
      <c r="B256" s="86"/>
      <c r="C256" s="102" t="s">
        <v>37</v>
      </c>
      <c r="D256" s="86"/>
      <c r="E256" s="119" t="e">
        <f>Blad1!S181-E247</f>
        <v>#DIV/0!</v>
      </c>
      <c r="F256" s="117" t="e">
        <f>IF(E256&gt;0,E256,0)</f>
        <v>#DIV/0!</v>
      </c>
      <c r="G256" s="31"/>
      <c r="H256" s="116" t="s">
        <v>48</v>
      </c>
      <c r="I256" s="86"/>
      <c r="J256" s="102" t="s">
        <v>37</v>
      </c>
      <c r="K256" s="86"/>
      <c r="L256" s="119" t="e">
        <f>Blad1!AS181-E247</f>
        <v>#DIV/0!</v>
      </c>
      <c r="M256" s="117" t="e">
        <f>IF(L256&gt;0,L256,0)</f>
        <v>#DIV/0!</v>
      </c>
      <c r="N256" s="31"/>
    </row>
    <row r="257" spans="1:14" hidden="1" x14ac:dyDescent="0.2">
      <c r="A257" s="86"/>
      <c r="B257" s="86"/>
      <c r="C257" s="86"/>
      <c r="D257" s="86"/>
      <c r="E257" s="118"/>
      <c r="F257" s="118"/>
      <c r="G257" s="31"/>
      <c r="H257" s="86"/>
      <c r="I257" s="86"/>
      <c r="J257" s="86"/>
      <c r="K257" s="86"/>
      <c r="L257" s="118"/>
      <c r="M257" s="118"/>
    </row>
    <row r="258" spans="1:14" hidden="1" x14ac:dyDescent="0.2">
      <c r="A258" s="116" t="s">
        <v>49</v>
      </c>
      <c r="B258" s="86"/>
      <c r="C258" s="102" t="s">
        <v>37</v>
      </c>
      <c r="D258" s="86"/>
      <c r="E258" s="118" t="e">
        <f>Blad1!T181-E247</f>
        <v>#DIV/0!</v>
      </c>
      <c r="F258" s="117" t="e">
        <f>IF(E258&gt;0,E258,0)</f>
        <v>#DIV/0!</v>
      </c>
      <c r="G258" s="31"/>
      <c r="H258" s="116" t="s">
        <v>50</v>
      </c>
      <c r="I258" s="86"/>
      <c r="J258" s="102" t="s">
        <v>37</v>
      </c>
      <c r="K258" s="86"/>
      <c r="L258" s="118" t="e">
        <f>Blad1!AT181-E247</f>
        <v>#DIV/0!</v>
      </c>
      <c r="M258" s="117" t="e">
        <f>IF(L258&gt;0,L258,0)</f>
        <v>#DIV/0!</v>
      </c>
      <c r="N258" s="31"/>
    </row>
    <row r="259" spans="1:14" hidden="1" x14ac:dyDescent="0.2">
      <c r="A259" s="86"/>
      <c r="B259" s="86"/>
      <c r="C259" s="86"/>
      <c r="D259" s="86"/>
      <c r="E259" s="118"/>
      <c r="F259" s="118"/>
      <c r="G259" s="31"/>
      <c r="H259" s="86"/>
      <c r="I259" s="86"/>
      <c r="J259" s="86"/>
      <c r="K259" s="86"/>
      <c r="L259" s="118"/>
      <c r="M259" s="118"/>
    </row>
    <row r="260" spans="1:14" hidden="1" x14ac:dyDescent="0.2">
      <c r="A260" s="116" t="s">
        <v>51</v>
      </c>
      <c r="B260" s="86"/>
      <c r="C260" s="102" t="s">
        <v>37</v>
      </c>
      <c r="D260" s="86"/>
      <c r="E260" s="118" t="e">
        <f>Blad1!U181-E247</f>
        <v>#DIV/0!</v>
      </c>
      <c r="F260" s="117" t="e">
        <f>IF(E260&gt;0,E260,0)</f>
        <v>#DIV/0!</v>
      </c>
      <c r="G260" s="31"/>
      <c r="H260" s="116" t="s">
        <v>52</v>
      </c>
      <c r="I260" s="86"/>
      <c r="J260" s="102" t="s">
        <v>37</v>
      </c>
      <c r="K260" s="86"/>
      <c r="L260" s="118" t="e">
        <f>Blad1!AU181-E247</f>
        <v>#DIV/0!</v>
      </c>
      <c r="M260" s="117" t="e">
        <f>IF(L260&gt;0,L260,0)</f>
        <v>#DIV/0!</v>
      </c>
      <c r="N260" s="31"/>
    </row>
    <row r="261" spans="1:14" hidden="1" x14ac:dyDescent="0.2">
      <c r="A261" s="86"/>
      <c r="B261" s="86"/>
      <c r="C261" s="86"/>
      <c r="D261" s="86"/>
      <c r="E261" s="118"/>
      <c r="F261" s="118"/>
      <c r="G261" s="31"/>
      <c r="H261" s="86"/>
      <c r="I261" s="86"/>
      <c r="J261" s="86"/>
      <c r="K261" s="86"/>
      <c r="L261" s="118"/>
      <c r="M261" s="118"/>
    </row>
    <row r="262" spans="1:14" hidden="1" x14ac:dyDescent="0.2">
      <c r="A262" s="116" t="s">
        <v>53</v>
      </c>
      <c r="B262" s="86"/>
      <c r="C262" s="102" t="s">
        <v>37</v>
      </c>
      <c r="D262" s="86"/>
      <c r="E262" s="118" t="e">
        <f>Blad1!V181-E247</f>
        <v>#DIV/0!</v>
      </c>
      <c r="F262" s="117" t="e">
        <f>IF(E262&gt;0,E262,0)</f>
        <v>#DIV/0!</v>
      </c>
      <c r="G262" s="31"/>
      <c r="H262" s="116" t="s">
        <v>54</v>
      </c>
      <c r="I262" s="86"/>
      <c r="J262" s="102" t="s">
        <v>37</v>
      </c>
      <c r="K262" s="86"/>
      <c r="L262" s="118" t="e">
        <f>Blad1!AV181-E247</f>
        <v>#DIV/0!</v>
      </c>
      <c r="M262" s="117" t="e">
        <f>IF(L262&gt;0,L262,0)</f>
        <v>#DIV/0!</v>
      </c>
      <c r="N262" s="31"/>
    </row>
    <row r="263" spans="1:14" hidden="1" x14ac:dyDescent="0.2">
      <c r="A263" s="86"/>
      <c r="B263" s="86"/>
      <c r="C263" s="86"/>
      <c r="D263" s="86"/>
      <c r="E263" s="118"/>
      <c r="F263" s="118"/>
      <c r="G263" s="31"/>
      <c r="H263" s="86"/>
      <c r="I263" s="86"/>
      <c r="J263" s="86"/>
      <c r="K263" s="86"/>
      <c r="L263" s="118"/>
      <c r="M263" s="118"/>
    </row>
    <row r="264" spans="1:14" hidden="1" x14ac:dyDescent="0.2">
      <c r="A264" s="116" t="s">
        <v>55</v>
      </c>
      <c r="B264" s="86"/>
      <c r="C264" s="102" t="s">
        <v>37</v>
      </c>
      <c r="D264" s="86"/>
      <c r="E264" s="118" t="e">
        <f>Blad1!W181-E247</f>
        <v>#DIV/0!</v>
      </c>
      <c r="F264" s="117" t="e">
        <f>IF(E264&gt;0,E264,0)</f>
        <v>#DIV/0!</v>
      </c>
      <c r="G264" s="31"/>
      <c r="H264" s="116" t="s">
        <v>56</v>
      </c>
      <c r="I264" s="86"/>
      <c r="J264" s="102" t="s">
        <v>37</v>
      </c>
      <c r="K264" s="86"/>
      <c r="L264" s="118" t="e">
        <f>Blad1!AW181-E247</f>
        <v>#DIV/0!</v>
      </c>
      <c r="M264" s="117" t="e">
        <f>IF(L264&gt;0,L264,0)</f>
        <v>#DIV/0!</v>
      </c>
      <c r="N264" s="31"/>
    </row>
    <row r="265" spans="1:14" hidden="1" x14ac:dyDescent="0.2">
      <c r="A265" s="86"/>
      <c r="B265" s="86"/>
      <c r="C265" s="86"/>
      <c r="D265" s="86"/>
      <c r="E265" s="118"/>
      <c r="F265" s="118"/>
      <c r="G265" s="31"/>
      <c r="H265" s="86"/>
      <c r="I265" s="86"/>
      <c r="J265" s="86"/>
      <c r="K265" s="86"/>
      <c r="L265" s="118"/>
      <c r="M265" s="118"/>
    </row>
    <row r="266" spans="1:14" hidden="1" x14ac:dyDescent="0.2">
      <c r="A266" s="116" t="s">
        <v>57</v>
      </c>
      <c r="B266" s="86"/>
      <c r="C266" s="102" t="s">
        <v>37</v>
      </c>
      <c r="D266" s="86"/>
      <c r="E266" s="118" t="e">
        <f>Blad1!X181-E247</f>
        <v>#DIV/0!</v>
      </c>
      <c r="F266" s="117" t="e">
        <f>IF(E266&gt;0,E266,0)</f>
        <v>#DIV/0!</v>
      </c>
      <c r="G266" s="31"/>
      <c r="H266" s="116" t="s">
        <v>58</v>
      </c>
      <c r="I266" s="86"/>
      <c r="J266" s="102" t="s">
        <v>37</v>
      </c>
      <c r="K266" s="86"/>
      <c r="L266" s="118" t="e">
        <f>Blad1!AX181-E247</f>
        <v>#DIV/0!</v>
      </c>
      <c r="M266" s="117" t="e">
        <f>IF(L266&gt;0,L266,0)</f>
        <v>#DIV/0!</v>
      </c>
      <c r="N266" s="31"/>
    </row>
    <row r="267" spans="1:14" hidden="1" x14ac:dyDescent="0.2">
      <c r="A267" s="86"/>
      <c r="B267" s="86"/>
      <c r="C267" s="86"/>
      <c r="D267" s="86"/>
      <c r="E267" s="118"/>
      <c r="F267" s="118"/>
      <c r="G267" s="118"/>
      <c r="H267" s="120"/>
      <c r="I267" s="118"/>
      <c r="J267" s="118"/>
      <c r="K267" s="118"/>
      <c r="L267" s="118"/>
      <c r="M267" s="118"/>
      <c r="N267" s="86"/>
    </row>
    <row r="268" spans="1:14" hidden="1" x14ac:dyDescent="0.2">
      <c r="A268" s="86"/>
      <c r="B268" s="86"/>
      <c r="C268" s="86"/>
      <c r="D268" s="86"/>
      <c r="E268" s="118"/>
      <c r="F268" s="118"/>
      <c r="G268" s="118"/>
      <c r="H268" s="120"/>
      <c r="I268" s="121"/>
      <c r="J268" s="118"/>
      <c r="K268" s="118"/>
      <c r="L268" s="118"/>
      <c r="M268" s="118"/>
      <c r="N268" s="86"/>
    </row>
    <row r="269" spans="1:14" hidden="1" x14ac:dyDescent="0.2">
      <c r="A269" s="86"/>
      <c r="B269" s="86"/>
      <c r="C269" s="86"/>
      <c r="D269" s="86"/>
      <c r="E269" s="86"/>
      <c r="F269" s="153">
        <f>AM159+AM165+N173+N179+F15</f>
        <v>0</v>
      </c>
      <c r="G269" s="86"/>
      <c r="H269" s="33"/>
      <c r="I269" s="88"/>
      <c r="J269" s="31"/>
      <c r="K269" s="86"/>
      <c r="L269" s="86"/>
      <c r="M269" s="86"/>
      <c r="N269" s="86"/>
    </row>
    <row r="270" spans="1:14" hidden="1" x14ac:dyDescent="0.2">
      <c r="A270" s="86"/>
      <c r="B270" s="86"/>
      <c r="C270" s="86"/>
      <c r="D270" s="86"/>
      <c r="E270" s="118"/>
      <c r="F270" s="118"/>
      <c r="G270" s="118"/>
      <c r="H270" s="120"/>
      <c r="I270" s="86"/>
      <c r="J270" s="118"/>
      <c r="K270" s="118"/>
      <c r="L270" s="118"/>
      <c r="M270" s="118"/>
      <c r="N270" s="86"/>
    </row>
    <row r="271" spans="1:14" hidden="1" x14ac:dyDescent="0.2">
      <c r="A271" s="86"/>
      <c r="B271" s="86"/>
      <c r="C271" s="86"/>
      <c r="D271" s="86"/>
      <c r="E271" s="118"/>
      <c r="F271" s="86"/>
      <c r="G271" s="118"/>
      <c r="H271" s="86"/>
      <c r="I271" s="86"/>
      <c r="J271" s="86"/>
      <c r="K271" s="86"/>
      <c r="L271" s="86"/>
      <c r="M271" s="86"/>
      <c r="N271" s="86"/>
    </row>
    <row r="272" spans="1:14" hidden="1" x14ac:dyDescent="0.2">
      <c r="A272" s="86"/>
      <c r="B272" s="86"/>
      <c r="C272" s="86"/>
      <c r="D272" s="86"/>
      <c r="E272" s="86"/>
      <c r="F272" s="122">
        <f>E5-F269</f>
        <v>0</v>
      </c>
      <c r="G272" s="86"/>
      <c r="H272" s="146">
        <f>G22</f>
        <v>0</v>
      </c>
      <c r="I272" s="86"/>
      <c r="J272" s="86"/>
      <c r="K272" s="86"/>
      <c r="L272" s="86"/>
      <c r="M272" s="122">
        <f>E5-F269</f>
        <v>0</v>
      </c>
      <c r="N272" s="86"/>
    </row>
    <row r="273" spans="1:14" hidden="1" x14ac:dyDescent="0.2">
      <c r="A273" s="88"/>
      <c r="B273" s="88"/>
      <c r="C273" s="88"/>
      <c r="D273" s="88"/>
      <c r="E273" s="88"/>
      <c r="F273" s="28"/>
      <c r="G273" s="88"/>
      <c r="H273" s="88"/>
      <c r="I273" s="88"/>
      <c r="J273" s="88"/>
      <c r="K273" s="88"/>
      <c r="L273" s="88"/>
      <c r="M273" s="28"/>
      <c r="N273" s="88"/>
    </row>
    <row r="274" spans="1:14" hidden="1" x14ac:dyDescent="0.2">
      <c r="A274" s="88"/>
      <c r="B274" s="88"/>
      <c r="C274" s="88"/>
      <c r="D274" s="88"/>
      <c r="E274" s="88"/>
      <c r="F274" s="28"/>
      <c r="G274" s="88"/>
      <c r="H274" s="88"/>
      <c r="I274" s="88"/>
      <c r="J274" s="88"/>
      <c r="K274" s="88"/>
      <c r="L274" s="88"/>
      <c r="M274" s="28"/>
      <c r="N274" s="88"/>
    </row>
    <row r="275" spans="1:14" hidden="1" x14ac:dyDescent="0.2"/>
    <row r="276" spans="1:14" hidden="1" x14ac:dyDescent="0.2">
      <c r="A276" s="147" t="s">
        <v>2</v>
      </c>
      <c r="B276" s="43"/>
      <c r="C276" s="43"/>
      <c r="D276" s="43"/>
      <c r="E276" s="31"/>
      <c r="F276" s="32"/>
      <c r="G276" s="31"/>
      <c r="H276" s="31"/>
      <c r="I276" s="44" t="s">
        <v>3</v>
      </c>
    </row>
    <row r="277" spans="1:14" hidden="1" x14ac:dyDescent="0.2">
      <c r="A277" s="31">
        <v>0</v>
      </c>
      <c r="B277" s="31"/>
      <c r="C277" s="31"/>
      <c r="D277" s="31"/>
      <c r="E277" s="31">
        <v>12500</v>
      </c>
      <c r="F277" s="32"/>
      <c r="G277" s="31"/>
      <c r="H277" s="31">
        <f>IF(AND(H272&gt;A277,H272&lt;=E277),H272,0)</f>
        <v>0</v>
      </c>
      <c r="I277" s="31">
        <f>0+(3/100)*(-A277+H277)</f>
        <v>0</v>
      </c>
    </row>
    <row r="278" spans="1:14" hidden="1" x14ac:dyDescent="0.2">
      <c r="A278" s="31">
        <f t="shared" ref="A278:A285" si="20">E277</f>
        <v>12500</v>
      </c>
      <c r="B278" s="31"/>
      <c r="C278" s="31"/>
      <c r="D278" s="31"/>
      <c r="E278" s="31">
        <v>25000</v>
      </c>
      <c r="F278" s="32"/>
      <c r="G278" s="31"/>
      <c r="H278" s="31">
        <f>IF(AND(H272&gt;A278, H272&lt;=E278),H272,0)</f>
        <v>0</v>
      </c>
      <c r="I278" s="31">
        <f>(12500/100*3)+(4/100)*(-A278+H278)</f>
        <v>-125</v>
      </c>
    </row>
    <row r="279" spans="1:14" hidden="1" x14ac:dyDescent="0.2">
      <c r="A279" s="31">
        <f t="shared" si="20"/>
        <v>25000</v>
      </c>
      <c r="B279" s="31"/>
      <c r="C279" s="31"/>
      <c r="D279" s="31"/>
      <c r="E279" s="31">
        <v>50000</v>
      </c>
      <c r="F279" s="32"/>
      <c r="G279" s="31"/>
      <c r="H279" s="31">
        <f>IF(AND(H272&gt;A279, H272&lt;=E279),H272,0)</f>
        <v>0</v>
      </c>
      <c r="I279" s="31">
        <f>(12500/100*3)+(12500/100*4)+((5/100)*(-A279+H279))</f>
        <v>-375</v>
      </c>
    </row>
    <row r="280" spans="1:14" hidden="1" x14ac:dyDescent="0.2">
      <c r="A280" s="31">
        <f t="shared" si="20"/>
        <v>50000</v>
      </c>
      <c r="B280" s="31"/>
      <c r="C280" s="31"/>
      <c r="D280" s="31"/>
      <c r="E280" s="31">
        <v>100000</v>
      </c>
      <c r="F280" s="32"/>
      <c r="G280" s="31"/>
      <c r="H280" s="31">
        <f>IF(AND(H272&gt;A280, H272&lt;=E280),H272,0)</f>
        <v>0</v>
      </c>
      <c r="I280" s="31">
        <f>(12500/100*3)+(12500/100*4)+(25000/100*5)+((7/100)*(-A280+H280))</f>
        <v>-1375.0000000000005</v>
      </c>
    </row>
    <row r="281" spans="1:14" hidden="1" x14ac:dyDescent="0.2">
      <c r="A281" s="31">
        <f t="shared" si="20"/>
        <v>100000</v>
      </c>
      <c r="B281" s="31"/>
      <c r="C281" s="31"/>
      <c r="D281" s="31"/>
      <c r="E281" s="31">
        <v>150000</v>
      </c>
      <c r="F281" s="32"/>
      <c r="G281" s="31"/>
      <c r="H281" s="31">
        <f>IF(AND(H272&gt;A281, H272&lt;=E281),H272,0)</f>
        <v>0</v>
      </c>
      <c r="I281" s="31">
        <f>(12500/100*3)+(12500/100*4)+(25000/100*5)+(50000/100*7)+((10/100)*(-A281+H281))</f>
        <v>-4375</v>
      </c>
    </row>
    <row r="282" spans="1:14" hidden="1" x14ac:dyDescent="0.2">
      <c r="A282" s="31">
        <f t="shared" si="20"/>
        <v>150000</v>
      </c>
      <c r="B282" s="31"/>
      <c r="C282" s="31"/>
      <c r="D282" s="31"/>
      <c r="E282" s="31">
        <v>200000</v>
      </c>
      <c r="F282" s="32"/>
      <c r="G282" s="31"/>
      <c r="H282" s="31">
        <f>IF(AND(H272&gt;A282, H272&lt;=E282),H272,0)</f>
        <v>0</v>
      </c>
      <c r="I282" s="31">
        <f>(12500/100*3)+(12500/100*4)+(25000/100*5)+(50000/100*7)+(50000/100*10)+((14/100)*(-A282+H282))</f>
        <v>-10375.000000000004</v>
      </c>
    </row>
    <row r="283" spans="1:14" hidden="1" x14ac:dyDescent="0.2">
      <c r="A283" s="31">
        <f t="shared" si="20"/>
        <v>200000</v>
      </c>
      <c r="B283" s="31"/>
      <c r="C283" s="31"/>
      <c r="D283" s="31"/>
      <c r="E283" s="31">
        <v>250000</v>
      </c>
      <c r="F283" s="32"/>
      <c r="G283" s="31"/>
      <c r="H283" s="31">
        <f>IF(AND(H272&gt;A283, H272&lt;=E283),H272,0)</f>
        <v>0</v>
      </c>
      <c r="I283" s="31">
        <f>(12500/100*3)+(12500/100*4)+(25000/100*5)+(50000/100*7)+(50000/100*10)+(50000/100*14)+((18/100)*(-A283+H283))</f>
        <v>-18375</v>
      </c>
    </row>
    <row r="284" spans="1:14" hidden="1" x14ac:dyDescent="0.2">
      <c r="A284" s="31">
        <f t="shared" si="20"/>
        <v>250000</v>
      </c>
      <c r="B284" s="31"/>
      <c r="C284" s="31"/>
      <c r="D284" s="31"/>
      <c r="E284" s="31">
        <v>500000</v>
      </c>
      <c r="F284" s="32"/>
      <c r="G284" s="31"/>
      <c r="H284" s="31">
        <f>IF(AND(H272&gt;A284, H272&lt;=E284),H272,0)</f>
        <v>0</v>
      </c>
      <c r="I284" s="31">
        <f>(12500/100*3)+(12500/100*4)+(25000/100*5)+(50000/100*7)+(50000/100*10)+(50000/100*14)+(50000/100*18)+((24/100)*(-A284+H284))</f>
        <v>-33375</v>
      </c>
    </row>
    <row r="285" spans="1:14" hidden="1" x14ac:dyDescent="0.2">
      <c r="A285" s="31">
        <f t="shared" si="20"/>
        <v>500000</v>
      </c>
      <c r="B285" s="31"/>
      <c r="C285" s="31"/>
      <c r="D285" s="31"/>
      <c r="E285" s="31">
        <v>999999999</v>
      </c>
      <c r="F285" s="32"/>
      <c r="G285" s="31"/>
      <c r="H285" s="31">
        <f>IF(AND(H272&gt;A285, H272&lt;=E285),H272,0)</f>
        <v>0</v>
      </c>
      <c r="I285" s="31">
        <f>(12500/100*3)+(12500/100*4)+(25000/100*5)+(50000/100*7)+(50000/100*10)+(50000/100*14)+(50000/100*18)+(250000/100*24)+((30/100)*(-A285+H285))</f>
        <v>-63375</v>
      </c>
    </row>
    <row r="286" spans="1:14" hidden="1" x14ac:dyDescent="0.2">
      <c r="A286" s="45" t="s">
        <v>4</v>
      </c>
      <c r="B286" s="45"/>
      <c r="C286" s="45"/>
      <c r="D286" s="45"/>
      <c r="E286" s="31"/>
      <c r="F286" s="32"/>
      <c r="G286" s="31"/>
      <c r="H286" s="31"/>
      <c r="I286" s="31">
        <f>VLOOKUP(H272,H277:I285,2,FALSE)</f>
        <v>0</v>
      </c>
    </row>
    <row r="287" spans="1:14" hidden="1" x14ac:dyDescent="0.2">
      <c r="A287" s="45"/>
      <c r="B287" s="45"/>
      <c r="C287" s="45"/>
      <c r="D287" s="45"/>
      <c r="E287" s="31"/>
      <c r="F287" s="32"/>
      <c r="G287" s="31"/>
      <c r="H287" s="31"/>
      <c r="I287" s="31"/>
    </row>
    <row r="288" spans="1:14" hidden="1" x14ac:dyDescent="0.2">
      <c r="A288" s="46" t="s">
        <v>24</v>
      </c>
      <c r="B288" s="46"/>
      <c r="C288" s="46"/>
      <c r="D288" s="46"/>
      <c r="E288" s="31"/>
      <c r="F288" s="32"/>
      <c r="G288" s="31"/>
      <c r="H288" s="31"/>
      <c r="I288" s="44" t="s">
        <v>25</v>
      </c>
    </row>
    <row r="289" spans="1:9" hidden="1" x14ac:dyDescent="0.2">
      <c r="A289" s="31">
        <v>0</v>
      </c>
      <c r="B289" s="31"/>
      <c r="C289" s="31"/>
      <c r="D289" s="31"/>
      <c r="E289" s="31">
        <v>25000</v>
      </c>
      <c r="F289" s="32"/>
      <c r="G289" s="31"/>
      <c r="H289" s="31">
        <f>IF(AND(H272&gt;A289, H272&lt;=E289),H272,0)</f>
        <v>0</v>
      </c>
      <c r="I289" s="31">
        <f>0+(1/100)*(-A289+H289)</f>
        <v>0</v>
      </c>
    </row>
    <row r="290" spans="1:9" hidden="1" x14ac:dyDescent="0.2">
      <c r="A290" s="31">
        <f>E289</f>
        <v>25000</v>
      </c>
      <c r="B290" s="31"/>
      <c r="C290" s="31"/>
      <c r="D290" s="31"/>
      <c r="E290" s="31">
        <v>50000</v>
      </c>
      <c r="F290" s="32"/>
      <c r="G290" s="31"/>
      <c r="H290" s="31">
        <f>IF(AND(H272&gt;A290, H272&lt;=E290),H272,0)</f>
        <v>0</v>
      </c>
      <c r="I290" s="31">
        <f>(25000/100*1)+(2/100)*(-A290+H290)</f>
        <v>-250</v>
      </c>
    </row>
    <row r="291" spans="1:9" hidden="1" x14ac:dyDescent="0.2">
      <c r="A291" s="31">
        <f>E290</f>
        <v>50000</v>
      </c>
      <c r="B291" s="31"/>
      <c r="C291" s="31"/>
      <c r="D291" s="31"/>
      <c r="E291" s="31">
        <v>175000</v>
      </c>
      <c r="F291" s="32"/>
      <c r="G291" s="31"/>
      <c r="H291" s="31">
        <f>IF(AND(H272&gt;A291, H272&lt;=E291),H272,0)</f>
        <v>0</v>
      </c>
      <c r="I291" s="31">
        <f>(25000/100*1)+(25000/100*2)+((5/100)*(-A291+H291))</f>
        <v>-1750</v>
      </c>
    </row>
    <row r="292" spans="1:9" hidden="1" x14ac:dyDescent="0.2">
      <c r="A292" s="31">
        <f>E291</f>
        <v>175000</v>
      </c>
      <c r="B292" s="31"/>
      <c r="C292" s="31"/>
      <c r="D292" s="31"/>
      <c r="E292" s="31">
        <v>250000</v>
      </c>
      <c r="F292" s="32"/>
      <c r="G292" s="31"/>
      <c r="H292" s="31">
        <f>IF(AND(H272&gt;A292, H272&lt;=E292),H272,0)</f>
        <v>0</v>
      </c>
      <c r="I292" s="31">
        <f>(25000/100*1)+(25000/100*2)+(125000/100*5)+((12/100)*(-A292+H292))</f>
        <v>-14000</v>
      </c>
    </row>
    <row r="293" spans="1:9" hidden="1" x14ac:dyDescent="0.2">
      <c r="A293" s="31">
        <f>E292</f>
        <v>250000</v>
      </c>
      <c r="B293" s="31"/>
      <c r="C293" s="31"/>
      <c r="D293" s="31"/>
      <c r="E293" s="31">
        <v>500000</v>
      </c>
      <c r="F293" s="32"/>
      <c r="G293" s="31"/>
      <c r="H293" s="31">
        <f>IF(AND(H272&gt;A293, H272&lt;=E293),H272,0)</f>
        <v>0</v>
      </c>
      <c r="I293" s="31">
        <f>(25000/100*1)+(25000/100*2)+(125000/100*5)+(75000/100*12)+((24/100)*(-A293+H293))</f>
        <v>-44000</v>
      </c>
    </row>
    <row r="294" spans="1:9" hidden="1" x14ac:dyDescent="0.2">
      <c r="A294" s="31">
        <f>E293</f>
        <v>500000</v>
      </c>
      <c r="B294" s="31"/>
      <c r="C294" s="31"/>
      <c r="D294" s="31"/>
      <c r="E294" s="31">
        <v>999999999</v>
      </c>
      <c r="F294" s="32"/>
      <c r="G294" s="31"/>
      <c r="H294" s="31">
        <f>IF(AND(H272&gt;A294, H272&lt;=E294),H272,0)</f>
        <v>0</v>
      </c>
      <c r="I294" s="31">
        <f>(25000/100*1)+(25000/100*2)+(125000/100*5)+(75000/100*12)+(250000/100*24)+((30/100)*(-A294+H294))</f>
        <v>-74000</v>
      </c>
    </row>
    <row r="295" spans="1:9" hidden="1" x14ac:dyDescent="0.2">
      <c r="A295" s="45" t="s">
        <v>4</v>
      </c>
      <c r="B295" s="45"/>
      <c r="C295" s="45"/>
      <c r="D295" s="45"/>
      <c r="E295" s="31"/>
      <c r="F295" s="32"/>
      <c r="G295" s="31"/>
      <c r="H295" s="31"/>
      <c r="I295" s="31">
        <f>VLOOKUP(H272,H289:I294,2,FALSE)</f>
        <v>0</v>
      </c>
    </row>
    <row r="296" spans="1:9" hidden="1" x14ac:dyDescent="0.2">
      <c r="A296" s="45"/>
      <c r="B296" s="45"/>
      <c r="C296" s="45"/>
      <c r="D296" s="45"/>
      <c r="E296" s="31"/>
      <c r="F296" s="32"/>
      <c r="G296" s="31"/>
      <c r="H296" s="31"/>
      <c r="I296" s="31"/>
    </row>
    <row r="297" spans="1:9" hidden="1" x14ac:dyDescent="0.2">
      <c r="A297" s="43" t="s">
        <v>5</v>
      </c>
      <c r="B297" s="43"/>
      <c r="C297" s="43"/>
      <c r="D297" s="43"/>
      <c r="E297" s="31"/>
      <c r="F297" s="32"/>
      <c r="G297" s="31"/>
      <c r="H297" s="31"/>
      <c r="I297" s="44" t="s">
        <v>6</v>
      </c>
    </row>
    <row r="298" spans="1:9" hidden="1" x14ac:dyDescent="0.2">
      <c r="A298" s="31">
        <v>0</v>
      </c>
      <c r="B298" s="31"/>
      <c r="C298" s="31"/>
      <c r="D298" s="31"/>
      <c r="E298" s="31">
        <v>12500</v>
      </c>
      <c r="F298" s="32"/>
      <c r="G298" s="31"/>
      <c r="H298" s="31">
        <f>IF(AND(H272&gt;A298, H272&lt;=E298),H272,0)</f>
        <v>0</v>
      </c>
      <c r="I298" s="31">
        <f>0+(20/100)*(-A298+H298)</f>
        <v>0</v>
      </c>
    </row>
    <row r="299" spans="1:9" hidden="1" x14ac:dyDescent="0.2">
      <c r="A299" s="31">
        <f>E298</f>
        <v>12500</v>
      </c>
      <c r="B299" s="31"/>
      <c r="C299" s="31"/>
      <c r="D299" s="31"/>
      <c r="E299" s="31">
        <v>25000</v>
      </c>
      <c r="F299" s="32"/>
      <c r="G299" s="31"/>
      <c r="H299" s="31">
        <f>IF(AND(H272&gt;A299, H272&lt;=E299),H272,0)</f>
        <v>0</v>
      </c>
      <c r="I299" s="31">
        <f>(12500/100*20)+((25/100)*(-A299+H299))</f>
        <v>-625</v>
      </c>
    </row>
    <row r="300" spans="1:9" hidden="1" x14ac:dyDescent="0.2">
      <c r="A300" s="31">
        <f>E299</f>
        <v>25000</v>
      </c>
      <c r="B300" s="31"/>
      <c r="C300" s="31"/>
      <c r="D300" s="31"/>
      <c r="E300" s="31">
        <v>75000</v>
      </c>
      <c r="F300" s="32"/>
      <c r="G300" s="31"/>
      <c r="H300" s="31">
        <f>IF(AND(H272&gt;A300, H272&lt;=E300),H272,0)</f>
        <v>0</v>
      </c>
      <c r="I300" s="31">
        <f>(12500/100*20)+(12500/100*25)+((35/100)*(-A300+H300))</f>
        <v>-3125</v>
      </c>
    </row>
    <row r="301" spans="1:9" hidden="1" x14ac:dyDescent="0.2">
      <c r="A301" s="31">
        <f>E300</f>
        <v>75000</v>
      </c>
      <c r="B301" s="31"/>
      <c r="C301" s="31"/>
      <c r="D301" s="31"/>
      <c r="E301" s="31">
        <v>175000</v>
      </c>
      <c r="F301" s="32"/>
      <c r="G301" s="31"/>
      <c r="H301" s="31">
        <f>IF(AND(H272&gt;A301, H272&lt;=E301),H272,0)</f>
        <v>0</v>
      </c>
      <c r="I301" s="31">
        <f>(12500/100*20)+(12500/100*25)+(50000/100*35)+((50/100)*(-A301+H301))</f>
        <v>-14375</v>
      </c>
    </row>
    <row r="302" spans="1:9" hidden="1" x14ac:dyDescent="0.2">
      <c r="A302" s="31">
        <f>E301</f>
        <v>175000</v>
      </c>
      <c r="B302" s="31"/>
      <c r="C302" s="31"/>
      <c r="D302" s="31"/>
      <c r="E302" s="31">
        <v>999999999</v>
      </c>
      <c r="F302" s="32"/>
      <c r="G302" s="31"/>
      <c r="H302" s="31">
        <f>IF(AND(H272&gt;A302, H272&lt;=E302),H272,0)</f>
        <v>0</v>
      </c>
      <c r="I302" s="31">
        <f>(12500/100*20)+(12500/100*25)+(50000/100*35)+(100000/100*50)+((65/100)*(-A302+H302))</f>
        <v>-40625</v>
      </c>
    </row>
    <row r="303" spans="1:9" hidden="1" x14ac:dyDescent="0.2">
      <c r="A303" s="45" t="s">
        <v>4</v>
      </c>
      <c r="B303" s="45"/>
      <c r="C303" s="45"/>
      <c r="D303" s="45"/>
      <c r="E303" s="31"/>
      <c r="F303" s="32"/>
      <c r="G303" s="31"/>
      <c r="H303" s="31"/>
      <c r="I303" s="31">
        <f>VLOOKUP(H272,H298:I302,2,FALSE)</f>
        <v>0</v>
      </c>
    </row>
    <row r="304" spans="1:9" hidden="1" x14ac:dyDescent="0.2"/>
    <row r="305" spans="1:15" hidden="1" x14ac:dyDescent="0.2">
      <c r="E305" s="28">
        <f>E174</f>
        <v>0</v>
      </c>
      <c r="F305" s="29"/>
      <c r="G305" s="28"/>
      <c r="H305" s="28"/>
      <c r="I305" s="28"/>
    </row>
    <row r="306" spans="1:15" hidden="1" x14ac:dyDescent="0.2">
      <c r="E306" s="28"/>
      <c r="F306" s="29"/>
      <c r="G306" s="28"/>
      <c r="H306" s="28"/>
      <c r="I306" s="28"/>
      <c r="N306" s="31"/>
      <c r="O306" s="44" t="s">
        <v>8</v>
      </c>
    </row>
    <row r="307" spans="1:15" hidden="1" x14ac:dyDescent="0.2">
      <c r="E307" s="28"/>
      <c r="F307" s="29"/>
      <c r="G307" s="28"/>
      <c r="H307" s="28"/>
      <c r="I307" s="28"/>
      <c r="N307" s="31">
        <f>IF(AND(H272&gt;K309, H272&lt;=M309),H272,0)</f>
        <v>0</v>
      </c>
      <c r="O307" s="31">
        <f>0+(30/100)*(-K309+N307)</f>
        <v>0</v>
      </c>
    </row>
    <row r="308" spans="1:15" hidden="1" x14ac:dyDescent="0.2">
      <c r="A308" s="43" t="s">
        <v>22</v>
      </c>
      <c r="B308" s="43"/>
      <c r="C308" s="43"/>
      <c r="D308" s="43"/>
      <c r="E308" s="31"/>
      <c r="F308" s="32"/>
      <c r="G308" s="31"/>
      <c r="H308" s="31"/>
      <c r="I308" s="44" t="s">
        <v>7</v>
      </c>
      <c r="K308" s="43" t="s">
        <v>23</v>
      </c>
      <c r="L308" s="43"/>
      <c r="M308" s="31"/>
      <c r="N308" s="31">
        <f>IF(AND(H272&gt;K310, H272&lt;=M310),H272,0)</f>
        <v>0</v>
      </c>
      <c r="O308" s="31">
        <f>(12500/100*30)+((35/100)*(-K310+N308))</f>
        <v>-625</v>
      </c>
    </row>
    <row r="309" spans="1:15" hidden="1" x14ac:dyDescent="0.2">
      <c r="A309" s="31">
        <v>0</v>
      </c>
      <c r="B309" s="31"/>
      <c r="C309" s="31"/>
      <c r="D309" s="31"/>
      <c r="E309" s="31">
        <v>12500</v>
      </c>
      <c r="F309" s="32"/>
      <c r="G309" s="31"/>
      <c r="H309" s="31">
        <f>IF(AND(H272&gt;A309, H272&lt;=E309),H272,0)</f>
        <v>0</v>
      </c>
      <c r="I309" s="31">
        <f>0+(25/100)*(-A309+H309)</f>
        <v>0</v>
      </c>
      <c r="K309" s="31">
        <v>0</v>
      </c>
      <c r="L309" s="31"/>
      <c r="M309" s="31">
        <v>12500</v>
      </c>
      <c r="N309" s="31">
        <f>IF(AND(H272&gt;K311, H272&lt;=M311),H272,0)</f>
        <v>0</v>
      </c>
      <c r="O309" s="31">
        <f>(12500/100*30)+(12500/100*35)+((60/100)*(-K311+N309))</f>
        <v>-6875</v>
      </c>
    </row>
    <row r="310" spans="1:15" hidden="1" x14ac:dyDescent="0.2">
      <c r="A310" s="31">
        <f>E309</f>
        <v>12500</v>
      </c>
      <c r="B310" s="31"/>
      <c r="C310" s="31"/>
      <c r="D310" s="31"/>
      <c r="E310" s="31">
        <v>25000</v>
      </c>
      <c r="F310" s="32"/>
      <c r="G310" s="31"/>
      <c r="H310" s="31">
        <f>IF(AND(H272&gt;A310, H272&lt;=E310),H272,0)</f>
        <v>0</v>
      </c>
      <c r="I310" s="31">
        <f>(12500/100*25)+((30/100)*(-A310+H310))</f>
        <v>-625</v>
      </c>
      <c r="K310" s="31">
        <f>M309</f>
        <v>12500</v>
      </c>
      <c r="L310" s="31"/>
      <c r="M310" s="31">
        <v>25000</v>
      </c>
      <c r="N310" s="31">
        <f>IF(AND(H272&gt;K312, H272&lt;=M312),H272,0)</f>
        <v>0</v>
      </c>
      <c r="O310" s="31">
        <f>(12500/100*30)+(12500/100*35)+(50000/100*60)+((80/100)*(-K312+N310))</f>
        <v>-21875</v>
      </c>
    </row>
    <row r="311" spans="1:15" hidden="1" x14ac:dyDescent="0.2">
      <c r="A311" s="31">
        <f>E310</f>
        <v>25000</v>
      </c>
      <c r="B311" s="31"/>
      <c r="C311" s="31"/>
      <c r="D311" s="31"/>
      <c r="E311" s="31">
        <v>75000</v>
      </c>
      <c r="F311" s="32"/>
      <c r="G311" s="31"/>
      <c r="H311" s="31">
        <f>IF(AND(H272&gt;A311, H272&lt;=E311),H272,0)</f>
        <v>0</v>
      </c>
      <c r="I311" s="31">
        <f>(12500/100*25)+(12500/100*30)+((40/100)*(-A311+H311))</f>
        <v>-3125</v>
      </c>
      <c r="K311" s="31">
        <f>M310</f>
        <v>25000</v>
      </c>
      <c r="L311" s="31"/>
      <c r="M311" s="31">
        <v>75000</v>
      </c>
      <c r="N311" s="31">
        <f>IF(AND(H272&gt;K313, H272&lt;=M313),H272,0)</f>
        <v>0</v>
      </c>
      <c r="O311" s="31">
        <f>(12500/100*30)+(12500/100*35)+(50000/100*60)+(100000/100*80)+((80/100)*(-K313+N311))</f>
        <v>-21875</v>
      </c>
    </row>
    <row r="312" spans="1:15" hidden="1" x14ac:dyDescent="0.2">
      <c r="A312" s="31">
        <f>E311</f>
        <v>75000</v>
      </c>
      <c r="B312" s="31"/>
      <c r="C312" s="31"/>
      <c r="D312" s="31"/>
      <c r="E312" s="31">
        <v>175000</v>
      </c>
      <c r="F312" s="32"/>
      <c r="G312" s="31"/>
      <c r="H312" s="31">
        <f>IF(AND(H272&gt;A312, H272&lt;=E312),H272,0)</f>
        <v>0</v>
      </c>
      <c r="I312" s="31">
        <f>(12500/100*25)+(12500/100*30)+(50000/100*40)+((55/100)*(-A312+H312))</f>
        <v>-14375</v>
      </c>
      <c r="K312" s="31">
        <f>M311</f>
        <v>75000</v>
      </c>
      <c r="L312" s="31"/>
      <c r="M312" s="31">
        <v>175000</v>
      </c>
      <c r="N312" s="31"/>
      <c r="O312" s="31">
        <f>VLOOKUP(H272,N307:O311,2,FALSE)</f>
        <v>0</v>
      </c>
    </row>
    <row r="313" spans="1:15" hidden="1" x14ac:dyDescent="0.2">
      <c r="A313" s="31">
        <f>E312</f>
        <v>175000</v>
      </c>
      <c r="B313" s="31"/>
      <c r="C313" s="31"/>
      <c r="D313" s="31"/>
      <c r="E313" s="31">
        <v>999999999</v>
      </c>
      <c r="F313" s="32"/>
      <c r="G313" s="31"/>
      <c r="H313" s="31">
        <f>IF(AND(H272&gt;A313, H272&lt;=E313),H272,0)</f>
        <v>0</v>
      </c>
      <c r="I313" s="31">
        <f>(12500/100*25)+(12500/100*30)+(50000/100*40)+(100000/100*55)+((70/100)*(-A313+H313))</f>
        <v>-40624.999999999985</v>
      </c>
      <c r="K313" s="31">
        <f>M312</f>
        <v>175000</v>
      </c>
      <c r="L313" s="31"/>
      <c r="M313" s="31">
        <v>999999999</v>
      </c>
    </row>
    <row r="314" spans="1:15" hidden="1" x14ac:dyDescent="0.2">
      <c r="A314" s="45" t="s">
        <v>4</v>
      </c>
      <c r="B314" s="45"/>
      <c r="C314" s="45"/>
      <c r="D314" s="45"/>
      <c r="E314" s="31"/>
      <c r="F314" s="32"/>
      <c r="G314" s="31"/>
      <c r="H314" s="31"/>
      <c r="I314" s="31">
        <f>VLOOKUP(H272,H309:I313,2,FALSE)</f>
        <v>0</v>
      </c>
      <c r="K314" s="45" t="s">
        <v>4</v>
      </c>
      <c r="L314" s="45"/>
      <c r="M314" s="31"/>
    </row>
    <row r="315" spans="1:15" hidden="1" x14ac:dyDescent="0.2"/>
    <row r="316" spans="1:15" hidden="1" x14ac:dyDescent="0.2">
      <c r="E316" s="5">
        <f>IF(A317&gt;0,A317-F321,0)</f>
        <v>0</v>
      </c>
    </row>
    <row r="317" spans="1:15" hidden="1" x14ac:dyDescent="0.2">
      <c r="A317" s="5">
        <f>IF(AND(E17="oui",F22="ligne directe"),I295,0)</f>
        <v>0</v>
      </c>
      <c r="E317" s="5">
        <f>IF(E316&gt;0,E316,0)</f>
        <v>0</v>
      </c>
      <c r="F317" s="5">
        <f>IF(AND(F22="ligne directe",H272&lt;=125000,E17="oui"),250,0)</f>
        <v>0</v>
      </c>
      <c r="G317" s="5">
        <f>IF(AND(F317&gt;0,(I295-F317&gt;=0)),I295-F317,0)</f>
        <v>0</v>
      </c>
    </row>
    <row r="318" spans="1:15" hidden="1" x14ac:dyDescent="0.2">
      <c r="A318" s="5">
        <f>IF(AND(E17="oui",F22="épou(x)(se)"),I295,0)</f>
        <v>0</v>
      </c>
      <c r="E318" s="5">
        <f>IF(A318&gt;0,A318-F321,0)</f>
        <v>0</v>
      </c>
      <c r="F318" s="5">
        <f>IF(AND(F22="ligne directe",H272&gt;125000,E17="oui"),125,0)</f>
        <v>0</v>
      </c>
      <c r="G318" s="5">
        <f>IF(AND(F318&gt;0,(I295-F318&gt;=0)),I295-F318,0)</f>
        <v>0</v>
      </c>
    </row>
    <row r="319" spans="1:15" hidden="1" x14ac:dyDescent="0.2">
      <c r="A319" s="5">
        <f>IF(AND(E17="non",F22="ligne directe"),I286,0)</f>
        <v>0</v>
      </c>
      <c r="E319" s="5">
        <f>IF(AND(E17="non",F22="ligne directe"),I286,0)</f>
        <v>0</v>
      </c>
      <c r="F319" s="5">
        <f>IF(AND(F22="épou(x)(se)",H272&lt;=125000,E17="oui"),250,0)</f>
        <v>0</v>
      </c>
      <c r="G319" s="5">
        <f>IF(AND(F319&gt;0,(I295-F319&gt;=0)),I295-F319,0)</f>
        <v>0</v>
      </c>
    </row>
    <row r="320" spans="1:15" hidden="1" x14ac:dyDescent="0.2">
      <c r="A320" s="5">
        <f>IF(AND(E17="non",F22="épou(x)(se)"),I286,0)</f>
        <v>0</v>
      </c>
      <c r="E320" s="5">
        <f>IF(AND(E17="non",F22="épou(x)(se)"),I286,0)</f>
        <v>0</v>
      </c>
      <c r="F320" s="5">
        <f>IF(AND(F22="épou(x)(se)",H272&gt;125000,E17="oui"),125,0)</f>
        <v>0</v>
      </c>
      <c r="G320" s="5">
        <f>IF(AND(F320&gt;0,(I295-F320&gt;=0)),I295-F320,0)</f>
        <v>0</v>
      </c>
    </row>
    <row r="321" spans="1:11" hidden="1" x14ac:dyDescent="0.2">
      <c r="A321" s="5">
        <f>IF(F22="frère/soeur",I303,0)</f>
        <v>0</v>
      </c>
      <c r="E321" s="5">
        <f>IF(F22="frère/soeur",I303,0)</f>
        <v>0</v>
      </c>
      <c r="F321" s="5">
        <f>SUM(F317:F320)</f>
        <v>0</v>
      </c>
      <c r="G321" s="5">
        <f>SUM(G317:G320)</f>
        <v>0</v>
      </c>
    </row>
    <row r="322" spans="1:11" hidden="1" x14ac:dyDescent="0.2">
      <c r="A322" s="5">
        <f>IF(F22="oncle-tante/neveu-nièce",I314,0)</f>
        <v>0</v>
      </c>
      <c r="E322" s="5">
        <f>IF(F22="oncle-tante/neveu-nièce",I314,0)</f>
        <v>0</v>
      </c>
      <c r="F322" s="5"/>
    </row>
    <row r="323" spans="1:11" hidden="1" x14ac:dyDescent="0.2">
      <c r="A323" s="5">
        <f>IF(F22="étrangers",O312,0)</f>
        <v>0</v>
      </c>
      <c r="E323" s="5">
        <f>IF(F22="étrangers",O312,0)</f>
        <v>0</v>
      </c>
      <c r="F323" s="5"/>
    </row>
    <row r="324" spans="1:11" hidden="1" x14ac:dyDescent="0.2">
      <c r="F324" s="5"/>
    </row>
    <row r="325" spans="1:11" hidden="1" x14ac:dyDescent="0.2">
      <c r="A325" s="5">
        <f>SUM(A317:A324)</f>
        <v>0</v>
      </c>
      <c r="E325" s="5">
        <f>SUM(E317:E324)</f>
        <v>0</v>
      </c>
      <c r="F325" s="5"/>
    </row>
    <row r="326" spans="1:11" hidden="1" x14ac:dyDescent="0.2">
      <c r="F326" s="5"/>
    </row>
    <row r="327" spans="1:11" hidden="1" x14ac:dyDescent="0.2">
      <c r="F327" s="5"/>
    </row>
    <row r="328" spans="1:11" hidden="1" x14ac:dyDescent="0.2">
      <c r="A328" s="5" t="s">
        <v>93</v>
      </c>
      <c r="E328" s="5" t="s">
        <v>100</v>
      </c>
      <c r="F328" s="5"/>
    </row>
    <row r="329" spans="1:11" hidden="1" x14ac:dyDescent="0.2">
      <c r="F329" s="5"/>
    </row>
    <row r="330" spans="1:11" hidden="1" x14ac:dyDescent="0.2">
      <c r="A330" s="5" t="s">
        <v>93</v>
      </c>
      <c r="E330" s="5">
        <f>IF(I22=3,E325*12%,0)</f>
        <v>0</v>
      </c>
      <c r="F330" s="5">
        <f>IF(E330&gt;372,372,E330)</f>
        <v>0</v>
      </c>
      <c r="H330" s="5" t="s">
        <v>26</v>
      </c>
      <c r="I330" s="5">
        <f>6%*E325</f>
        <v>0</v>
      </c>
      <c r="J330" s="5">
        <f>IF(I330&gt;186,186,I330)</f>
        <v>0</v>
      </c>
      <c r="K330" s="5">
        <f>IF(I22=3,J330,0)</f>
        <v>0</v>
      </c>
    </row>
    <row r="331" spans="1:11" hidden="1" x14ac:dyDescent="0.2">
      <c r="E331" s="5">
        <f>IF(I22=4,E325*16%,0)</f>
        <v>0</v>
      </c>
      <c r="F331" s="5">
        <f>IF(E331&gt;496,496,E331)</f>
        <v>0</v>
      </c>
      <c r="H331" s="5" t="s">
        <v>27</v>
      </c>
      <c r="I331" s="5">
        <f>8%*E325</f>
        <v>0</v>
      </c>
      <c r="J331" s="5">
        <f>IF(I331&gt;248,248,I331)</f>
        <v>0</v>
      </c>
      <c r="K331" s="5">
        <f>IF(I22=4,J331,0)</f>
        <v>0</v>
      </c>
    </row>
    <row r="332" spans="1:11" hidden="1" x14ac:dyDescent="0.2">
      <c r="E332" s="5">
        <f>IF(I22=5,E325*20%,0)</f>
        <v>0</v>
      </c>
      <c r="F332" s="5">
        <f>IF(E332&gt;620,620,E332)</f>
        <v>0</v>
      </c>
      <c r="I332" s="5">
        <f>10%*E325</f>
        <v>0</v>
      </c>
      <c r="J332" s="5">
        <f>IF(I332&gt;310,310,I332)</f>
        <v>0</v>
      </c>
      <c r="K332" s="5">
        <f>IF(I22=5,J332,0)</f>
        <v>0</v>
      </c>
    </row>
    <row r="333" spans="1:11" hidden="1" x14ac:dyDescent="0.2">
      <c r="E333" s="5">
        <f>IF(I22=6,E325*24%,0)</f>
        <v>0</v>
      </c>
      <c r="F333" s="5">
        <f>IF(E333&gt;744,744,E333)</f>
        <v>0</v>
      </c>
      <c r="I333" s="5">
        <f>12%*E325</f>
        <v>0</v>
      </c>
      <c r="J333" s="5">
        <f>IF(I333&gt;372,372,I333)</f>
        <v>0</v>
      </c>
      <c r="K333" s="5">
        <f>IF(I22=6,J333,0)</f>
        <v>0</v>
      </c>
    </row>
    <row r="334" spans="1:11" hidden="1" x14ac:dyDescent="0.2">
      <c r="E334" s="5">
        <f>IF(I22=7,E325*28%,0)</f>
        <v>0</v>
      </c>
      <c r="F334" s="5">
        <f>IF(E334&gt;868,868,E334)</f>
        <v>0</v>
      </c>
      <c r="I334" s="5">
        <f>14%*E325</f>
        <v>0</v>
      </c>
      <c r="J334" s="5">
        <f>IF(I334&gt;434,434,I334)</f>
        <v>0</v>
      </c>
      <c r="K334" s="5">
        <f>IF(I22=7,J334,0)</f>
        <v>0</v>
      </c>
    </row>
    <row r="335" spans="1:11" hidden="1" x14ac:dyDescent="0.2">
      <c r="E335" s="5">
        <f>IF(I22=8,E325*32%,0)</f>
        <v>0</v>
      </c>
      <c r="F335" s="5">
        <f>IF(E335&gt;992,992,E335)</f>
        <v>0</v>
      </c>
      <c r="I335" s="5">
        <f>16%*E325</f>
        <v>0</v>
      </c>
      <c r="J335" s="5">
        <f>IF(I335&gt;496,496,I335)</f>
        <v>0</v>
      </c>
      <c r="K335" s="5">
        <f>IF(I22=8,J335,0)</f>
        <v>0</v>
      </c>
    </row>
    <row r="336" spans="1:11" hidden="1" x14ac:dyDescent="0.2">
      <c r="E336" s="5">
        <f>IF(I22=9,E325*36%,0)</f>
        <v>0</v>
      </c>
      <c r="F336" s="5">
        <f>IF(E336&gt;1116,1116,E336)</f>
        <v>0</v>
      </c>
      <c r="I336" s="5">
        <f>18%*E325</f>
        <v>0</v>
      </c>
      <c r="J336" s="5">
        <f>IF(I336&gt;558,558,I336)</f>
        <v>0</v>
      </c>
      <c r="K336" s="5">
        <f>IF(I22=9,J336,0)</f>
        <v>0</v>
      </c>
    </row>
    <row r="337" spans="1:11" hidden="1" x14ac:dyDescent="0.2">
      <c r="E337" s="5">
        <f>IF(I22=10,E325*40%,0)</f>
        <v>0</v>
      </c>
      <c r="F337" s="5">
        <f>IF(E337&gt;1240,1240,E337)</f>
        <v>0</v>
      </c>
      <c r="I337" s="5">
        <f>20%*E325</f>
        <v>0</v>
      </c>
      <c r="J337" s="5">
        <f>IF(I337&gt;620,620,I337)</f>
        <v>0</v>
      </c>
      <c r="K337" s="5">
        <f>IF(I22=10,J337,0)</f>
        <v>0</v>
      </c>
    </row>
    <row r="338" spans="1:11" hidden="1" x14ac:dyDescent="0.2">
      <c r="F338" s="5"/>
    </row>
    <row r="339" spans="1:11" hidden="1" x14ac:dyDescent="0.2">
      <c r="F339" s="5">
        <f>SUM(F330:F338)</f>
        <v>0</v>
      </c>
      <c r="K339" s="5">
        <f>SUM(K330:K338)</f>
        <v>0</v>
      </c>
    </row>
    <row r="340" spans="1:11" hidden="1" x14ac:dyDescent="0.2"/>
    <row r="341" spans="1:11" hidden="1" x14ac:dyDescent="0.2"/>
    <row r="342" spans="1:11" hidden="1" x14ac:dyDescent="0.2"/>
    <row r="343" spans="1:11" hidden="1" x14ac:dyDescent="0.2">
      <c r="A343" s="5" t="s">
        <v>33</v>
      </c>
      <c r="E343" s="20">
        <f>E325-F339</f>
        <v>0</v>
      </c>
      <c r="G343" s="5" t="s">
        <v>34</v>
      </c>
      <c r="H343" s="47">
        <f>E325-K339</f>
        <v>0</v>
      </c>
    </row>
    <row r="344" spans="1:11" hidden="1" x14ac:dyDescent="0.2"/>
    <row r="345" spans="1:11" hidden="1" x14ac:dyDescent="0.2"/>
    <row r="346" spans="1:11" hidden="1" x14ac:dyDescent="0.2"/>
    <row r="347" spans="1:11" hidden="1" x14ac:dyDescent="0.2"/>
    <row r="348" spans="1:11" hidden="1" x14ac:dyDescent="0.2"/>
    <row r="349" spans="1:11" hidden="1" x14ac:dyDescent="0.2"/>
    <row r="350" spans="1:11" hidden="1" x14ac:dyDescent="0.2"/>
    <row r="351" spans="1:11" hidden="1" x14ac:dyDescent="0.2"/>
    <row r="352" spans="1:11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spans="1:9" hidden="1" x14ac:dyDescent="0.2"/>
    <row r="370" spans="1:9" hidden="1" x14ac:dyDescent="0.2"/>
    <row r="371" spans="1:9" hidden="1" x14ac:dyDescent="0.2"/>
    <row r="372" spans="1:9" hidden="1" x14ac:dyDescent="0.2"/>
    <row r="373" spans="1:9" hidden="1" x14ac:dyDescent="0.2"/>
    <row r="374" spans="1:9" hidden="1" x14ac:dyDescent="0.2">
      <c r="H374" s="5">
        <f>E181</f>
        <v>0</v>
      </c>
    </row>
    <row r="375" spans="1:9" hidden="1" x14ac:dyDescent="0.2"/>
    <row r="376" spans="1:9" hidden="1" x14ac:dyDescent="0.2">
      <c r="A376" s="43" t="s">
        <v>2</v>
      </c>
      <c r="B376" s="43"/>
      <c r="C376" s="43"/>
      <c r="D376" s="43"/>
      <c r="E376" s="31"/>
      <c r="F376" s="32"/>
      <c r="G376" s="31"/>
      <c r="H376" s="31"/>
      <c r="I376" s="44" t="s">
        <v>3</v>
      </c>
    </row>
    <row r="377" spans="1:9" hidden="1" x14ac:dyDescent="0.2">
      <c r="A377" s="31">
        <v>0</v>
      </c>
      <c r="B377" s="31"/>
      <c r="C377" s="31"/>
      <c r="D377" s="31"/>
      <c r="E377" s="31">
        <v>12500</v>
      </c>
      <c r="F377" s="32"/>
      <c r="G377" s="31"/>
      <c r="H377" s="31">
        <f>IF(AND(H374&gt;A377,H374&lt;=E377),H374,0)</f>
        <v>0</v>
      </c>
      <c r="I377" s="31">
        <f>0+(3/100)*(-A377+H377)</f>
        <v>0</v>
      </c>
    </row>
    <row r="378" spans="1:9" hidden="1" x14ac:dyDescent="0.2">
      <c r="A378" s="31">
        <f t="shared" ref="A378:A385" si="21">E377</f>
        <v>12500</v>
      </c>
      <c r="B378" s="31"/>
      <c r="C378" s="31"/>
      <c r="D378" s="31"/>
      <c r="E378" s="31">
        <v>25000</v>
      </c>
      <c r="F378" s="32"/>
      <c r="G378" s="31"/>
      <c r="H378" s="31">
        <f>IF(AND(H374&gt;A378, H374&lt;=E378),H374,0)</f>
        <v>0</v>
      </c>
      <c r="I378" s="31">
        <f>(12500/100*3)+(4/100)*(-A378+H378)</f>
        <v>-125</v>
      </c>
    </row>
    <row r="379" spans="1:9" hidden="1" x14ac:dyDescent="0.2">
      <c r="A379" s="31">
        <f t="shared" si="21"/>
        <v>25000</v>
      </c>
      <c r="B379" s="31"/>
      <c r="C379" s="31"/>
      <c r="D379" s="31"/>
      <c r="E379" s="31">
        <v>50000</v>
      </c>
      <c r="F379" s="32"/>
      <c r="G379" s="31"/>
      <c r="H379" s="31">
        <f>IF(AND(H374&gt;A379, H374&lt;=E379),H374,0)</f>
        <v>0</v>
      </c>
      <c r="I379" s="31">
        <f>(12500/100*3)+(12500/100*4)+((5/100)*(-A379+H379))</f>
        <v>-375</v>
      </c>
    </row>
    <row r="380" spans="1:9" hidden="1" x14ac:dyDescent="0.2">
      <c r="A380" s="31">
        <f t="shared" si="21"/>
        <v>50000</v>
      </c>
      <c r="B380" s="31"/>
      <c r="C380" s="31"/>
      <c r="D380" s="31"/>
      <c r="E380" s="31">
        <v>100000</v>
      </c>
      <c r="F380" s="32"/>
      <c r="G380" s="31"/>
      <c r="H380" s="31">
        <f>IF(AND(H374&gt;A380, H374&lt;=E380),H374,0)</f>
        <v>0</v>
      </c>
      <c r="I380" s="31">
        <f>(12500/100*3)+(12500/100*4)+(25000/100*5)+((7/100)*(-A380+H380))</f>
        <v>-1375.0000000000005</v>
      </c>
    </row>
    <row r="381" spans="1:9" hidden="1" x14ac:dyDescent="0.2">
      <c r="A381" s="31">
        <f t="shared" si="21"/>
        <v>100000</v>
      </c>
      <c r="B381" s="31"/>
      <c r="C381" s="31"/>
      <c r="D381" s="31"/>
      <c r="E381" s="31">
        <v>150000</v>
      </c>
      <c r="F381" s="32"/>
      <c r="G381" s="31"/>
      <c r="H381" s="31">
        <f>IF(AND(H374&gt;A381, H374&lt;=E381),H374,0)</f>
        <v>0</v>
      </c>
      <c r="I381" s="31">
        <f>(12500/100*3)+(12500/100*4)+(25000/100*5)+(50000/100*7)+((10/100)*(-A381+H381))</f>
        <v>-4375</v>
      </c>
    </row>
    <row r="382" spans="1:9" hidden="1" x14ac:dyDescent="0.2">
      <c r="A382" s="31">
        <f t="shared" si="21"/>
        <v>150000</v>
      </c>
      <c r="B382" s="31"/>
      <c r="C382" s="31"/>
      <c r="D382" s="31"/>
      <c r="E382" s="31">
        <v>200000</v>
      </c>
      <c r="F382" s="32"/>
      <c r="G382" s="31"/>
      <c r="H382" s="31">
        <f>IF(AND(H374&gt;A382, H374&lt;=E382),H374,0)</f>
        <v>0</v>
      </c>
      <c r="I382" s="31">
        <f>(12500/100*3)+(12500/100*4)+(25000/100*5)+(50000/100*7)+(50000/100*10)+((14/100)*(-A382+H382))</f>
        <v>-10375.000000000004</v>
      </c>
    </row>
    <row r="383" spans="1:9" hidden="1" x14ac:dyDescent="0.2">
      <c r="A383" s="31">
        <f t="shared" si="21"/>
        <v>200000</v>
      </c>
      <c r="B383" s="31"/>
      <c r="C383" s="31"/>
      <c r="D383" s="31"/>
      <c r="E383" s="31">
        <v>250000</v>
      </c>
      <c r="F383" s="32"/>
      <c r="G383" s="31"/>
      <c r="H383" s="31">
        <f>IF(AND(H374&gt;A383, H374&lt;=E383),H374,0)</f>
        <v>0</v>
      </c>
      <c r="I383" s="31">
        <f>(12500/100*3)+(12500/100*4)+(25000/100*5)+(50000/100*7)+(50000/100*10)+(50000/100*14)+((18/100)*(-A383+H383))</f>
        <v>-18375</v>
      </c>
    </row>
    <row r="384" spans="1:9" hidden="1" x14ac:dyDescent="0.2">
      <c r="A384" s="31">
        <f t="shared" si="21"/>
        <v>250000</v>
      </c>
      <c r="B384" s="31"/>
      <c r="C384" s="31"/>
      <c r="D384" s="31"/>
      <c r="E384" s="31">
        <v>500000</v>
      </c>
      <c r="F384" s="32"/>
      <c r="G384" s="31"/>
      <c r="H384" s="31">
        <f>IF(AND(H374&gt;A384, H374&lt;=E384),H374,0)</f>
        <v>0</v>
      </c>
      <c r="I384" s="31">
        <f>(12500/100*3)+(12500/100*4)+(25000/100*5)+(50000/100*7)+(50000/100*10)+(50000/100*14)+(50000/100*18)+((24/100)*(-A384+H384))</f>
        <v>-33375</v>
      </c>
    </row>
    <row r="385" spans="1:9" hidden="1" x14ac:dyDescent="0.2">
      <c r="A385" s="31">
        <f t="shared" si="21"/>
        <v>500000</v>
      </c>
      <c r="B385" s="31"/>
      <c r="C385" s="31"/>
      <c r="D385" s="31"/>
      <c r="E385" s="31">
        <v>999999999</v>
      </c>
      <c r="F385" s="32"/>
      <c r="G385" s="31"/>
      <c r="H385" s="31">
        <f>IF(AND(H374&gt;A385, H374&lt;=E385),H374,0)</f>
        <v>0</v>
      </c>
      <c r="I385" s="31">
        <f>(12500/100*3)+(12500/100*4)+(25000/100*5)+(50000/100*7)+(50000/100*10)+(50000/100*14)+(50000/100*18)+(250000/100*24)+((30/100)*(-A385+H385))</f>
        <v>-63375</v>
      </c>
    </row>
    <row r="386" spans="1:9" hidden="1" x14ac:dyDescent="0.2">
      <c r="A386" s="45" t="s">
        <v>4</v>
      </c>
      <c r="B386" s="45"/>
      <c r="C386" s="45"/>
      <c r="D386" s="45"/>
      <c r="E386" s="31"/>
      <c r="F386" s="32"/>
      <c r="G386" s="31"/>
      <c r="H386" s="31"/>
      <c r="I386" s="31">
        <f>VLOOKUP(H374,H377:I385,2,FALSE)</f>
        <v>0</v>
      </c>
    </row>
    <row r="387" spans="1:9" hidden="1" x14ac:dyDescent="0.2">
      <c r="A387" s="45"/>
      <c r="B387" s="45"/>
      <c r="C387" s="45"/>
      <c r="D387" s="45"/>
      <c r="E387" s="31"/>
      <c r="F387" s="32"/>
      <c r="G387" s="31"/>
      <c r="H387" s="31"/>
      <c r="I387" s="31"/>
    </row>
    <row r="388" spans="1:9" hidden="1" x14ac:dyDescent="0.2">
      <c r="A388" s="46" t="s">
        <v>24</v>
      </c>
      <c r="B388" s="46"/>
      <c r="C388" s="46"/>
      <c r="D388" s="46"/>
      <c r="E388" s="31"/>
      <c r="F388" s="32"/>
      <c r="G388" s="31"/>
      <c r="H388" s="31"/>
      <c r="I388" s="44" t="s">
        <v>25</v>
      </c>
    </row>
    <row r="389" spans="1:9" hidden="1" x14ac:dyDescent="0.2">
      <c r="A389" s="31">
        <v>0</v>
      </c>
      <c r="B389" s="31"/>
      <c r="C389" s="31"/>
      <c r="D389" s="31"/>
      <c r="E389" s="31">
        <v>25000</v>
      </c>
      <c r="F389" s="32"/>
      <c r="G389" s="31"/>
      <c r="H389" s="31">
        <f>IF(AND(H374&gt;A389, H374&lt;=E389),H374,0)</f>
        <v>0</v>
      </c>
      <c r="I389" s="31">
        <f>0+(1/100)*(-A389+H389)</f>
        <v>0</v>
      </c>
    </row>
    <row r="390" spans="1:9" hidden="1" x14ac:dyDescent="0.2">
      <c r="A390" s="31">
        <f>E389</f>
        <v>25000</v>
      </c>
      <c r="B390" s="31"/>
      <c r="C390" s="31"/>
      <c r="D390" s="31"/>
      <c r="E390" s="31">
        <v>50000</v>
      </c>
      <c r="F390" s="32"/>
      <c r="G390" s="31"/>
      <c r="H390" s="31">
        <f>IF(AND(H374&gt;A390, H374&lt;=E390),H374,0)</f>
        <v>0</v>
      </c>
      <c r="I390" s="31">
        <f>(25000/100*1)+(2/100)*(-A390+H390)</f>
        <v>-250</v>
      </c>
    </row>
    <row r="391" spans="1:9" hidden="1" x14ac:dyDescent="0.2">
      <c r="A391" s="31">
        <f>E390</f>
        <v>50000</v>
      </c>
      <c r="B391" s="31"/>
      <c r="C391" s="31"/>
      <c r="D391" s="31"/>
      <c r="E391" s="31">
        <v>175000</v>
      </c>
      <c r="F391" s="32"/>
      <c r="G391" s="31"/>
      <c r="H391" s="31">
        <f>IF(AND(H374&gt;A391, H374&lt;=E391),H374,0)</f>
        <v>0</v>
      </c>
      <c r="I391" s="31">
        <f>(25000/100*1)+(25000/100*2)+((5/100)*(-A391+H391))</f>
        <v>-1750</v>
      </c>
    </row>
    <row r="392" spans="1:9" hidden="1" x14ac:dyDescent="0.2">
      <c r="A392" s="31">
        <f>E391</f>
        <v>175000</v>
      </c>
      <c r="B392" s="31"/>
      <c r="C392" s="31"/>
      <c r="D392" s="31"/>
      <c r="E392" s="31">
        <v>250000</v>
      </c>
      <c r="F392" s="32"/>
      <c r="G392" s="31"/>
      <c r="H392" s="31">
        <f>IF(AND(H374&gt;A392, H374&lt;=E392),H374,0)</f>
        <v>0</v>
      </c>
      <c r="I392" s="31">
        <f>(25000/100*1)+(25000/100*2)+(125000/100*5)+((12/100)*(-A392+H392))</f>
        <v>-14000</v>
      </c>
    </row>
    <row r="393" spans="1:9" hidden="1" x14ac:dyDescent="0.2">
      <c r="A393" s="31">
        <f>E392</f>
        <v>250000</v>
      </c>
      <c r="B393" s="31"/>
      <c r="C393" s="31"/>
      <c r="D393" s="31"/>
      <c r="E393" s="31">
        <v>500000</v>
      </c>
      <c r="F393" s="32"/>
      <c r="G393" s="31"/>
      <c r="H393" s="31">
        <f>IF(AND(H374&gt;A393, H374&lt;=E393),H374,0)</f>
        <v>0</v>
      </c>
      <c r="I393" s="31">
        <f>(25000/100*1)+(25000/100*2)+(125000/100*5)+(75000/100*12)+((24/100)*(-A393+H393))</f>
        <v>-44000</v>
      </c>
    </row>
    <row r="394" spans="1:9" hidden="1" x14ac:dyDescent="0.2">
      <c r="A394" s="31">
        <f>E393</f>
        <v>500000</v>
      </c>
      <c r="B394" s="31"/>
      <c r="C394" s="31"/>
      <c r="D394" s="31"/>
      <c r="E394" s="31">
        <v>999999999</v>
      </c>
      <c r="F394" s="32"/>
      <c r="G394" s="31"/>
      <c r="H394" s="31">
        <f>IF(AND(H374&gt;A394, H374&lt;=E394),H374,0)</f>
        <v>0</v>
      </c>
      <c r="I394" s="31">
        <f>(25000/100*1)+(25000/100*2)+(125000/100*5)+(75000/100*12)+(250000/100*24)+((30/100)*(-A394+H394))</f>
        <v>-74000</v>
      </c>
    </row>
    <row r="395" spans="1:9" hidden="1" x14ac:dyDescent="0.2">
      <c r="A395" s="45" t="s">
        <v>4</v>
      </c>
      <c r="B395" s="45"/>
      <c r="C395" s="45"/>
      <c r="D395" s="45"/>
      <c r="E395" s="31"/>
      <c r="F395" s="32"/>
      <c r="G395" s="31"/>
      <c r="H395" s="31"/>
      <c r="I395" s="31">
        <f>VLOOKUP(H374,H389:I394,2,FALSE)</f>
        <v>0</v>
      </c>
    </row>
    <row r="396" spans="1:9" hidden="1" x14ac:dyDescent="0.2">
      <c r="A396" s="45"/>
      <c r="B396" s="45"/>
      <c r="C396" s="45"/>
      <c r="D396" s="45"/>
      <c r="E396" s="31"/>
      <c r="F396" s="32"/>
      <c r="G396" s="31"/>
      <c r="H396" s="31"/>
      <c r="I396" s="31"/>
    </row>
    <row r="397" spans="1:9" hidden="1" x14ac:dyDescent="0.2">
      <c r="A397" s="43" t="s">
        <v>5</v>
      </c>
      <c r="B397" s="43"/>
      <c r="C397" s="43"/>
      <c r="D397" s="43"/>
      <c r="E397" s="31"/>
      <c r="F397" s="32"/>
      <c r="G397" s="31"/>
      <c r="H397" s="31"/>
      <c r="I397" s="44" t="s">
        <v>6</v>
      </c>
    </row>
    <row r="398" spans="1:9" hidden="1" x14ac:dyDescent="0.2">
      <c r="A398" s="31">
        <v>0</v>
      </c>
      <c r="B398" s="31"/>
      <c r="C398" s="31"/>
      <c r="D398" s="31"/>
      <c r="E398" s="31">
        <v>12500</v>
      </c>
      <c r="F398" s="32"/>
      <c r="G398" s="31"/>
      <c r="H398" s="31">
        <f>IF(AND(H374&gt;A398, H374&lt;=E398),H374,0)</f>
        <v>0</v>
      </c>
      <c r="I398" s="31">
        <f>0+(20/100)*(-A398+H398)</f>
        <v>0</v>
      </c>
    </row>
    <row r="399" spans="1:9" hidden="1" x14ac:dyDescent="0.2">
      <c r="A399" s="31">
        <f>E398</f>
        <v>12500</v>
      </c>
      <c r="B399" s="31"/>
      <c r="C399" s="31"/>
      <c r="D399" s="31"/>
      <c r="E399" s="31">
        <v>25000</v>
      </c>
      <c r="F399" s="32"/>
      <c r="G399" s="31"/>
      <c r="H399" s="31">
        <f>IF(AND(H374&gt;A399, H374&lt;=E399),H374,0)</f>
        <v>0</v>
      </c>
      <c r="I399" s="31">
        <f>(12500/100*20)+((25/100)*(-A399+H399))</f>
        <v>-625</v>
      </c>
    </row>
    <row r="400" spans="1:9" hidden="1" x14ac:dyDescent="0.2">
      <c r="A400" s="31">
        <f>E399</f>
        <v>25000</v>
      </c>
      <c r="B400" s="31"/>
      <c r="C400" s="31"/>
      <c r="D400" s="31"/>
      <c r="E400" s="31">
        <v>75000</v>
      </c>
      <c r="F400" s="32"/>
      <c r="G400" s="31"/>
      <c r="H400" s="31">
        <f>IF(AND(H374&gt;A400, H374&lt;=E400),H374,0)</f>
        <v>0</v>
      </c>
      <c r="I400" s="31">
        <f>(12500/100*20)+(12500/100*25)+((35/100)*(-A400+H400))</f>
        <v>-3125</v>
      </c>
    </row>
    <row r="401" spans="1:15" hidden="1" x14ac:dyDescent="0.2">
      <c r="A401" s="31">
        <f>E400</f>
        <v>75000</v>
      </c>
      <c r="B401" s="31"/>
      <c r="C401" s="31"/>
      <c r="D401" s="31"/>
      <c r="E401" s="31">
        <v>175000</v>
      </c>
      <c r="F401" s="32"/>
      <c r="G401" s="31"/>
      <c r="H401" s="31">
        <f>IF(AND(H374&gt;A401, H374&lt;=E401),H374,0)</f>
        <v>0</v>
      </c>
      <c r="I401" s="31">
        <f>(12500/100*20)+(12500/100*25)+(50000/100*35)+((50/100)*(-A401+H401))</f>
        <v>-14375</v>
      </c>
    </row>
    <row r="402" spans="1:15" hidden="1" x14ac:dyDescent="0.2">
      <c r="A402" s="31">
        <f>E401</f>
        <v>175000</v>
      </c>
      <c r="B402" s="31"/>
      <c r="C402" s="31"/>
      <c r="D402" s="31"/>
      <c r="E402" s="31">
        <v>999999999</v>
      </c>
      <c r="F402" s="32"/>
      <c r="G402" s="31"/>
      <c r="H402" s="31">
        <f>IF(AND(H374&gt;A402, H374&lt;=E402),H374,0)</f>
        <v>0</v>
      </c>
      <c r="I402" s="31">
        <f>(12500/100*20)+(12500/100*25)+(50000/100*35)+(100000/100*50)+((65/100)*(-A402+H402))</f>
        <v>-40625</v>
      </c>
    </row>
    <row r="403" spans="1:15" hidden="1" x14ac:dyDescent="0.2">
      <c r="A403" s="45" t="s">
        <v>4</v>
      </c>
      <c r="B403" s="45"/>
      <c r="C403" s="45"/>
      <c r="D403" s="45"/>
      <c r="E403" s="31"/>
      <c r="F403" s="32"/>
      <c r="G403" s="31"/>
      <c r="H403" s="31"/>
      <c r="I403" s="31">
        <f>VLOOKUP(H374,H398:I402,2,FALSE)</f>
        <v>0</v>
      </c>
    </row>
    <row r="404" spans="1:15" hidden="1" x14ac:dyDescent="0.2"/>
    <row r="405" spans="1:15" hidden="1" x14ac:dyDescent="0.2">
      <c r="E405" s="28">
        <f>E286</f>
        <v>0</v>
      </c>
      <c r="F405" s="29"/>
      <c r="G405" s="28"/>
      <c r="H405" s="28"/>
      <c r="I405" s="28"/>
    </row>
    <row r="406" spans="1:15" hidden="1" x14ac:dyDescent="0.2">
      <c r="E406" s="28"/>
      <c r="F406" s="29"/>
      <c r="G406" s="28"/>
      <c r="H406" s="28"/>
      <c r="I406" s="28"/>
      <c r="N406" s="31"/>
      <c r="O406" s="44" t="s">
        <v>8</v>
      </c>
    </row>
    <row r="407" spans="1:15" hidden="1" x14ac:dyDescent="0.2">
      <c r="E407" s="28"/>
      <c r="F407" s="29"/>
      <c r="G407" s="28"/>
      <c r="H407" s="28"/>
      <c r="I407" s="28"/>
      <c r="N407" s="31">
        <f>IF(AND(H374&gt;K409, H374&lt;=M409),H374,0)</f>
        <v>0</v>
      </c>
      <c r="O407" s="31">
        <f>0+(30/100)*(-K409+N407)</f>
        <v>0</v>
      </c>
    </row>
    <row r="408" spans="1:15" hidden="1" x14ac:dyDescent="0.2">
      <c r="A408" s="43" t="s">
        <v>22</v>
      </c>
      <c r="B408" s="43"/>
      <c r="C408" s="43"/>
      <c r="D408" s="43"/>
      <c r="E408" s="31"/>
      <c r="F408" s="32"/>
      <c r="G408" s="31"/>
      <c r="H408" s="31"/>
      <c r="I408" s="44" t="s">
        <v>7</v>
      </c>
      <c r="K408" s="43" t="s">
        <v>23</v>
      </c>
      <c r="L408" s="43"/>
      <c r="M408" s="31"/>
      <c r="N408" s="31">
        <f>IF(AND(H374&gt;K410, H374&lt;=M410),H374,0)</f>
        <v>0</v>
      </c>
      <c r="O408" s="31">
        <f>(12500/100*30)+((35/100)*(-K410+N408))</f>
        <v>-625</v>
      </c>
    </row>
    <row r="409" spans="1:15" hidden="1" x14ac:dyDescent="0.2">
      <c r="A409" s="31">
        <v>0</v>
      </c>
      <c r="B409" s="31"/>
      <c r="C409" s="31"/>
      <c r="D409" s="31"/>
      <c r="E409" s="31">
        <v>12500</v>
      </c>
      <c r="F409" s="32"/>
      <c r="G409" s="31"/>
      <c r="H409" s="31">
        <f>IF(AND(H374&gt;A409, H374&lt;=E409),H374,0)</f>
        <v>0</v>
      </c>
      <c r="I409" s="31">
        <f>0+(25/100)*(-A409+H409)</f>
        <v>0</v>
      </c>
      <c r="K409" s="31">
        <v>0</v>
      </c>
      <c r="L409" s="31"/>
      <c r="M409" s="31">
        <v>12500</v>
      </c>
      <c r="N409" s="31">
        <f>IF(AND(H374&gt;K411, H374&lt;=M411),H374,0)</f>
        <v>0</v>
      </c>
      <c r="O409" s="31">
        <f>(12500/100*30)+(12500/100*35)+((60/100)*(-K411+N409))</f>
        <v>-6875</v>
      </c>
    </row>
    <row r="410" spans="1:15" hidden="1" x14ac:dyDescent="0.2">
      <c r="A410" s="31">
        <f>E409</f>
        <v>12500</v>
      </c>
      <c r="B410" s="31"/>
      <c r="C410" s="31"/>
      <c r="D410" s="31"/>
      <c r="E410" s="31">
        <v>25000</v>
      </c>
      <c r="F410" s="32"/>
      <c r="G410" s="31"/>
      <c r="H410" s="31">
        <f>IF(AND(H374&gt;A410, H374&lt;=E410),H374,0)</f>
        <v>0</v>
      </c>
      <c r="I410" s="31">
        <f>(12500/100*25)+((30/100)*(-A410+H410))</f>
        <v>-625</v>
      </c>
      <c r="K410" s="31">
        <f>M409</f>
        <v>12500</v>
      </c>
      <c r="L410" s="31"/>
      <c r="M410" s="31">
        <v>25000</v>
      </c>
      <c r="N410" s="31">
        <f>IF(AND(H374&gt;K412, H374&lt;=M412),H374,0)</f>
        <v>0</v>
      </c>
      <c r="O410" s="31">
        <f>(12500/100*30)+(12500/100*35)+(50000/100*60)+((80/100)*(-K412+N410))</f>
        <v>-21875</v>
      </c>
    </row>
    <row r="411" spans="1:15" hidden="1" x14ac:dyDescent="0.2">
      <c r="A411" s="31">
        <f>E410</f>
        <v>25000</v>
      </c>
      <c r="B411" s="31"/>
      <c r="C411" s="31"/>
      <c r="D411" s="31"/>
      <c r="E411" s="31">
        <v>75000</v>
      </c>
      <c r="F411" s="32"/>
      <c r="G411" s="31"/>
      <c r="H411" s="31">
        <f>IF(AND(H374&gt;A411, H374&lt;=E411),H374,0)</f>
        <v>0</v>
      </c>
      <c r="I411" s="31">
        <f>(12500/100*25)+(12500/100*30)+((40/100)*(-A411+H411))</f>
        <v>-3125</v>
      </c>
      <c r="K411" s="31">
        <f>M410</f>
        <v>25000</v>
      </c>
      <c r="L411" s="31"/>
      <c r="M411" s="31">
        <v>75000</v>
      </c>
      <c r="N411" s="31">
        <f>IF(AND(H374&gt;K413, H374&lt;=M413),H374,0)</f>
        <v>0</v>
      </c>
      <c r="O411" s="31">
        <f>(12500/100*30)+(12500/100*35)+(50000/100*60)+(100000/100*80)+((80/100)*(-K413+N411))</f>
        <v>-21875</v>
      </c>
    </row>
    <row r="412" spans="1:15" hidden="1" x14ac:dyDescent="0.2">
      <c r="A412" s="31">
        <f>E411</f>
        <v>75000</v>
      </c>
      <c r="B412" s="31"/>
      <c r="C412" s="31"/>
      <c r="D412" s="31"/>
      <c r="E412" s="31">
        <v>175000</v>
      </c>
      <c r="F412" s="32"/>
      <c r="G412" s="31"/>
      <c r="H412" s="31">
        <f>IF(AND(H374&gt;A412, H374&lt;=E412),H374,0)</f>
        <v>0</v>
      </c>
      <c r="I412" s="31">
        <f>(12500/100*25)+(12500/100*30)+(50000/100*40)+((55/100)*(-A412+H412))</f>
        <v>-14375</v>
      </c>
      <c r="K412" s="31">
        <f>M411</f>
        <v>75000</v>
      </c>
      <c r="L412" s="31"/>
      <c r="M412" s="31">
        <v>175000</v>
      </c>
      <c r="N412" s="31"/>
      <c r="O412" s="31">
        <f>VLOOKUP(H374,N407:O411,2,FALSE)</f>
        <v>0</v>
      </c>
    </row>
    <row r="413" spans="1:15" hidden="1" x14ac:dyDescent="0.2">
      <c r="A413" s="31">
        <f>E412</f>
        <v>175000</v>
      </c>
      <c r="B413" s="31"/>
      <c r="C413" s="31"/>
      <c r="D413" s="31"/>
      <c r="E413" s="31">
        <v>999999999</v>
      </c>
      <c r="F413" s="32"/>
      <c r="G413" s="31"/>
      <c r="H413" s="31">
        <f>IF(AND(H374&gt;A413, H374&lt;=E413),H374,0)</f>
        <v>0</v>
      </c>
      <c r="I413" s="31">
        <f>(12500/100*25)+(12500/100*30)+(50000/100*40)+(100000/100*55)+((70/100)*(-A413+H413))</f>
        <v>-40624.999999999985</v>
      </c>
      <c r="K413" s="31">
        <f>M412</f>
        <v>175000</v>
      </c>
      <c r="L413" s="31"/>
      <c r="M413" s="31">
        <v>999999999</v>
      </c>
    </row>
    <row r="414" spans="1:15" hidden="1" x14ac:dyDescent="0.2">
      <c r="A414" s="45" t="s">
        <v>4</v>
      </c>
      <c r="B414" s="45"/>
      <c r="C414" s="45"/>
      <c r="D414" s="45"/>
      <c r="E414" s="31"/>
      <c r="F414" s="32"/>
      <c r="G414" s="31"/>
      <c r="H414" s="31"/>
      <c r="I414" s="31">
        <f>VLOOKUP(H374,H409:I413,2,FALSE)</f>
        <v>0</v>
      </c>
      <c r="K414" s="45" t="s">
        <v>4</v>
      </c>
      <c r="L414" s="45"/>
      <c r="M414" s="31"/>
    </row>
    <row r="415" spans="1:15" hidden="1" x14ac:dyDescent="0.2"/>
    <row r="416" spans="1:15" hidden="1" x14ac:dyDescent="0.2">
      <c r="E416" s="5">
        <f>IF(A417&gt;0,A417-F421,0)</f>
        <v>0</v>
      </c>
    </row>
    <row r="417" spans="1:11" hidden="1" x14ac:dyDescent="0.2">
      <c r="A417" s="5">
        <f>IF(AND(E17="oui",F27="ligne directe"),I395,0)</f>
        <v>0</v>
      </c>
      <c r="E417" s="5">
        <f>IF(E416&gt;0,E416,0)</f>
        <v>0</v>
      </c>
      <c r="F417" s="5">
        <f>IF(AND(F27="ligne directe",H374&lt;=125000,E17="oui"),250,0)</f>
        <v>0</v>
      </c>
      <c r="G417" s="5">
        <f>IF(AND(F417&gt;0,(I395-F417&gt;=0)),I395-F417,0)</f>
        <v>0</v>
      </c>
    </row>
    <row r="418" spans="1:11" hidden="1" x14ac:dyDescent="0.2">
      <c r="A418" s="5">
        <f>IF(AND(E17="oui",F27="épou(x)(se)"),I395,0)</f>
        <v>0</v>
      </c>
      <c r="E418" s="5">
        <f>IF(A418&gt;0,A418-F421,0)</f>
        <v>0</v>
      </c>
      <c r="F418" s="5">
        <f>IF(AND(F27="ligne directe",H374&gt;125000,E17="oui"),125,0)</f>
        <v>0</v>
      </c>
      <c r="G418" s="5">
        <f>IF(AND(F418&gt;0,(I395-F418&gt;=0)),I395-F418,0)</f>
        <v>0</v>
      </c>
    </row>
    <row r="419" spans="1:11" hidden="1" x14ac:dyDescent="0.2">
      <c r="A419" s="5">
        <f>IF(AND(E17="non",F27="ligne directe"),I386,0)</f>
        <v>0</v>
      </c>
      <c r="E419" s="5">
        <f>IF(AND(E17="non",F27="ligne directe"),I386,0)</f>
        <v>0</v>
      </c>
      <c r="F419" s="5">
        <f>IF(AND(F27="épou(x)(se)",H374&lt;=125000,E17="oui"),250,0)</f>
        <v>0</v>
      </c>
      <c r="G419" s="5">
        <f>IF(AND(F419&gt;0,(I395-F419&gt;=0)),I395-F419,0)</f>
        <v>0</v>
      </c>
    </row>
    <row r="420" spans="1:11" hidden="1" x14ac:dyDescent="0.2">
      <c r="A420" s="5">
        <f>IF(AND(E17="non",F27="épou(x)(se)"),I386,0)</f>
        <v>0</v>
      </c>
      <c r="E420" s="5">
        <f>IF(AND(E17="non",F27="épou(x)(se)"),I386,0)</f>
        <v>0</v>
      </c>
      <c r="F420" s="5">
        <f>IF(AND(F27="épou(x)(se)",H374&gt;125000,E17="oui"),125,0)</f>
        <v>0</v>
      </c>
      <c r="G420" s="5">
        <f>IF(AND(F420&gt;0,(I395-F420&gt;=0)),I395-F420,0)</f>
        <v>0</v>
      </c>
    </row>
    <row r="421" spans="1:11" hidden="1" x14ac:dyDescent="0.2">
      <c r="A421" s="5">
        <f>IF(F27="frère/soeur",I403,0)</f>
        <v>0</v>
      </c>
      <c r="E421" s="5">
        <f>IF(F27="frère/soeur",I403,0)</f>
        <v>0</v>
      </c>
      <c r="F421" s="5">
        <f>SUM(F417:F420)</f>
        <v>0</v>
      </c>
      <c r="G421" s="5">
        <f>SUM(G417:G420)</f>
        <v>0</v>
      </c>
    </row>
    <row r="422" spans="1:11" hidden="1" x14ac:dyDescent="0.2">
      <c r="A422" s="5">
        <f>IF(F27="oncle-tante/neveu-nièce",I414,0)</f>
        <v>0</v>
      </c>
      <c r="E422" s="5">
        <f>IF(F27="oncle-tante/neveu-nièce",I414,0)</f>
        <v>0</v>
      </c>
      <c r="F422" s="5"/>
    </row>
    <row r="423" spans="1:11" hidden="1" x14ac:dyDescent="0.2">
      <c r="A423" s="5">
        <f>IF(F27="étrangers",O412,0)</f>
        <v>0</v>
      </c>
      <c r="E423" s="5">
        <f>IF(F27="étrangers",O412,0)</f>
        <v>0</v>
      </c>
      <c r="F423" s="5"/>
    </row>
    <row r="424" spans="1:11" hidden="1" x14ac:dyDescent="0.2">
      <c r="F424" s="5"/>
    </row>
    <row r="425" spans="1:11" hidden="1" x14ac:dyDescent="0.2">
      <c r="A425" s="5">
        <f>SUM(A417:A424)</f>
        <v>0</v>
      </c>
      <c r="E425" s="5">
        <f>SUM(E417:E424)</f>
        <v>0</v>
      </c>
      <c r="F425" s="5"/>
    </row>
    <row r="426" spans="1:11" hidden="1" x14ac:dyDescent="0.2">
      <c r="F426" s="5"/>
    </row>
    <row r="427" spans="1:11" hidden="1" x14ac:dyDescent="0.2">
      <c r="F427" s="5"/>
    </row>
    <row r="428" spans="1:11" hidden="1" x14ac:dyDescent="0.2">
      <c r="A428" s="5" t="s">
        <v>93</v>
      </c>
      <c r="E428" s="5" t="s">
        <v>100</v>
      </c>
      <c r="F428" s="5"/>
    </row>
    <row r="429" spans="1:11" hidden="1" x14ac:dyDescent="0.2">
      <c r="F429" s="5"/>
    </row>
    <row r="430" spans="1:11" hidden="1" x14ac:dyDescent="0.2">
      <c r="A430" s="5" t="s">
        <v>93</v>
      </c>
      <c r="E430" s="5">
        <f>IF(I27=3,E425*12%,0)</f>
        <v>0</v>
      </c>
      <c r="F430" s="5">
        <f>IF(E430&gt;372,372,E430)</f>
        <v>0</v>
      </c>
      <c r="H430" s="5" t="s">
        <v>26</v>
      </c>
      <c r="I430" s="5">
        <f>6%*E425</f>
        <v>0</v>
      </c>
      <c r="J430" s="5">
        <f>IF(I430&gt;186,186,I430)</f>
        <v>0</v>
      </c>
      <c r="K430" s="5">
        <f>IF(I27=3,J430,0)</f>
        <v>0</v>
      </c>
    </row>
    <row r="431" spans="1:11" hidden="1" x14ac:dyDescent="0.2">
      <c r="E431" s="5">
        <f>IF(I27=4,E425*16%,0)</f>
        <v>0</v>
      </c>
      <c r="F431" s="5">
        <f>IF(E431&gt;496,496,E431)</f>
        <v>0</v>
      </c>
      <c r="H431" s="5" t="s">
        <v>27</v>
      </c>
      <c r="I431" s="5">
        <f>8%*E425</f>
        <v>0</v>
      </c>
      <c r="J431" s="5">
        <f>IF(I431&gt;248,248,I431)</f>
        <v>0</v>
      </c>
      <c r="K431" s="5">
        <f>IF(I27=4,J431,0)</f>
        <v>0</v>
      </c>
    </row>
    <row r="432" spans="1:11" hidden="1" x14ac:dyDescent="0.2">
      <c r="E432" s="5">
        <f>IF(I27=5,E425*20%,0)</f>
        <v>0</v>
      </c>
      <c r="F432" s="5">
        <f>IF(E432&gt;620,620,E432)</f>
        <v>0</v>
      </c>
      <c r="I432" s="5">
        <f>10%*E425</f>
        <v>0</v>
      </c>
      <c r="J432" s="5">
        <f>IF(I432&gt;310,310,I432)</f>
        <v>0</v>
      </c>
      <c r="K432" s="5">
        <f>IF(I27=5,J432,0)</f>
        <v>0</v>
      </c>
    </row>
    <row r="433" spans="1:11" hidden="1" x14ac:dyDescent="0.2">
      <c r="E433" s="5">
        <f>IF(I27=6,E425*24%,0)</f>
        <v>0</v>
      </c>
      <c r="F433" s="5">
        <f>IF(E433&gt;744,744,E433)</f>
        <v>0</v>
      </c>
      <c r="I433" s="5">
        <f>12%*E425</f>
        <v>0</v>
      </c>
      <c r="J433" s="5">
        <f>IF(I433&gt;372,372,I433)</f>
        <v>0</v>
      </c>
      <c r="K433" s="5">
        <f>IF(I27=6,J433,0)</f>
        <v>0</v>
      </c>
    </row>
    <row r="434" spans="1:11" hidden="1" x14ac:dyDescent="0.2">
      <c r="E434" s="5">
        <f>IF(I27=7,E425*28%,0)</f>
        <v>0</v>
      </c>
      <c r="F434" s="5">
        <f>IF(E434&gt;868,868,E434)</f>
        <v>0</v>
      </c>
      <c r="I434" s="5">
        <f>14%*E425</f>
        <v>0</v>
      </c>
      <c r="J434" s="5">
        <f>IF(I434&gt;434,434,I434)</f>
        <v>0</v>
      </c>
      <c r="K434" s="5">
        <f>IF(I27=7,J434,0)</f>
        <v>0</v>
      </c>
    </row>
    <row r="435" spans="1:11" hidden="1" x14ac:dyDescent="0.2">
      <c r="E435" s="5">
        <f>IF(I27=8,E425*32%,0)</f>
        <v>0</v>
      </c>
      <c r="F435" s="5">
        <f>IF(E435&gt;992,992,E435)</f>
        <v>0</v>
      </c>
      <c r="I435" s="5">
        <f>16%*E425</f>
        <v>0</v>
      </c>
      <c r="J435" s="5">
        <f>IF(I435&gt;496,496,I435)</f>
        <v>0</v>
      </c>
      <c r="K435" s="5">
        <f>IF(I27=8,J435,0)</f>
        <v>0</v>
      </c>
    </row>
    <row r="436" spans="1:11" hidden="1" x14ac:dyDescent="0.2">
      <c r="E436" s="5">
        <f>IF(I27=9,E425*36%,0)</f>
        <v>0</v>
      </c>
      <c r="F436" s="5">
        <f>IF(E436&gt;1116,1116,E436)</f>
        <v>0</v>
      </c>
      <c r="I436" s="5">
        <f>18%*E425</f>
        <v>0</v>
      </c>
      <c r="J436" s="5">
        <f>IF(I436&gt;558,558,I436)</f>
        <v>0</v>
      </c>
      <c r="K436" s="5">
        <f>IF(I27=9,J436,0)</f>
        <v>0</v>
      </c>
    </row>
    <row r="437" spans="1:11" hidden="1" x14ac:dyDescent="0.2">
      <c r="E437" s="5">
        <f>IF(I27=10,E425*40%,0)</f>
        <v>0</v>
      </c>
      <c r="F437" s="5">
        <f>IF(E437&gt;1240,1240,E437)</f>
        <v>0</v>
      </c>
      <c r="I437" s="5">
        <f>20%*E425</f>
        <v>0</v>
      </c>
      <c r="J437" s="5">
        <f>IF(I437&gt;620,620,I437)</f>
        <v>0</v>
      </c>
      <c r="K437" s="5">
        <f>IF(I27=10,J437,0)</f>
        <v>0</v>
      </c>
    </row>
    <row r="438" spans="1:11" hidden="1" x14ac:dyDescent="0.2">
      <c r="F438" s="5"/>
    </row>
    <row r="439" spans="1:11" hidden="1" x14ac:dyDescent="0.2">
      <c r="F439" s="5">
        <f>SUM(F430:F438)</f>
        <v>0</v>
      </c>
      <c r="K439" s="5">
        <f>SUM(K430:K438)</f>
        <v>0</v>
      </c>
    </row>
    <row r="440" spans="1:11" hidden="1" x14ac:dyDescent="0.2"/>
    <row r="441" spans="1:11" hidden="1" x14ac:dyDescent="0.2"/>
    <row r="442" spans="1:11" hidden="1" x14ac:dyDescent="0.2"/>
    <row r="443" spans="1:11" hidden="1" x14ac:dyDescent="0.2">
      <c r="A443" s="5" t="s">
        <v>33</v>
      </c>
      <c r="E443" s="20">
        <f>E425-F439</f>
        <v>0</v>
      </c>
      <c r="G443" s="5" t="s">
        <v>34</v>
      </c>
      <c r="H443" s="47">
        <f>E425-K439</f>
        <v>0</v>
      </c>
    </row>
    <row r="444" spans="1:11" hidden="1" x14ac:dyDescent="0.2"/>
    <row r="445" spans="1:11" hidden="1" x14ac:dyDescent="0.2"/>
    <row r="446" spans="1:11" hidden="1" x14ac:dyDescent="0.2"/>
    <row r="447" spans="1:11" hidden="1" x14ac:dyDescent="0.2"/>
    <row r="448" spans="1:11" hidden="1" x14ac:dyDescent="0.2"/>
    <row r="449" hidden="1" x14ac:dyDescent="0.2"/>
    <row r="450" hidden="1" x14ac:dyDescent="0.2"/>
    <row r="451" hidden="1" x14ac:dyDescent="0.2"/>
    <row r="452" hidden="1" x14ac:dyDescent="0.2"/>
    <row r="453" hidden="1" x14ac:dyDescent="0.2"/>
    <row r="454" hidden="1" x14ac:dyDescent="0.2"/>
    <row r="455" hidden="1" x14ac:dyDescent="0.2"/>
    <row r="456" hidden="1" x14ac:dyDescent="0.2"/>
    <row r="457" hidden="1" x14ac:dyDescent="0.2"/>
    <row r="458" hidden="1" x14ac:dyDescent="0.2"/>
    <row r="459" hidden="1" x14ac:dyDescent="0.2"/>
    <row r="460" hidden="1" x14ac:dyDescent="0.2"/>
    <row r="461" hidden="1" x14ac:dyDescent="0.2"/>
    <row r="462" hidden="1" x14ac:dyDescent="0.2"/>
    <row r="463" hidden="1" x14ac:dyDescent="0.2"/>
    <row r="464" hidden="1" x14ac:dyDescent="0.2"/>
    <row r="465" spans="1:9" hidden="1" x14ac:dyDescent="0.2"/>
    <row r="466" spans="1:9" hidden="1" x14ac:dyDescent="0.2"/>
    <row r="467" spans="1:9" hidden="1" x14ac:dyDescent="0.2"/>
    <row r="468" spans="1:9" hidden="1" x14ac:dyDescent="0.2"/>
    <row r="469" spans="1:9" hidden="1" x14ac:dyDescent="0.2"/>
    <row r="470" spans="1:9" hidden="1" x14ac:dyDescent="0.2"/>
    <row r="471" spans="1:9" hidden="1" x14ac:dyDescent="0.2"/>
    <row r="472" spans="1:9" hidden="1" x14ac:dyDescent="0.2"/>
    <row r="473" spans="1:9" hidden="1" x14ac:dyDescent="0.2"/>
    <row r="474" spans="1:9" hidden="1" x14ac:dyDescent="0.2">
      <c r="H474" s="28">
        <f>F181</f>
        <v>0</v>
      </c>
    </row>
    <row r="475" spans="1:9" hidden="1" x14ac:dyDescent="0.2"/>
    <row r="476" spans="1:9" hidden="1" x14ac:dyDescent="0.2">
      <c r="A476" s="43" t="s">
        <v>2</v>
      </c>
      <c r="B476" s="43"/>
      <c r="C476" s="43"/>
      <c r="D476" s="43"/>
      <c r="E476" s="31"/>
      <c r="F476" s="32"/>
      <c r="G476" s="31"/>
      <c r="H476" s="31"/>
      <c r="I476" s="44" t="s">
        <v>3</v>
      </c>
    </row>
    <row r="477" spans="1:9" hidden="1" x14ac:dyDescent="0.2">
      <c r="A477" s="31">
        <v>0</v>
      </c>
      <c r="B477" s="31"/>
      <c r="C477" s="31"/>
      <c r="D477" s="31"/>
      <c r="E477" s="31">
        <v>12500</v>
      </c>
      <c r="F477" s="32"/>
      <c r="G477" s="31"/>
      <c r="H477" s="31">
        <f>IF(AND(H474&gt;A477,H474&lt;=E477),H474,0)</f>
        <v>0</v>
      </c>
      <c r="I477" s="31">
        <f>0+(3/100)*(-A477+H477)</f>
        <v>0</v>
      </c>
    </row>
    <row r="478" spans="1:9" hidden="1" x14ac:dyDescent="0.2">
      <c r="A478" s="31">
        <f t="shared" ref="A478:A485" si="22">E477</f>
        <v>12500</v>
      </c>
      <c r="B478" s="31"/>
      <c r="C478" s="31"/>
      <c r="D478" s="31"/>
      <c r="E478" s="31">
        <v>25000</v>
      </c>
      <c r="F478" s="32"/>
      <c r="G478" s="31"/>
      <c r="H478" s="31">
        <f>IF(AND(H474&gt;A478, H474&lt;=E478),H474,0)</f>
        <v>0</v>
      </c>
      <c r="I478" s="31">
        <f>(12500/100*3)+(4/100)*(-A478+H478)</f>
        <v>-125</v>
      </c>
    </row>
    <row r="479" spans="1:9" hidden="1" x14ac:dyDescent="0.2">
      <c r="A479" s="31">
        <f t="shared" si="22"/>
        <v>25000</v>
      </c>
      <c r="B479" s="31"/>
      <c r="C479" s="31"/>
      <c r="D479" s="31"/>
      <c r="E479" s="31">
        <v>50000</v>
      </c>
      <c r="F479" s="32"/>
      <c r="G479" s="31"/>
      <c r="H479" s="31">
        <f>IF(AND(H474&gt;A479, H474&lt;=E479),H474,0)</f>
        <v>0</v>
      </c>
      <c r="I479" s="31">
        <f>(12500/100*3)+(12500/100*4)+((5/100)*(-A479+H479))</f>
        <v>-375</v>
      </c>
    </row>
    <row r="480" spans="1:9" hidden="1" x14ac:dyDescent="0.2">
      <c r="A480" s="31">
        <f t="shared" si="22"/>
        <v>50000</v>
      </c>
      <c r="B480" s="31"/>
      <c r="C480" s="31"/>
      <c r="D480" s="31"/>
      <c r="E480" s="31">
        <v>100000</v>
      </c>
      <c r="F480" s="32"/>
      <c r="G480" s="31"/>
      <c r="H480" s="31">
        <f>IF(AND(H474&gt;A480, H474&lt;=E480),H474,0)</f>
        <v>0</v>
      </c>
      <c r="I480" s="31">
        <f>(12500/100*3)+(12500/100*4)+(25000/100*5)+((7/100)*(-A480+H480))</f>
        <v>-1375.0000000000005</v>
      </c>
    </row>
    <row r="481" spans="1:9" hidden="1" x14ac:dyDescent="0.2">
      <c r="A481" s="31">
        <f t="shared" si="22"/>
        <v>100000</v>
      </c>
      <c r="B481" s="31"/>
      <c r="C481" s="31"/>
      <c r="D481" s="31"/>
      <c r="E481" s="31">
        <v>150000</v>
      </c>
      <c r="F481" s="32"/>
      <c r="G481" s="31"/>
      <c r="H481" s="31">
        <f>IF(AND(H474&gt;A481, H474&lt;=E481),H474,0)</f>
        <v>0</v>
      </c>
      <c r="I481" s="31">
        <f>(12500/100*3)+(12500/100*4)+(25000/100*5)+(50000/100*7)+((10/100)*(-A481+H481))</f>
        <v>-4375</v>
      </c>
    </row>
    <row r="482" spans="1:9" hidden="1" x14ac:dyDescent="0.2">
      <c r="A482" s="31">
        <f t="shared" si="22"/>
        <v>150000</v>
      </c>
      <c r="B482" s="31"/>
      <c r="C482" s="31"/>
      <c r="D482" s="31"/>
      <c r="E482" s="31">
        <v>200000</v>
      </c>
      <c r="F482" s="32"/>
      <c r="G482" s="31"/>
      <c r="H482" s="31">
        <f>IF(AND(H474&gt;A482, H474&lt;=E482),H474,0)</f>
        <v>0</v>
      </c>
      <c r="I482" s="31">
        <f>(12500/100*3)+(12500/100*4)+(25000/100*5)+(50000/100*7)+(50000/100*10)+((14/100)*(-A482+H482))</f>
        <v>-10375.000000000004</v>
      </c>
    </row>
    <row r="483" spans="1:9" hidden="1" x14ac:dyDescent="0.2">
      <c r="A483" s="31">
        <f t="shared" si="22"/>
        <v>200000</v>
      </c>
      <c r="B483" s="31"/>
      <c r="C483" s="31"/>
      <c r="D483" s="31"/>
      <c r="E483" s="31">
        <v>250000</v>
      </c>
      <c r="F483" s="32"/>
      <c r="G483" s="31"/>
      <c r="H483" s="31">
        <f>IF(AND(H474&gt;A483, H474&lt;=E483),H474,0)</f>
        <v>0</v>
      </c>
      <c r="I483" s="31">
        <f>(12500/100*3)+(12500/100*4)+(25000/100*5)+(50000/100*7)+(50000/100*10)+(50000/100*14)+((18/100)*(-A483+H483))</f>
        <v>-18375</v>
      </c>
    </row>
    <row r="484" spans="1:9" hidden="1" x14ac:dyDescent="0.2">
      <c r="A484" s="31">
        <f t="shared" si="22"/>
        <v>250000</v>
      </c>
      <c r="B484" s="31"/>
      <c r="C484" s="31"/>
      <c r="D484" s="31"/>
      <c r="E484" s="31">
        <v>500000</v>
      </c>
      <c r="F484" s="32"/>
      <c r="G484" s="31"/>
      <c r="H484" s="31">
        <f>IF(AND(H474&gt;A484, H474&lt;=E484),H474,0)</f>
        <v>0</v>
      </c>
      <c r="I484" s="31">
        <f>(12500/100*3)+(12500/100*4)+(25000/100*5)+(50000/100*7)+(50000/100*10)+(50000/100*14)+(50000/100*18)+((24/100)*(-A484+H484))</f>
        <v>-33375</v>
      </c>
    </row>
    <row r="485" spans="1:9" hidden="1" x14ac:dyDescent="0.2">
      <c r="A485" s="31">
        <f t="shared" si="22"/>
        <v>500000</v>
      </c>
      <c r="B485" s="31"/>
      <c r="C485" s="31"/>
      <c r="D485" s="31"/>
      <c r="E485" s="31">
        <v>999999999</v>
      </c>
      <c r="F485" s="32"/>
      <c r="G485" s="31"/>
      <c r="H485" s="31">
        <f>IF(AND(H474&gt;A485, H474&lt;=E485),H474,0)</f>
        <v>0</v>
      </c>
      <c r="I485" s="31">
        <f>(12500/100*3)+(12500/100*4)+(25000/100*5)+(50000/100*7)+(50000/100*10)+(50000/100*14)+(50000/100*18)+(250000/100*24)+((30/100)*(-A485+H485))</f>
        <v>-63375</v>
      </c>
    </row>
    <row r="486" spans="1:9" hidden="1" x14ac:dyDescent="0.2">
      <c r="A486" s="45" t="s">
        <v>4</v>
      </c>
      <c r="B486" s="45"/>
      <c r="C486" s="45"/>
      <c r="D486" s="45"/>
      <c r="E486" s="31"/>
      <c r="F486" s="32"/>
      <c r="G486" s="31"/>
      <c r="H486" s="31"/>
      <c r="I486" s="31">
        <f>VLOOKUP(H474,H477:I485,2,FALSE)</f>
        <v>0</v>
      </c>
    </row>
    <row r="487" spans="1:9" hidden="1" x14ac:dyDescent="0.2">
      <c r="A487" s="45"/>
      <c r="B487" s="45"/>
      <c r="C487" s="45"/>
      <c r="D487" s="45"/>
      <c r="E487" s="31"/>
      <c r="F487" s="32"/>
      <c r="G487" s="31"/>
      <c r="H487" s="31"/>
      <c r="I487" s="31"/>
    </row>
    <row r="488" spans="1:9" hidden="1" x14ac:dyDescent="0.2">
      <c r="A488" s="46" t="s">
        <v>24</v>
      </c>
      <c r="B488" s="46"/>
      <c r="C488" s="46"/>
      <c r="D488" s="46"/>
      <c r="E488" s="31"/>
      <c r="F488" s="32"/>
      <c r="G488" s="31"/>
      <c r="H488" s="31"/>
      <c r="I488" s="44" t="s">
        <v>25</v>
      </c>
    </row>
    <row r="489" spans="1:9" hidden="1" x14ac:dyDescent="0.2">
      <c r="A489" s="31">
        <v>0</v>
      </c>
      <c r="B489" s="31"/>
      <c r="C489" s="31"/>
      <c r="D489" s="31"/>
      <c r="E489" s="31">
        <v>25000</v>
      </c>
      <c r="F489" s="32"/>
      <c r="G489" s="31"/>
      <c r="H489" s="31">
        <f>IF(AND(H474&gt;A489, H474&lt;=E489),H474,0)</f>
        <v>0</v>
      </c>
      <c r="I489" s="31">
        <f>0+(1/100)*(-A489+H489)</f>
        <v>0</v>
      </c>
    </row>
    <row r="490" spans="1:9" hidden="1" x14ac:dyDescent="0.2">
      <c r="A490" s="31">
        <f>E489</f>
        <v>25000</v>
      </c>
      <c r="B490" s="31"/>
      <c r="C490" s="31"/>
      <c r="D490" s="31"/>
      <c r="E490" s="31">
        <v>50000</v>
      </c>
      <c r="F490" s="32"/>
      <c r="G490" s="31"/>
      <c r="H490" s="31">
        <f>IF(AND(H474&gt;A490, H474&lt;=E490),H474,0)</f>
        <v>0</v>
      </c>
      <c r="I490" s="31">
        <f>(25000/100*1)+(2/100)*(-A490+H490)</f>
        <v>-250</v>
      </c>
    </row>
    <row r="491" spans="1:9" hidden="1" x14ac:dyDescent="0.2">
      <c r="A491" s="31">
        <f>E490</f>
        <v>50000</v>
      </c>
      <c r="B491" s="31"/>
      <c r="C491" s="31"/>
      <c r="D491" s="31"/>
      <c r="E491" s="31">
        <v>175000</v>
      </c>
      <c r="F491" s="32"/>
      <c r="G491" s="31"/>
      <c r="H491" s="31">
        <f>IF(AND(H474&gt;A491, H474&lt;=E491),H474,0)</f>
        <v>0</v>
      </c>
      <c r="I491" s="31">
        <f>(25000/100*1)+(25000/100*2)+((5/100)*(-A491+H491))</f>
        <v>-1750</v>
      </c>
    </row>
    <row r="492" spans="1:9" hidden="1" x14ac:dyDescent="0.2">
      <c r="A492" s="31">
        <f>E491</f>
        <v>175000</v>
      </c>
      <c r="B492" s="31"/>
      <c r="C492" s="31"/>
      <c r="D492" s="31"/>
      <c r="E492" s="31">
        <v>250000</v>
      </c>
      <c r="F492" s="32"/>
      <c r="G492" s="31"/>
      <c r="H492" s="31">
        <f>IF(AND(H474&gt;A492, H474&lt;=E492),H474,0)</f>
        <v>0</v>
      </c>
      <c r="I492" s="31">
        <f>(25000/100*1)+(25000/100*2)+(125000/100*5)+((12/100)*(-A492+H492))</f>
        <v>-14000</v>
      </c>
    </row>
    <row r="493" spans="1:9" hidden="1" x14ac:dyDescent="0.2">
      <c r="A493" s="31">
        <f>E492</f>
        <v>250000</v>
      </c>
      <c r="B493" s="31"/>
      <c r="C493" s="31"/>
      <c r="D493" s="31"/>
      <c r="E493" s="31">
        <v>500000</v>
      </c>
      <c r="F493" s="32"/>
      <c r="G493" s="31"/>
      <c r="H493" s="31">
        <f>IF(AND(H474&gt;A493, H474&lt;=E493),H474,0)</f>
        <v>0</v>
      </c>
      <c r="I493" s="31">
        <f>(25000/100*1)+(25000/100*2)+(125000/100*5)+(75000/100*12)+((24/100)*(-A493+H493))</f>
        <v>-44000</v>
      </c>
    </row>
    <row r="494" spans="1:9" hidden="1" x14ac:dyDescent="0.2">
      <c r="A494" s="31">
        <f>E493</f>
        <v>500000</v>
      </c>
      <c r="B494" s="31"/>
      <c r="C494" s="31"/>
      <c r="D494" s="31"/>
      <c r="E494" s="31">
        <v>999999999</v>
      </c>
      <c r="F494" s="32"/>
      <c r="G494" s="31"/>
      <c r="H494" s="31">
        <f>IF(AND(H474&gt;A494, H474&lt;=E494),H474,0)</f>
        <v>0</v>
      </c>
      <c r="I494" s="31">
        <f>(25000/100*1)+(25000/100*2)+(125000/100*5)+(75000/100*12)+(250000/100*24)+((30/100)*(-A494+H494))</f>
        <v>-74000</v>
      </c>
    </row>
    <row r="495" spans="1:9" hidden="1" x14ac:dyDescent="0.2">
      <c r="A495" s="45" t="s">
        <v>4</v>
      </c>
      <c r="B495" s="45"/>
      <c r="C495" s="45"/>
      <c r="D495" s="45"/>
      <c r="E495" s="31"/>
      <c r="F495" s="32"/>
      <c r="G495" s="31"/>
      <c r="H495" s="31"/>
      <c r="I495" s="31">
        <f>VLOOKUP(H474,H489:I494,2,FALSE)</f>
        <v>0</v>
      </c>
    </row>
    <row r="496" spans="1:9" hidden="1" x14ac:dyDescent="0.2">
      <c r="A496" s="45"/>
      <c r="B496" s="45"/>
      <c r="C496" s="45"/>
      <c r="D496" s="45"/>
      <c r="E496" s="31"/>
      <c r="F496" s="32"/>
      <c r="G496" s="31"/>
      <c r="H496" s="31"/>
      <c r="I496" s="31"/>
    </row>
    <row r="497" spans="1:15" hidden="1" x14ac:dyDescent="0.2">
      <c r="A497" s="43" t="s">
        <v>5</v>
      </c>
      <c r="B497" s="43"/>
      <c r="C497" s="43"/>
      <c r="D497" s="43"/>
      <c r="E497" s="31"/>
      <c r="F497" s="32"/>
      <c r="G497" s="31"/>
      <c r="H497" s="31"/>
      <c r="I497" s="44" t="s">
        <v>6</v>
      </c>
    </row>
    <row r="498" spans="1:15" hidden="1" x14ac:dyDescent="0.2">
      <c r="A498" s="31">
        <v>0</v>
      </c>
      <c r="B498" s="31"/>
      <c r="C498" s="31"/>
      <c r="D498" s="31"/>
      <c r="E498" s="31">
        <v>12500</v>
      </c>
      <c r="F498" s="32"/>
      <c r="G498" s="31"/>
      <c r="H498" s="31">
        <f>IF(AND(H474&gt;A498, H474&lt;=E498),H474,0)</f>
        <v>0</v>
      </c>
      <c r="I498" s="31">
        <f>0+(20/100)*(-A498+H498)</f>
        <v>0</v>
      </c>
    </row>
    <row r="499" spans="1:15" hidden="1" x14ac:dyDescent="0.2">
      <c r="A499" s="31">
        <f>E498</f>
        <v>12500</v>
      </c>
      <c r="B499" s="31"/>
      <c r="C499" s="31"/>
      <c r="D499" s="31"/>
      <c r="E499" s="31">
        <v>25000</v>
      </c>
      <c r="F499" s="32"/>
      <c r="G499" s="31"/>
      <c r="H499" s="31">
        <f>IF(AND(H474&gt;A499, H474&lt;=E499),H474,0)</f>
        <v>0</v>
      </c>
      <c r="I499" s="31">
        <f>(12500/100*20)+((25/100)*(-A499+H499))</f>
        <v>-625</v>
      </c>
    </row>
    <row r="500" spans="1:15" hidden="1" x14ac:dyDescent="0.2">
      <c r="A500" s="31">
        <f>E499</f>
        <v>25000</v>
      </c>
      <c r="B500" s="31"/>
      <c r="C500" s="31"/>
      <c r="D500" s="31"/>
      <c r="E500" s="31">
        <v>75000</v>
      </c>
      <c r="F500" s="32"/>
      <c r="G500" s="31"/>
      <c r="H500" s="31">
        <f>IF(AND(H474&gt;A500, H474&lt;=E500),H474,0)</f>
        <v>0</v>
      </c>
      <c r="I500" s="31">
        <f>(12500/100*20)+(12500/100*25)+((35/100)*(-A500+H500))</f>
        <v>-3125</v>
      </c>
    </row>
    <row r="501" spans="1:15" hidden="1" x14ac:dyDescent="0.2">
      <c r="A501" s="31">
        <f>E500</f>
        <v>75000</v>
      </c>
      <c r="B501" s="31"/>
      <c r="C501" s="31"/>
      <c r="D501" s="31"/>
      <c r="E501" s="31">
        <v>175000</v>
      </c>
      <c r="F501" s="32"/>
      <c r="G501" s="31"/>
      <c r="H501" s="31">
        <f>IF(AND(H474&gt;A501, H474&lt;=E501),H474,0)</f>
        <v>0</v>
      </c>
      <c r="I501" s="31">
        <f>(12500/100*20)+(12500/100*25)+(50000/100*35)+((50/100)*(-A501+H501))</f>
        <v>-14375</v>
      </c>
    </row>
    <row r="502" spans="1:15" hidden="1" x14ac:dyDescent="0.2">
      <c r="A502" s="31">
        <f>E501</f>
        <v>175000</v>
      </c>
      <c r="B502" s="31"/>
      <c r="C502" s="31"/>
      <c r="D502" s="31"/>
      <c r="E502" s="31">
        <v>999999999</v>
      </c>
      <c r="F502" s="32"/>
      <c r="G502" s="31"/>
      <c r="H502" s="31">
        <f>IF(AND(H474&gt;A502, H474&lt;=E502),H474,0)</f>
        <v>0</v>
      </c>
      <c r="I502" s="31">
        <f>(12500/100*20)+(12500/100*25)+(50000/100*35)+(100000/100*50)+((65/100)*(-A502+H502))</f>
        <v>-40625</v>
      </c>
    </row>
    <row r="503" spans="1:15" hidden="1" x14ac:dyDescent="0.2">
      <c r="A503" s="45" t="s">
        <v>4</v>
      </c>
      <c r="B503" s="45"/>
      <c r="C503" s="45"/>
      <c r="D503" s="45"/>
      <c r="E503" s="31"/>
      <c r="F503" s="32"/>
      <c r="G503" s="31"/>
      <c r="H503" s="31"/>
      <c r="I503" s="31">
        <f>VLOOKUP(H474,H498:I502,2,FALSE)</f>
        <v>0</v>
      </c>
    </row>
    <row r="504" spans="1:15" hidden="1" x14ac:dyDescent="0.2"/>
    <row r="505" spans="1:15" hidden="1" x14ac:dyDescent="0.2">
      <c r="E505" s="28">
        <f>E386</f>
        <v>0</v>
      </c>
      <c r="F505" s="29"/>
      <c r="G505" s="28"/>
      <c r="H505" s="28"/>
      <c r="I505" s="28"/>
    </row>
    <row r="506" spans="1:15" hidden="1" x14ac:dyDescent="0.2">
      <c r="E506" s="28"/>
      <c r="F506" s="29"/>
      <c r="G506" s="28"/>
      <c r="H506" s="28"/>
      <c r="I506" s="28"/>
      <c r="N506" s="31"/>
      <c r="O506" s="44" t="s">
        <v>8</v>
      </c>
    </row>
    <row r="507" spans="1:15" hidden="1" x14ac:dyDescent="0.2">
      <c r="E507" s="28"/>
      <c r="F507" s="29"/>
      <c r="G507" s="28"/>
      <c r="H507" s="28"/>
      <c r="I507" s="28"/>
      <c r="N507" s="31">
        <f>IF(AND(H474&gt;K509, H474&lt;=M509),H474,0)</f>
        <v>0</v>
      </c>
      <c r="O507" s="31">
        <f>0+(30/100)*(-K509+N507)</f>
        <v>0</v>
      </c>
    </row>
    <row r="508" spans="1:15" hidden="1" x14ac:dyDescent="0.2">
      <c r="A508" s="43" t="s">
        <v>22</v>
      </c>
      <c r="B508" s="43"/>
      <c r="C508" s="43"/>
      <c r="D508" s="43"/>
      <c r="E508" s="31"/>
      <c r="F508" s="32"/>
      <c r="G508" s="31"/>
      <c r="H508" s="31"/>
      <c r="I508" s="44" t="s">
        <v>7</v>
      </c>
      <c r="K508" s="43" t="s">
        <v>23</v>
      </c>
      <c r="L508" s="43"/>
      <c r="M508" s="31"/>
      <c r="N508" s="31">
        <f>IF(AND(H474&gt;K510, H474&lt;=M510),H474,0)</f>
        <v>0</v>
      </c>
      <c r="O508" s="31">
        <f>(12500/100*30)+((35/100)*(-K510+N508))</f>
        <v>-625</v>
      </c>
    </row>
    <row r="509" spans="1:15" hidden="1" x14ac:dyDescent="0.2">
      <c r="A509" s="31">
        <v>0</v>
      </c>
      <c r="B509" s="31"/>
      <c r="C509" s="31"/>
      <c r="D509" s="31"/>
      <c r="E509" s="31">
        <v>12500</v>
      </c>
      <c r="F509" s="32"/>
      <c r="G509" s="31"/>
      <c r="H509" s="31">
        <f>IF(AND(H474&gt;A509, H474&lt;=E509),H474,0)</f>
        <v>0</v>
      </c>
      <c r="I509" s="31">
        <f>0+(25/100)*(-A509+H509)</f>
        <v>0</v>
      </c>
      <c r="K509" s="31">
        <v>0</v>
      </c>
      <c r="L509" s="31"/>
      <c r="M509" s="31">
        <v>12500</v>
      </c>
      <c r="N509" s="31">
        <f>IF(AND(H474&gt;K511, H474&lt;=M511),H474,0)</f>
        <v>0</v>
      </c>
      <c r="O509" s="31">
        <f>(12500/100*30)+(12500/100*35)+((60/100)*(-K511+N509))</f>
        <v>-6875</v>
      </c>
    </row>
    <row r="510" spans="1:15" hidden="1" x14ac:dyDescent="0.2">
      <c r="A510" s="31">
        <f>E509</f>
        <v>12500</v>
      </c>
      <c r="B510" s="31"/>
      <c r="C510" s="31"/>
      <c r="D510" s="31"/>
      <c r="E510" s="31">
        <v>25000</v>
      </c>
      <c r="F510" s="32"/>
      <c r="G510" s="31"/>
      <c r="H510" s="31">
        <f>IF(AND(H474&gt;A510, H474&lt;=E510),H474,0)</f>
        <v>0</v>
      </c>
      <c r="I510" s="31">
        <f>(12500/100*25)+((30/100)*(-A510+H510))</f>
        <v>-625</v>
      </c>
      <c r="K510" s="31">
        <f>M509</f>
        <v>12500</v>
      </c>
      <c r="L510" s="31"/>
      <c r="M510" s="31">
        <v>25000</v>
      </c>
      <c r="N510" s="31">
        <f>IF(AND(H474&gt;K512, H474&lt;=M512),H474,0)</f>
        <v>0</v>
      </c>
      <c r="O510" s="31">
        <f>(12500/100*30)+(12500/100*35)+(50000/100*60)+((80/100)*(-K512+N510))</f>
        <v>-21875</v>
      </c>
    </row>
    <row r="511" spans="1:15" hidden="1" x14ac:dyDescent="0.2">
      <c r="A511" s="31">
        <f>E510</f>
        <v>25000</v>
      </c>
      <c r="B511" s="31"/>
      <c r="C511" s="31"/>
      <c r="D511" s="31"/>
      <c r="E511" s="31">
        <v>75000</v>
      </c>
      <c r="F511" s="32"/>
      <c r="G511" s="31"/>
      <c r="H511" s="31">
        <f>IF(AND(H474&gt;A511, H474&lt;=E511),H474,0)</f>
        <v>0</v>
      </c>
      <c r="I511" s="31">
        <f>(12500/100*25)+(12500/100*30)+((40/100)*(-A511+H511))</f>
        <v>-3125</v>
      </c>
      <c r="K511" s="31">
        <f>M510</f>
        <v>25000</v>
      </c>
      <c r="L511" s="31"/>
      <c r="M511" s="31">
        <v>75000</v>
      </c>
      <c r="N511" s="31">
        <f>IF(AND(H474&gt;K513, H474&lt;=M513),H474,0)</f>
        <v>0</v>
      </c>
      <c r="O511" s="31">
        <f>(12500/100*30)+(12500/100*35)+(50000/100*60)+(100000/100*80)+((80/100)*(-K513+N511))</f>
        <v>-21875</v>
      </c>
    </row>
    <row r="512" spans="1:15" hidden="1" x14ac:dyDescent="0.2">
      <c r="A512" s="31">
        <f>E511</f>
        <v>75000</v>
      </c>
      <c r="B512" s="31"/>
      <c r="C512" s="31"/>
      <c r="D512" s="31"/>
      <c r="E512" s="31">
        <v>175000</v>
      </c>
      <c r="F512" s="32"/>
      <c r="G512" s="31"/>
      <c r="H512" s="31">
        <f>IF(AND(H474&gt;A512, H474&lt;=E512),H474,0)</f>
        <v>0</v>
      </c>
      <c r="I512" s="31">
        <f>(12500/100*25)+(12500/100*30)+(50000/100*40)+((55/100)*(-A512+H512))</f>
        <v>-14375</v>
      </c>
      <c r="K512" s="31">
        <f>M511</f>
        <v>75000</v>
      </c>
      <c r="L512" s="31"/>
      <c r="M512" s="31">
        <v>175000</v>
      </c>
      <c r="N512" s="31"/>
      <c r="O512" s="31">
        <f>VLOOKUP(H474,N507:O511,2,FALSE)</f>
        <v>0</v>
      </c>
    </row>
    <row r="513" spans="1:13" hidden="1" x14ac:dyDescent="0.2">
      <c r="A513" s="31">
        <f>E512</f>
        <v>175000</v>
      </c>
      <c r="B513" s="31"/>
      <c r="C513" s="31"/>
      <c r="D513" s="31"/>
      <c r="E513" s="31">
        <v>999999999</v>
      </c>
      <c r="F513" s="32"/>
      <c r="G513" s="31"/>
      <c r="H513" s="31">
        <f>IF(AND(H474&gt;A513, H474&lt;=E513),H474,0)</f>
        <v>0</v>
      </c>
      <c r="I513" s="31">
        <f>(12500/100*25)+(12500/100*30)+(50000/100*40)+(100000/100*55)+((70/100)*(-A513+H513))</f>
        <v>-40624.999999999985</v>
      </c>
      <c r="K513" s="31">
        <f>M512</f>
        <v>175000</v>
      </c>
      <c r="L513" s="31"/>
      <c r="M513" s="31">
        <v>999999999</v>
      </c>
    </row>
    <row r="514" spans="1:13" hidden="1" x14ac:dyDescent="0.2">
      <c r="A514" s="45" t="s">
        <v>4</v>
      </c>
      <c r="B514" s="45"/>
      <c r="C514" s="45"/>
      <c r="D514" s="45"/>
      <c r="E514" s="31"/>
      <c r="F514" s="32"/>
      <c r="G514" s="31"/>
      <c r="H514" s="31"/>
      <c r="I514" s="31">
        <f>VLOOKUP(H474,H509:I513,2,FALSE)</f>
        <v>0</v>
      </c>
      <c r="K514" s="45" t="s">
        <v>4</v>
      </c>
      <c r="L514" s="45"/>
      <c r="M514" s="31"/>
    </row>
    <row r="515" spans="1:13" hidden="1" x14ac:dyDescent="0.2"/>
    <row r="516" spans="1:13" hidden="1" x14ac:dyDescent="0.2">
      <c r="E516" s="5">
        <f>IF(A517&gt;0,A517-F521,0)</f>
        <v>0</v>
      </c>
    </row>
    <row r="517" spans="1:13" hidden="1" x14ac:dyDescent="0.2">
      <c r="A517" s="5">
        <f>IF(AND(E17="oui",F32="ligne directe"),I495,0)</f>
        <v>0</v>
      </c>
      <c r="E517" s="5">
        <f>IF(E516&gt;0,E516,0)</f>
        <v>0</v>
      </c>
      <c r="F517" s="5">
        <f>IF(AND(F32="ligne directe",H474&lt;=125000,E17="oui"),250,0)</f>
        <v>0</v>
      </c>
      <c r="G517" s="5">
        <f>IF(AND(F517&gt;0,(I495-F517&gt;=0)),I495-F517,0)</f>
        <v>0</v>
      </c>
    </row>
    <row r="518" spans="1:13" hidden="1" x14ac:dyDescent="0.2">
      <c r="A518" s="5">
        <f>IF(AND(E17="oui",F32="épou(x)(se)"),I495,0)</f>
        <v>0</v>
      </c>
      <c r="E518" s="5">
        <f>IF(A518&gt;0,A518-F521,0)</f>
        <v>0</v>
      </c>
      <c r="F518" s="5">
        <f>IF(AND(F32="ligne directe",H474&gt;125000,E17="oui"),125,0)</f>
        <v>0</v>
      </c>
      <c r="G518" s="5">
        <f>IF(AND(F518&gt;0,(I495-F518&gt;=0)),I495-F518,0)</f>
        <v>0</v>
      </c>
    </row>
    <row r="519" spans="1:13" hidden="1" x14ac:dyDescent="0.2">
      <c r="A519" s="5">
        <f>IF(AND(E17="non",F32="ligne directe"),I486,0)</f>
        <v>0</v>
      </c>
      <c r="E519" s="5">
        <f>IF(AND(E17="non",F32="ligne directe"),I486,0)</f>
        <v>0</v>
      </c>
      <c r="F519" s="5">
        <f>IF(AND(F32="épou(x)(se)",H474&lt;=125000,E17="oui"),250,0)</f>
        <v>0</v>
      </c>
      <c r="G519" s="5">
        <f>IF(AND(F519&gt;0,(I495-F519&gt;=0)),I495-F519,0)</f>
        <v>0</v>
      </c>
    </row>
    <row r="520" spans="1:13" hidden="1" x14ac:dyDescent="0.2">
      <c r="A520" s="5">
        <f>IF(AND(E17="non",F32="épou(x)(se)"),I486,0)</f>
        <v>0</v>
      </c>
      <c r="E520" s="5">
        <f>IF(AND(E17="non",F32="épou(x)(se)"),I486,0)</f>
        <v>0</v>
      </c>
      <c r="F520" s="5">
        <f>IF(AND(F32="épou(x)(se)",H474&gt;125000,E17="oui"),125,0)</f>
        <v>0</v>
      </c>
      <c r="G520" s="5">
        <f>IF(AND(F520&gt;0,(I495-F520&gt;=0)),I495-F520,0)</f>
        <v>0</v>
      </c>
    </row>
    <row r="521" spans="1:13" hidden="1" x14ac:dyDescent="0.2">
      <c r="A521" s="5">
        <f>IF(F32="frère/soeur",I503,0)</f>
        <v>0</v>
      </c>
      <c r="E521" s="5">
        <f>IF(F32="frère/soeur",I503,0)</f>
        <v>0</v>
      </c>
      <c r="F521" s="5">
        <f>SUM(F517:F520)</f>
        <v>0</v>
      </c>
      <c r="G521" s="5">
        <f>SUM(G517:G520)</f>
        <v>0</v>
      </c>
    </row>
    <row r="522" spans="1:13" hidden="1" x14ac:dyDescent="0.2">
      <c r="A522" s="5">
        <f>IF(F32="oncle-tante/neveu-nièce",I514,0)</f>
        <v>0</v>
      </c>
      <c r="E522" s="5">
        <f>IF(F32="oncle-tante/neveu-nièce",I514,0)</f>
        <v>0</v>
      </c>
      <c r="F522" s="5"/>
    </row>
    <row r="523" spans="1:13" hidden="1" x14ac:dyDescent="0.2">
      <c r="A523" s="5">
        <f>IF(F32="étrangers",O512,0)</f>
        <v>0</v>
      </c>
      <c r="E523" s="5">
        <f>IF(F32="étrangers",O512,0)</f>
        <v>0</v>
      </c>
      <c r="F523" s="5"/>
    </row>
    <row r="524" spans="1:13" hidden="1" x14ac:dyDescent="0.2">
      <c r="F524" s="5"/>
    </row>
    <row r="525" spans="1:13" hidden="1" x14ac:dyDescent="0.2">
      <c r="A525" s="5">
        <f>SUM(A517:A524)</f>
        <v>0</v>
      </c>
      <c r="E525" s="5">
        <f>SUM(E517:E524)</f>
        <v>0</v>
      </c>
      <c r="F525" s="5"/>
    </row>
    <row r="526" spans="1:13" hidden="1" x14ac:dyDescent="0.2">
      <c r="F526" s="5"/>
    </row>
    <row r="527" spans="1:13" hidden="1" x14ac:dyDescent="0.2">
      <c r="F527" s="5"/>
    </row>
    <row r="528" spans="1:13" hidden="1" x14ac:dyDescent="0.2">
      <c r="A528" s="5" t="s">
        <v>93</v>
      </c>
      <c r="E528" s="5" t="s">
        <v>100</v>
      </c>
      <c r="F528" s="5"/>
    </row>
    <row r="529" spans="1:11" hidden="1" x14ac:dyDescent="0.2">
      <c r="F529" s="5"/>
    </row>
    <row r="530" spans="1:11" hidden="1" x14ac:dyDescent="0.2">
      <c r="A530" s="5" t="s">
        <v>93</v>
      </c>
      <c r="E530" s="5">
        <f>IF(I32=3,E525*12%,0)</f>
        <v>0</v>
      </c>
      <c r="F530" s="5">
        <f>IF(E530&gt;372,372,E530)</f>
        <v>0</v>
      </c>
      <c r="H530" s="5" t="s">
        <v>26</v>
      </c>
      <c r="I530" s="5">
        <f>6%*E525</f>
        <v>0</v>
      </c>
      <c r="J530" s="5">
        <f>IF(I530&gt;186,186,I530)</f>
        <v>0</v>
      </c>
      <c r="K530" s="5">
        <f>IF(I32=3,J530,0)</f>
        <v>0</v>
      </c>
    </row>
    <row r="531" spans="1:11" hidden="1" x14ac:dyDescent="0.2">
      <c r="E531" s="5">
        <f>IF(I32=4,E525*16%,0)</f>
        <v>0</v>
      </c>
      <c r="F531" s="5">
        <f>IF(E531&gt;496,496,E531)</f>
        <v>0</v>
      </c>
      <c r="H531" s="5" t="s">
        <v>27</v>
      </c>
      <c r="I531" s="5">
        <f>8%*E525</f>
        <v>0</v>
      </c>
      <c r="J531" s="5">
        <f>IF(I531&gt;248,248,I531)</f>
        <v>0</v>
      </c>
      <c r="K531" s="5">
        <f>IF(I32=4,J531,0)</f>
        <v>0</v>
      </c>
    </row>
    <row r="532" spans="1:11" hidden="1" x14ac:dyDescent="0.2">
      <c r="E532" s="5">
        <f>IF(I32=5,E525*20%,0)</f>
        <v>0</v>
      </c>
      <c r="F532" s="5">
        <f>IF(E532&gt;620,620,E532)</f>
        <v>0</v>
      </c>
      <c r="I532" s="5">
        <f>10%*E525</f>
        <v>0</v>
      </c>
      <c r="J532" s="5">
        <f>IF(I532&gt;310,310,I532)</f>
        <v>0</v>
      </c>
      <c r="K532" s="5">
        <f>IF(I32=5,J532,0)</f>
        <v>0</v>
      </c>
    </row>
    <row r="533" spans="1:11" hidden="1" x14ac:dyDescent="0.2">
      <c r="E533" s="5">
        <f>IF(I32=6,E525*24%,0)</f>
        <v>0</v>
      </c>
      <c r="F533" s="5">
        <f>IF(E533&gt;744,744,E533)</f>
        <v>0</v>
      </c>
      <c r="I533" s="5">
        <f>12%*E525</f>
        <v>0</v>
      </c>
      <c r="J533" s="5">
        <f>IF(I533&gt;372,372,I533)</f>
        <v>0</v>
      </c>
      <c r="K533" s="5">
        <f>IF(I32=6,J533,0)</f>
        <v>0</v>
      </c>
    </row>
    <row r="534" spans="1:11" hidden="1" x14ac:dyDescent="0.2">
      <c r="E534" s="5">
        <f>IF(I32=7,E525*28%,0)</f>
        <v>0</v>
      </c>
      <c r="F534" s="5">
        <f>IF(E534&gt;868,868,E534)</f>
        <v>0</v>
      </c>
      <c r="I534" s="5">
        <f>14%*E525</f>
        <v>0</v>
      </c>
      <c r="J534" s="5">
        <f>IF(I534&gt;434,434,I534)</f>
        <v>0</v>
      </c>
      <c r="K534" s="5">
        <f>IF(I32=7,J534,0)</f>
        <v>0</v>
      </c>
    </row>
    <row r="535" spans="1:11" hidden="1" x14ac:dyDescent="0.2">
      <c r="E535" s="5">
        <f>IF(I32=8,E525*32%,0)</f>
        <v>0</v>
      </c>
      <c r="F535" s="5">
        <f>IF(E535&gt;992,992,E535)</f>
        <v>0</v>
      </c>
      <c r="I535" s="5">
        <f>16%*E525</f>
        <v>0</v>
      </c>
      <c r="J535" s="5">
        <f>IF(I535&gt;496,496,I535)</f>
        <v>0</v>
      </c>
      <c r="K535" s="5">
        <f>IF(I32=8,J535,0)</f>
        <v>0</v>
      </c>
    </row>
    <row r="536" spans="1:11" hidden="1" x14ac:dyDescent="0.2">
      <c r="E536" s="5">
        <f>IF(I32=9,E525*36%,0)</f>
        <v>0</v>
      </c>
      <c r="F536" s="5">
        <f>IF(E536&gt;1116,1116,E536)</f>
        <v>0</v>
      </c>
      <c r="I536" s="5">
        <f>18%*E525</f>
        <v>0</v>
      </c>
      <c r="J536" s="5">
        <f>IF(I536&gt;558,558,I536)</f>
        <v>0</v>
      </c>
      <c r="K536" s="5">
        <f>IF(I32=9,J536,0)</f>
        <v>0</v>
      </c>
    </row>
    <row r="537" spans="1:11" hidden="1" x14ac:dyDescent="0.2">
      <c r="E537" s="5">
        <f>IF(I32=10,E525*40%,0)</f>
        <v>0</v>
      </c>
      <c r="F537" s="5">
        <f>IF(E537&gt;1240,1240,E537)</f>
        <v>0</v>
      </c>
      <c r="I537" s="5">
        <f>20%*E525</f>
        <v>0</v>
      </c>
      <c r="J537" s="5">
        <f>IF(I537&gt;620,620,I537)</f>
        <v>0</v>
      </c>
      <c r="K537" s="5">
        <f>IF(I32=10,J537,0)</f>
        <v>0</v>
      </c>
    </row>
    <row r="538" spans="1:11" hidden="1" x14ac:dyDescent="0.2">
      <c r="F538" s="5"/>
    </row>
    <row r="539" spans="1:11" hidden="1" x14ac:dyDescent="0.2">
      <c r="F539" s="5">
        <f>SUM(F530:F538)</f>
        <v>0</v>
      </c>
      <c r="K539" s="5">
        <f>SUM(K530:K538)</f>
        <v>0</v>
      </c>
    </row>
    <row r="540" spans="1:11" hidden="1" x14ac:dyDescent="0.2"/>
    <row r="541" spans="1:11" hidden="1" x14ac:dyDescent="0.2"/>
    <row r="542" spans="1:11" hidden="1" x14ac:dyDescent="0.2"/>
    <row r="543" spans="1:11" hidden="1" x14ac:dyDescent="0.2">
      <c r="A543" s="5" t="s">
        <v>33</v>
      </c>
      <c r="E543" s="20">
        <f>E525-F539</f>
        <v>0</v>
      </c>
      <c r="G543" s="5" t="s">
        <v>34</v>
      </c>
      <c r="H543" s="47">
        <f>E525-K539</f>
        <v>0</v>
      </c>
    </row>
    <row r="544" spans="1:11" hidden="1" x14ac:dyDescent="0.2"/>
    <row r="545" hidden="1" x14ac:dyDescent="0.2"/>
    <row r="546" hidden="1" x14ac:dyDescent="0.2"/>
    <row r="547" hidden="1" x14ac:dyDescent="0.2"/>
    <row r="548" hidden="1" x14ac:dyDescent="0.2"/>
    <row r="549" hidden="1" x14ac:dyDescent="0.2"/>
    <row r="550" hidden="1" x14ac:dyDescent="0.2"/>
    <row r="551" hidden="1" x14ac:dyDescent="0.2"/>
    <row r="552" hidden="1" x14ac:dyDescent="0.2"/>
    <row r="553" hidden="1" x14ac:dyDescent="0.2"/>
    <row r="554" hidden="1" x14ac:dyDescent="0.2"/>
    <row r="555" hidden="1" x14ac:dyDescent="0.2"/>
    <row r="556" hidden="1" x14ac:dyDescent="0.2"/>
    <row r="557" hidden="1" x14ac:dyDescent="0.2"/>
    <row r="558" hidden="1" x14ac:dyDescent="0.2"/>
    <row r="559" hidden="1" x14ac:dyDescent="0.2"/>
    <row r="560" hidden="1" x14ac:dyDescent="0.2"/>
    <row r="561" spans="1:9" hidden="1" x14ac:dyDescent="0.2"/>
    <row r="562" spans="1:9" hidden="1" x14ac:dyDescent="0.2"/>
    <row r="563" spans="1:9" hidden="1" x14ac:dyDescent="0.2"/>
    <row r="564" spans="1:9" hidden="1" x14ac:dyDescent="0.2"/>
    <row r="565" spans="1:9" hidden="1" x14ac:dyDescent="0.2"/>
    <row r="566" spans="1:9" hidden="1" x14ac:dyDescent="0.2"/>
    <row r="567" spans="1:9" hidden="1" x14ac:dyDescent="0.2"/>
    <row r="568" spans="1:9" hidden="1" x14ac:dyDescent="0.2"/>
    <row r="569" spans="1:9" hidden="1" x14ac:dyDescent="0.2"/>
    <row r="570" spans="1:9" hidden="1" x14ac:dyDescent="0.2"/>
    <row r="571" spans="1:9" hidden="1" x14ac:dyDescent="0.2"/>
    <row r="572" spans="1:9" hidden="1" x14ac:dyDescent="0.2"/>
    <row r="573" spans="1:9" hidden="1" x14ac:dyDescent="0.2"/>
    <row r="574" spans="1:9" hidden="1" x14ac:dyDescent="0.2">
      <c r="H574" s="28">
        <f>G181</f>
        <v>0</v>
      </c>
    </row>
    <row r="575" spans="1:9" hidden="1" x14ac:dyDescent="0.2"/>
    <row r="576" spans="1:9" hidden="1" x14ac:dyDescent="0.2">
      <c r="A576" s="43" t="s">
        <v>2</v>
      </c>
      <c r="B576" s="43"/>
      <c r="C576" s="43"/>
      <c r="D576" s="43"/>
      <c r="E576" s="31"/>
      <c r="F576" s="32"/>
      <c r="G576" s="31"/>
      <c r="H576" s="31"/>
      <c r="I576" s="44" t="s">
        <v>3</v>
      </c>
    </row>
    <row r="577" spans="1:9" hidden="1" x14ac:dyDescent="0.2">
      <c r="A577" s="31">
        <v>0</v>
      </c>
      <c r="B577" s="31"/>
      <c r="C577" s="31"/>
      <c r="D577" s="31"/>
      <c r="E577" s="31">
        <v>12500</v>
      </c>
      <c r="F577" s="32"/>
      <c r="G577" s="31"/>
      <c r="H577" s="31">
        <f>IF(AND(H574&gt;A577,H574&lt;=E577),H574,0)</f>
        <v>0</v>
      </c>
      <c r="I577" s="31">
        <f>0+(3/100)*(-A577+H577)</f>
        <v>0</v>
      </c>
    </row>
    <row r="578" spans="1:9" hidden="1" x14ac:dyDescent="0.2">
      <c r="A578" s="31">
        <f t="shared" ref="A578:A585" si="23">E577</f>
        <v>12500</v>
      </c>
      <c r="B578" s="31"/>
      <c r="C578" s="31"/>
      <c r="D578" s="31"/>
      <c r="E578" s="31">
        <v>25000</v>
      </c>
      <c r="F578" s="32"/>
      <c r="G578" s="31"/>
      <c r="H578" s="31">
        <f>IF(AND(H574&gt;A578, H574&lt;=E578),H574,0)</f>
        <v>0</v>
      </c>
      <c r="I578" s="31">
        <f>(12500/100*3)+(4/100)*(-A578+H578)</f>
        <v>-125</v>
      </c>
    </row>
    <row r="579" spans="1:9" hidden="1" x14ac:dyDescent="0.2">
      <c r="A579" s="31">
        <f t="shared" si="23"/>
        <v>25000</v>
      </c>
      <c r="B579" s="31"/>
      <c r="C579" s="31"/>
      <c r="D579" s="31"/>
      <c r="E579" s="31">
        <v>50000</v>
      </c>
      <c r="F579" s="32"/>
      <c r="G579" s="31"/>
      <c r="H579" s="31">
        <f>IF(AND(H574&gt;A579, H574&lt;=E579),H574,0)</f>
        <v>0</v>
      </c>
      <c r="I579" s="31">
        <f>(12500/100*3)+(12500/100*4)+((5/100)*(-A579+H579))</f>
        <v>-375</v>
      </c>
    </row>
    <row r="580" spans="1:9" hidden="1" x14ac:dyDescent="0.2">
      <c r="A580" s="31">
        <f t="shared" si="23"/>
        <v>50000</v>
      </c>
      <c r="B580" s="31"/>
      <c r="C580" s="31"/>
      <c r="D580" s="31"/>
      <c r="E580" s="31">
        <v>100000</v>
      </c>
      <c r="F580" s="32"/>
      <c r="G580" s="31"/>
      <c r="H580" s="31">
        <f>IF(AND(H574&gt;A580, H574&lt;=E580),H574,0)</f>
        <v>0</v>
      </c>
      <c r="I580" s="31">
        <f>(12500/100*3)+(12500/100*4)+(25000/100*5)+((7/100)*(-A580+H580))</f>
        <v>-1375.0000000000005</v>
      </c>
    </row>
    <row r="581" spans="1:9" hidden="1" x14ac:dyDescent="0.2">
      <c r="A581" s="31">
        <f t="shared" si="23"/>
        <v>100000</v>
      </c>
      <c r="B581" s="31"/>
      <c r="C581" s="31"/>
      <c r="D581" s="31"/>
      <c r="E581" s="31">
        <v>150000</v>
      </c>
      <c r="F581" s="32"/>
      <c r="G581" s="31"/>
      <c r="H581" s="31">
        <f>IF(AND(H574&gt;A581, H574&lt;=E581),H574,0)</f>
        <v>0</v>
      </c>
      <c r="I581" s="31">
        <f>(12500/100*3)+(12500/100*4)+(25000/100*5)+(50000/100*7)+((10/100)*(-A581+H581))</f>
        <v>-4375</v>
      </c>
    </row>
    <row r="582" spans="1:9" hidden="1" x14ac:dyDescent="0.2">
      <c r="A582" s="31">
        <f t="shared" si="23"/>
        <v>150000</v>
      </c>
      <c r="B582" s="31"/>
      <c r="C582" s="31"/>
      <c r="D582" s="31"/>
      <c r="E582" s="31">
        <v>200000</v>
      </c>
      <c r="F582" s="32"/>
      <c r="G582" s="31"/>
      <c r="H582" s="31">
        <f>IF(AND(H574&gt;A582, H574&lt;=E582),H574,0)</f>
        <v>0</v>
      </c>
      <c r="I582" s="31">
        <f>(12500/100*3)+(12500/100*4)+(25000/100*5)+(50000/100*7)+(50000/100*10)+((14/100)*(-A582+H582))</f>
        <v>-10375.000000000004</v>
      </c>
    </row>
    <row r="583" spans="1:9" hidden="1" x14ac:dyDescent="0.2">
      <c r="A583" s="31">
        <f t="shared" si="23"/>
        <v>200000</v>
      </c>
      <c r="B583" s="31"/>
      <c r="C583" s="31"/>
      <c r="D583" s="31"/>
      <c r="E583" s="31">
        <v>250000</v>
      </c>
      <c r="F583" s="32"/>
      <c r="G583" s="31"/>
      <c r="H583" s="31">
        <f>IF(AND(H574&gt;A583, H574&lt;=E583),H574,0)</f>
        <v>0</v>
      </c>
      <c r="I583" s="31">
        <f>(12500/100*3)+(12500/100*4)+(25000/100*5)+(50000/100*7)+(50000/100*10)+(50000/100*14)+((18/100)*(-A583+H583))</f>
        <v>-18375</v>
      </c>
    </row>
    <row r="584" spans="1:9" hidden="1" x14ac:dyDescent="0.2">
      <c r="A584" s="31">
        <f t="shared" si="23"/>
        <v>250000</v>
      </c>
      <c r="B584" s="31"/>
      <c r="C584" s="31"/>
      <c r="D584" s="31"/>
      <c r="E584" s="31">
        <v>500000</v>
      </c>
      <c r="F584" s="32"/>
      <c r="G584" s="31"/>
      <c r="H584" s="31">
        <f>IF(AND(H574&gt;A584, H574&lt;=E584),H574,0)</f>
        <v>0</v>
      </c>
      <c r="I584" s="31">
        <f>(12500/100*3)+(12500/100*4)+(25000/100*5)+(50000/100*7)+(50000/100*10)+(50000/100*14)+(50000/100*18)+((24/100)*(-A584+H584))</f>
        <v>-33375</v>
      </c>
    </row>
    <row r="585" spans="1:9" hidden="1" x14ac:dyDescent="0.2">
      <c r="A585" s="31">
        <f t="shared" si="23"/>
        <v>500000</v>
      </c>
      <c r="B585" s="31"/>
      <c r="C585" s="31"/>
      <c r="D585" s="31"/>
      <c r="E585" s="31">
        <v>999999999</v>
      </c>
      <c r="F585" s="32"/>
      <c r="G585" s="31"/>
      <c r="H585" s="31">
        <f>IF(AND(H574&gt;A585, H574&lt;=E585),H574,0)</f>
        <v>0</v>
      </c>
      <c r="I585" s="31">
        <f>(12500/100*3)+(12500/100*4)+(25000/100*5)+(50000/100*7)+(50000/100*10)+(50000/100*14)+(50000/100*18)+(250000/100*24)+((30/100)*(-A585+H585))</f>
        <v>-63375</v>
      </c>
    </row>
    <row r="586" spans="1:9" hidden="1" x14ac:dyDescent="0.2">
      <c r="A586" s="45" t="s">
        <v>4</v>
      </c>
      <c r="B586" s="45"/>
      <c r="C586" s="45"/>
      <c r="D586" s="45"/>
      <c r="E586" s="31"/>
      <c r="F586" s="32"/>
      <c r="G586" s="31"/>
      <c r="H586" s="31"/>
      <c r="I586" s="31">
        <f>VLOOKUP(H574,H577:I585,2,FALSE)</f>
        <v>0</v>
      </c>
    </row>
    <row r="587" spans="1:9" hidden="1" x14ac:dyDescent="0.2">
      <c r="A587" s="45"/>
      <c r="B587" s="45"/>
      <c r="C587" s="45"/>
      <c r="D587" s="45"/>
      <c r="E587" s="31"/>
      <c r="F587" s="32"/>
      <c r="G587" s="31"/>
      <c r="H587" s="31"/>
      <c r="I587" s="31"/>
    </row>
    <row r="588" spans="1:9" hidden="1" x14ac:dyDescent="0.2">
      <c r="A588" s="46" t="s">
        <v>24</v>
      </c>
      <c r="B588" s="46"/>
      <c r="C588" s="46"/>
      <c r="D588" s="46"/>
      <c r="E588" s="31"/>
      <c r="F588" s="32"/>
      <c r="G588" s="31"/>
      <c r="H588" s="31"/>
      <c r="I588" s="44" t="s">
        <v>25</v>
      </c>
    </row>
    <row r="589" spans="1:9" hidden="1" x14ac:dyDescent="0.2">
      <c r="A589" s="31">
        <v>0</v>
      </c>
      <c r="B589" s="31"/>
      <c r="C589" s="31"/>
      <c r="D589" s="31"/>
      <c r="E589" s="31">
        <v>25000</v>
      </c>
      <c r="F589" s="32"/>
      <c r="G589" s="31"/>
      <c r="H589" s="31">
        <f>IF(AND(H574&gt;A589, H574&lt;=E589),H574,0)</f>
        <v>0</v>
      </c>
      <c r="I589" s="31">
        <f>0+(1/100)*(-A589+H589)</f>
        <v>0</v>
      </c>
    </row>
    <row r="590" spans="1:9" hidden="1" x14ac:dyDescent="0.2">
      <c r="A590" s="31">
        <f>E589</f>
        <v>25000</v>
      </c>
      <c r="B590" s="31"/>
      <c r="C590" s="31"/>
      <c r="D590" s="31"/>
      <c r="E590" s="31">
        <v>50000</v>
      </c>
      <c r="F590" s="32"/>
      <c r="G590" s="31"/>
      <c r="H590" s="31">
        <f>IF(AND(H574&gt;A590, H574&lt;=E590),H574,0)</f>
        <v>0</v>
      </c>
      <c r="I590" s="31">
        <f>(25000/100*1)+(2/100)*(-A590+H590)</f>
        <v>-250</v>
      </c>
    </row>
    <row r="591" spans="1:9" hidden="1" x14ac:dyDescent="0.2">
      <c r="A591" s="31">
        <f>E590</f>
        <v>50000</v>
      </c>
      <c r="B591" s="31"/>
      <c r="C591" s="31"/>
      <c r="D591" s="31"/>
      <c r="E591" s="31">
        <v>175000</v>
      </c>
      <c r="F591" s="32"/>
      <c r="G591" s="31"/>
      <c r="H591" s="31">
        <f>IF(AND(H574&gt;A591, H574&lt;=E591),H574,0)</f>
        <v>0</v>
      </c>
      <c r="I591" s="31">
        <f>(25000/100*1)+(25000/100*2)+((5/100)*(-A591+H591))</f>
        <v>-1750</v>
      </c>
    </row>
    <row r="592" spans="1:9" hidden="1" x14ac:dyDescent="0.2">
      <c r="A592" s="31">
        <f>E591</f>
        <v>175000</v>
      </c>
      <c r="B592" s="31"/>
      <c r="C592" s="31"/>
      <c r="D592" s="31"/>
      <c r="E592" s="31">
        <v>250000</v>
      </c>
      <c r="F592" s="32"/>
      <c r="G592" s="31"/>
      <c r="H592" s="31">
        <f>IF(AND(H574&gt;A592, H574&lt;=E592),H574,0)</f>
        <v>0</v>
      </c>
      <c r="I592" s="31">
        <f>(25000/100*1)+(25000/100*2)+(125000/100*5)+((12/100)*(-A592+H592))</f>
        <v>-14000</v>
      </c>
    </row>
    <row r="593" spans="1:15" hidden="1" x14ac:dyDescent="0.2">
      <c r="A593" s="31">
        <f>E592</f>
        <v>250000</v>
      </c>
      <c r="B593" s="31"/>
      <c r="C593" s="31"/>
      <c r="D593" s="31"/>
      <c r="E593" s="31">
        <v>500000</v>
      </c>
      <c r="F593" s="32"/>
      <c r="G593" s="31"/>
      <c r="H593" s="31">
        <f>IF(AND(H574&gt;A593, H574&lt;=E593),H574,0)</f>
        <v>0</v>
      </c>
      <c r="I593" s="31">
        <f>(25000/100*1)+(25000/100*2)+(125000/100*5)+(75000/100*12)+((24/100)*(-A593+H593))</f>
        <v>-44000</v>
      </c>
    </row>
    <row r="594" spans="1:15" hidden="1" x14ac:dyDescent="0.2">
      <c r="A594" s="31">
        <f>E593</f>
        <v>500000</v>
      </c>
      <c r="B594" s="31"/>
      <c r="C594" s="31"/>
      <c r="D594" s="31"/>
      <c r="E594" s="31">
        <v>999999999</v>
      </c>
      <c r="F594" s="32"/>
      <c r="G594" s="31"/>
      <c r="H594" s="31">
        <f>IF(AND(H574&gt;A594, H574&lt;=E594),H574,0)</f>
        <v>0</v>
      </c>
      <c r="I594" s="31">
        <f>(25000/100*1)+(25000/100*2)+(125000/100*5)+(75000/100*12)+(250000/100*24)+((30/100)*(-A594+H594))</f>
        <v>-74000</v>
      </c>
    </row>
    <row r="595" spans="1:15" hidden="1" x14ac:dyDescent="0.2">
      <c r="A595" s="45" t="s">
        <v>4</v>
      </c>
      <c r="B595" s="45"/>
      <c r="C595" s="45"/>
      <c r="D595" s="45"/>
      <c r="E595" s="31"/>
      <c r="F595" s="32"/>
      <c r="G595" s="31"/>
      <c r="H595" s="31"/>
      <c r="I595" s="31">
        <f>VLOOKUP(H574,H589:I594,2,FALSE)</f>
        <v>0</v>
      </c>
    </row>
    <row r="596" spans="1:15" hidden="1" x14ac:dyDescent="0.2">
      <c r="A596" s="45"/>
      <c r="B596" s="45"/>
      <c r="C596" s="45"/>
      <c r="D596" s="45"/>
      <c r="E596" s="31"/>
      <c r="F596" s="32"/>
      <c r="G596" s="31"/>
      <c r="H596" s="31"/>
      <c r="I596" s="31"/>
    </row>
    <row r="597" spans="1:15" hidden="1" x14ac:dyDescent="0.2">
      <c r="A597" s="43" t="s">
        <v>5</v>
      </c>
      <c r="B597" s="43"/>
      <c r="C597" s="43"/>
      <c r="D597" s="43"/>
      <c r="E597" s="31"/>
      <c r="F597" s="32"/>
      <c r="G597" s="31"/>
      <c r="H597" s="31"/>
      <c r="I597" s="44" t="s">
        <v>6</v>
      </c>
    </row>
    <row r="598" spans="1:15" hidden="1" x14ac:dyDescent="0.2">
      <c r="A598" s="31">
        <v>0</v>
      </c>
      <c r="B598" s="31"/>
      <c r="C598" s="31"/>
      <c r="D598" s="31"/>
      <c r="E598" s="31">
        <v>12500</v>
      </c>
      <c r="F598" s="32"/>
      <c r="G598" s="31"/>
      <c r="H598" s="31">
        <f>IF(AND(H574&gt;A598, H574&lt;=E598),H574,0)</f>
        <v>0</v>
      </c>
      <c r="I598" s="31">
        <f>0+(20/100)*(-A598+H598)</f>
        <v>0</v>
      </c>
    </row>
    <row r="599" spans="1:15" hidden="1" x14ac:dyDescent="0.2">
      <c r="A599" s="31">
        <f>E598</f>
        <v>12500</v>
      </c>
      <c r="B599" s="31"/>
      <c r="C599" s="31"/>
      <c r="D599" s="31"/>
      <c r="E599" s="31">
        <v>25000</v>
      </c>
      <c r="F599" s="32"/>
      <c r="G599" s="31"/>
      <c r="H599" s="31">
        <f>IF(AND(H574&gt;A599, H574&lt;=E599),H574,0)</f>
        <v>0</v>
      </c>
      <c r="I599" s="31">
        <f>(12500/100*20)+((25/100)*(-A599+H599))</f>
        <v>-625</v>
      </c>
    </row>
    <row r="600" spans="1:15" hidden="1" x14ac:dyDescent="0.2">
      <c r="A600" s="31">
        <f>E599</f>
        <v>25000</v>
      </c>
      <c r="B600" s="31"/>
      <c r="C600" s="31"/>
      <c r="D600" s="31"/>
      <c r="E600" s="31">
        <v>75000</v>
      </c>
      <c r="F600" s="32"/>
      <c r="G600" s="31"/>
      <c r="H600" s="31">
        <f>IF(AND(H574&gt;A600, H574&lt;=E600),H574,0)</f>
        <v>0</v>
      </c>
      <c r="I600" s="31">
        <f>(12500/100*20)+(12500/100*25)+((35/100)*(-A600+H600))</f>
        <v>-3125</v>
      </c>
    </row>
    <row r="601" spans="1:15" hidden="1" x14ac:dyDescent="0.2">
      <c r="A601" s="31">
        <f>E600</f>
        <v>75000</v>
      </c>
      <c r="B601" s="31"/>
      <c r="C601" s="31"/>
      <c r="D601" s="31"/>
      <c r="E601" s="31">
        <v>175000</v>
      </c>
      <c r="F601" s="32"/>
      <c r="G601" s="31"/>
      <c r="H601" s="31">
        <f>IF(AND(H574&gt;A601, H574&lt;=E601),H574,0)</f>
        <v>0</v>
      </c>
      <c r="I601" s="31">
        <f>(12500/100*20)+(12500/100*25)+(50000/100*35)+((50/100)*(-A601+H601))</f>
        <v>-14375</v>
      </c>
    </row>
    <row r="602" spans="1:15" hidden="1" x14ac:dyDescent="0.2">
      <c r="A602" s="31">
        <f>E601</f>
        <v>175000</v>
      </c>
      <c r="B602" s="31"/>
      <c r="C602" s="31"/>
      <c r="D602" s="31"/>
      <c r="E602" s="31">
        <v>999999999</v>
      </c>
      <c r="F602" s="32"/>
      <c r="G602" s="31"/>
      <c r="H602" s="31">
        <f>IF(AND(H574&gt;A602, H574&lt;=E602),H574,0)</f>
        <v>0</v>
      </c>
      <c r="I602" s="31">
        <f>(12500/100*20)+(12500/100*25)+(50000/100*35)+(100000/100*50)+((65/100)*(-A602+H602))</f>
        <v>-40625</v>
      </c>
    </row>
    <row r="603" spans="1:15" hidden="1" x14ac:dyDescent="0.2">
      <c r="A603" s="45" t="s">
        <v>4</v>
      </c>
      <c r="B603" s="45"/>
      <c r="C603" s="45"/>
      <c r="D603" s="45"/>
      <c r="E603" s="31"/>
      <c r="F603" s="32"/>
      <c r="G603" s="31"/>
      <c r="H603" s="31"/>
      <c r="I603" s="31">
        <f>VLOOKUP(H574,H598:I602,2,FALSE)</f>
        <v>0</v>
      </c>
    </row>
    <row r="604" spans="1:15" hidden="1" x14ac:dyDescent="0.2"/>
    <row r="605" spans="1:15" hidden="1" x14ac:dyDescent="0.2">
      <c r="E605" s="28">
        <f>E486</f>
        <v>0</v>
      </c>
      <c r="F605" s="29"/>
      <c r="G605" s="28"/>
      <c r="H605" s="28"/>
      <c r="I605" s="28"/>
    </row>
    <row r="606" spans="1:15" hidden="1" x14ac:dyDescent="0.2">
      <c r="E606" s="28"/>
      <c r="F606" s="29"/>
      <c r="G606" s="28"/>
      <c r="H606" s="28"/>
      <c r="I606" s="28"/>
      <c r="N606" s="31"/>
      <c r="O606" s="44" t="s">
        <v>8</v>
      </c>
    </row>
    <row r="607" spans="1:15" hidden="1" x14ac:dyDescent="0.2">
      <c r="E607" s="28"/>
      <c r="F607" s="29"/>
      <c r="G607" s="28"/>
      <c r="H607" s="28"/>
      <c r="I607" s="28"/>
      <c r="N607" s="31">
        <f>IF(AND(H574&gt;K609, H574&lt;=M609),H574,0)</f>
        <v>0</v>
      </c>
      <c r="O607" s="31">
        <f>0+(30/100)*(-K609+N607)</f>
        <v>0</v>
      </c>
    </row>
    <row r="608" spans="1:15" hidden="1" x14ac:dyDescent="0.2">
      <c r="A608" s="43" t="s">
        <v>22</v>
      </c>
      <c r="B608" s="43"/>
      <c r="C608" s="43"/>
      <c r="D608" s="43"/>
      <c r="E608" s="31"/>
      <c r="F608" s="32"/>
      <c r="G608" s="31"/>
      <c r="H608" s="31"/>
      <c r="I608" s="44" t="s">
        <v>7</v>
      </c>
      <c r="K608" s="43" t="s">
        <v>23</v>
      </c>
      <c r="L608" s="43"/>
      <c r="M608" s="31"/>
      <c r="N608" s="31">
        <f>IF(AND(H574&gt;K610, H574&lt;=M610),H574,0)</f>
        <v>0</v>
      </c>
      <c r="O608" s="31">
        <f>(12500/100*30)+((35/100)*(-K610+N608))</f>
        <v>-625</v>
      </c>
    </row>
    <row r="609" spans="1:15" hidden="1" x14ac:dyDescent="0.2">
      <c r="A609" s="31">
        <v>0</v>
      </c>
      <c r="B609" s="31"/>
      <c r="C609" s="31"/>
      <c r="D609" s="31"/>
      <c r="E609" s="31">
        <v>12500</v>
      </c>
      <c r="F609" s="32"/>
      <c r="G609" s="31"/>
      <c r="H609" s="31">
        <f>IF(AND(H574&gt;A609, H574&lt;=E609),H574,0)</f>
        <v>0</v>
      </c>
      <c r="I609" s="31">
        <f>0+(25/100)*(-A609+H609)</f>
        <v>0</v>
      </c>
      <c r="K609" s="31">
        <v>0</v>
      </c>
      <c r="L609" s="31"/>
      <c r="M609" s="31">
        <v>12500</v>
      </c>
      <c r="N609" s="31">
        <f>IF(AND(H574&gt;K611, H574&lt;=M611),H574,0)</f>
        <v>0</v>
      </c>
      <c r="O609" s="31">
        <f>(12500/100*30)+(12500/100*35)+((60/100)*(-K611+N609))</f>
        <v>-6875</v>
      </c>
    </row>
    <row r="610" spans="1:15" hidden="1" x14ac:dyDescent="0.2">
      <c r="A610" s="31">
        <f>E609</f>
        <v>12500</v>
      </c>
      <c r="B610" s="31"/>
      <c r="C610" s="31"/>
      <c r="D610" s="31"/>
      <c r="E610" s="31">
        <v>25000</v>
      </c>
      <c r="F610" s="32"/>
      <c r="G610" s="31"/>
      <c r="H610" s="31">
        <f>IF(AND(H574&gt;A610, H574&lt;=E610),H574,0)</f>
        <v>0</v>
      </c>
      <c r="I610" s="31">
        <f>(12500/100*25)+((30/100)*(-A610+H610))</f>
        <v>-625</v>
      </c>
      <c r="K610" s="31">
        <f>M609</f>
        <v>12500</v>
      </c>
      <c r="L610" s="31"/>
      <c r="M610" s="31">
        <v>25000</v>
      </c>
      <c r="N610" s="31">
        <f>IF(AND(H574&gt;K612, H574&lt;=M612),H574,0)</f>
        <v>0</v>
      </c>
      <c r="O610" s="31">
        <f>(12500/100*30)+(12500/100*35)+(50000/100*60)+((80/100)*(-K612+N610))</f>
        <v>-21875</v>
      </c>
    </row>
    <row r="611" spans="1:15" hidden="1" x14ac:dyDescent="0.2">
      <c r="A611" s="31">
        <f>E610</f>
        <v>25000</v>
      </c>
      <c r="B611" s="31"/>
      <c r="C611" s="31"/>
      <c r="D611" s="31"/>
      <c r="E611" s="31">
        <v>75000</v>
      </c>
      <c r="F611" s="32"/>
      <c r="G611" s="31"/>
      <c r="H611" s="31">
        <f>IF(AND(H574&gt;A611, H574&lt;=E611),H574,0)</f>
        <v>0</v>
      </c>
      <c r="I611" s="31">
        <f>(12500/100*25)+(12500/100*30)+((40/100)*(-A611+H611))</f>
        <v>-3125</v>
      </c>
      <c r="K611" s="31">
        <f>M610</f>
        <v>25000</v>
      </c>
      <c r="L611" s="31"/>
      <c r="M611" s="31">
        <v>75000</v>
      </c>
      <c r="N611" s="31">
        <f>IF(AND(H574&gt;K613, H574&lt;=M613),H574,0)</f>
        <v>0</v>
      </c>
      <c r="O611" s="31">
        <f>(12500/100*30)+(12500/100*35)+(50000/100*60)+(100000/100*80)+((80/100)*(-K613+N611))</f>
        <v>-21875</v>
      </c>
    </row>
    <row r="612" spans="1:15" hidden="1" x14ac:dyDescent="0.2">
      <c r="A612" s="31">
        <f>E611</f>
        <v>75000</v>
      </c>
      <c r="B612" s="31"/>
      <c r="C612" s="31"/>
      <c r="D612" s="31"/>
      <c r="E612" s="31">
        <v>175000</v>
      </c>
      <c r="F612" s="32"/>
      <c r="G612" s="31"/>
      <c r="H612" s="31">
        <f>IF(AND(H574&gt;A612, H574&lt;=E612),H574,0)</f>
        <v>0</v>
      </c>
      <c r="I612" s="31">
        <f>(12500/100*25)+(12500/100*30)+(50000/100*40)+((55/100)*(-A612+H612))</f>
        <v>-14375</v>
      </c>
      <c r="K612" s="31">
        <f>M611</f>
        <v>75000</v>
      </c>
      <c r="L612" s="31"/>
      <c r="M612" s="31">
        <v>175000</v>
      </c>
      <c r="N612" s="31"/>
      <c r="O612" s="31">
        <f>VLOOKUP(H574,N607:O611,2,FALSE)</f>
        <v>0</v>
      </c>
    </row>
    <row r="613" spans="1:15" hidden="1" x14ac:dyDescent="0.2">
      <c r="A613" s="31">
        <f>E612</f>
        <v>175000</v>
      </c>
      <c r="B613" s="31"/>
      <c r="C613" s="31"/>
      <c r="D613" s="31"/>
      <c r="E613" s="31">
        <v>999999999</v>
      </c>
      <c r="F613" s="32"/>
      <c r="G613" s="31"/>
      <c r="H613" s="31">
        <f>IF(AND(H574&gt;A613, H574&lt;=E613),H574,0)</f>
        <v>0</v>
      </c>
      <c r="I613" s="31">
        <f>(12500/100*25)+(12500/100*30)+(50000/100*40)+(100000/100*55)+((70/100)*(-A613+H613))</f>
        <v>-40624.999999999985</v>
      </c>
      <c r="K613" s="31">
        <f>M612</f>
        <v>175000</v>
      </c>
      <c r="L613" s="31"/>
      <c r="M613" s="31">
        <v>999999999</v>
      </c>
    </row>
    <row r="614" spans="1:15" hidden="1" x14ac:dyDescent="0.2">
      <c r="A614" s="45" t="s">
        <v>4</v>
      </c>
      <c r="B614" s="45"/>
      <c r="C614" s="45"/>
      <c r="D614" s="45"/>
      <c r="E614" s="31"/>
      <c r="F614" s="32"/>
      <c r="G614" s="31"/>
      <c r="H614" s="31"/>
      <c r="I614" s="31">
        <f>VLOOKUP(H574,H609:I613,2,FALSE)</f>
        <v>0</v>
      </c>
      <c r="K614" s="45" t="s">
        <v>4</v>
      </c>
      <c r="L614" s="45"/>
      <c r="M614" s="31"/>
    </row>
    <row r="615" spans="1:15" hidden="1" x14ac:dyDescent="0.2"/>
    <row r="616" spans="1:15" hidden="1" x14ac:dyDescent="0.2">
      <c r="E616" s="5">
        <f>IF(A617&gt;0,A617-F621,0)</f>
        <v>0</v>
      </c>
    </row>
    <row r="617" spans="1:15" hidden="1" x14ac:dyDescent="0.2">
      <c r="A617" s="5">
        <f>IF(AND(E17="oui",F37="ligne directe"),I595,0)</f>
        <v>0</v>
      </c>
      <c r="E617" s="5">
        <f>IF(E616&gt;0,E616,0)</f>
        <v>0</v>
      </c>
      <c r="F617" s="5">
        <f>IF(AND(F37="ligne directe",H574&lt;=125000,E17="oui"),250,0)</f>
        <v>0</v>
      </c>
      <c r="G617" s="5">
        <f>IF(AND(F617&gt;0,(I595-F617&gt;=0)),I595-F617,0)</f>
        <v>0</v>
      </c>
    </row>
    <row r="618" spans="1:15" hidden="1" x14ac:dyDescent="0.2">
      <c r="A618" s="5">
        <f>IF(AND(E17="oui",F37="épou(x)(se)"),I595,0)</f>
        <v>0</v>
      </c>
      <c r="E618" s="5">
        <f>IF(A618&gt;0,A618-F621,0)</f>
        <v>0</v>
      </c>
      <c r="F618" s="5">
        <f>IF(AND(F37="ligne directe",H574&gt;125000,E17="oui"),125,0)</f>
        <v>0</v>
      </c>
      <c r="G618" s="5">
        <f>IF(AND(F618&gt;0,(I595-F618&gt;=0)),I595-F618,0)</f>
        <v>0</v>
      </c>
    </row>
    <row r="619" spans="1:15" hidden="1" x14ac:dyDescent="0.2">
      <c r="A619" s="5">
        <f>IF(AND(E17="non",F37="ligne directe"),I586,0)</f>
        <v>0</v>
      </c>
      <c r="E619" s="5">
        <f>IF(AND(E17="non",F37="ligne directe"),I586,0)</f>
        <v>0</v>
      </c>
      <c r="F619" s="5">
        <f>IF(AND(F37="épou(x)(se)",H574&lt;=125000,E17="oui"),250,0)</f>
        <v>0</v>
      </c>
      <c r="G619" s="5">
        <f>IF(AND(F619&gt;0,(I595-F619&gt;=0)),I595-F619,0)</f>
        <v>0</v>
      </c>
    </row>
    <row r="620" spans="1:15" hidden="1" x14ac:dyDescent="0.2">
      <c r="A620" s="5">
        <f>IF(AND(E17="non",F37="épou(x)(se)"),I586,0)</f>
        <v>0</v>
      </c>
      <c r="E620" s="5">
        <f>IF(AND(E17="non",F37="épou(x)(se)"),I586,0)</f>
        <v>0</v>
      </c>
      <c r="F620" s="5">
        <f>IF(AND(F37="épou(x)(se)",H574&gt;125000,E17="oui"),125,0)</f>
        <v>0</v>
      </c>
      <c r="G620" s="5">
        <f>IF(AND(F620&gt;0,(I595-F620&gt;=0)),I595-F620,0)</f>
        <v>0</v>
      </c>
    </row>
    <row r="621" spans="1:15" hidden="1" x14ac:dyDescent="0.2">
      <c r="A621" s="5">
        <f>IF(F37="frère/soeur",I603,0)</f>
        <v>0</v>
      </c>
      <c r="E621" s="5">
        <f>IF(F37="frère/soeur",I603,0)</f>
        <v>0</v>
      </c>
      <c r="F621" s="5">
        <f>SUM(F617:F620)</f>
        <v>0</v>
      </c>
      <c r="G621" s="5">
        <f>SUM(G617:G620)</f>
        <v>0</v>
      </c>
    </row>
    <row r="622" spans="1:15" hidden="1" x14ac:dyDescent="0.2">
      <c r="A622" s="5">
        <f>IF(F37="oncle-tante/neveu-nièce",I614,0)</f>
        <v>0</v>
      </c>
      <c r="E622" s="5">
        <f>IF(F37="oncle-tante/neveu-nièce",I614,0)</f>
        <v>0</v>
      </c>
      <c r="F622" s="5"/>
    </row>
    <row r="623" spans="1:15" hidden="1" x14ac:dyDescent="0.2">
      <c r="A623" s="5">
        <f>IF(F37="étrangers",O612,0)</f>
        <v>0</v>
      </c>
      <c r="E623" s="5">
        <f>IF(F37="étrangers",O612,0)</f>
        <v>0</v>
      </c>
      <c r="F623" s="5"/>
    </row>
    <row r="624" spans="1:15" hidden="1" x14ac:dyDescent="0.2">
      <c r="F624" s="5"/>
    </row>
    <row r="625" spans="1:11" hidden="1" x14ac:dyDescent="0.2">
      <c r="A625" s="5">
        <f>SUM(A617:A624)</f>
        <v>0</v>
      </c>
      <c r="E625" s="5">
        <f>SUM(E617:E624)</f>
        <v>0</v>
      </c>
      <c r="F625" s="5"/>
    </row>
    <row r="626" spans="1:11" hidden="1" x14ac:dyDescent="0.2">
      <c r="F626" s="5"/>
    </row>
    <row r="627" spans="1:11" hidden="1" x14ac:dyDescent="0.2">
      <c r="F627" s="5"/>
    </row>
    <row r="628" spans="1:11" hidden="1" x14ac:dyDescent="0.2">
      <c r="A628" s="5" t="s">
        <v>93</v>
      </c>
      <c r="E628" s="5" t="s">
        <v>100</v>
      </c>
      <c r="F628" s="5"/>
    </row>
    <row r="629" spans="1:11" hidden="1" x14ac:dyDescent="0.2">
      <c r="F629" s="5"/>
    </row>
    <row r="630" spans="1:11" hidden="1" x14ac:dyDescent="0.2">
      <c r="A630" s="5" t="s">
        <v>93</v>
      </c>
      <c r="E630" s="5">
        <f>IF(I37=3,E625*12%,0)</f>
        <v>0</v>
      </c>
      <c r="F630" s="5">
        <f>IF(E630&gt;372,372,E630)</f>
        <v>0</v>
      </c>
      <c r="H630" s="5" t="s">
        <v>26</v>
      </c>
      <c r="I630" s="5">
        <f>6%*E625</f>
        <v>0</v>
      </c>
      <c r="J630" s="5">
        <f>IF(I630&gt;186,186,I630)</f>
        <v>0</v>
      </c>
      <c r="K630" s="5">
        <f>IF(I37=3,J630,0)</f>
        <v>0</v>
      </c>
    </row>
    <row r="631" spans="1:11" hidden="1" x14ac:dyDescent="0.2">
      <c r="E631" s="5">
        <f>IF(IL37=4,E625*16%,0)</f>
        <v>0</v>
      </c>
      <c r="F631" s="5">
        <f>IF(E631&gt;496,496,E631)</f>
        <v>0</v>
      </c>
      <c r="H631" s="5" t="s">
        <v>27</v>
      </c>
      <c r="I631" s="5">
        <f>8%*E625</f>
        <v>0</v>
      </c>
      <c r="J631" s="5">
        <f>IF(I631&gt;248,248,I631)</f>
        <v>0</v>
      </c>
      <c r="K631" s="5">
        <f>IF(I37=4,J631,0)</f>
        <v>0</v>
      </c>
    </row>
    <row r="632" spans="1:11" hidden="1" x14ac:dyDescent="0.2">
      <c r="E632" s="5">
        <f>IF(IL37=5,E625*20%,0)</f>
        <v>0</v>
      </c>
      <c r="F632" s="5">
        <f>IF(E632&gt;620,620,E632)</f>
        <v>0</v>
      </c>
      <c r="I632" s="5">
        <f>10%*E625</f>
        <v>0</v>
      </c>
      <c r="J632" s="5">
        <f>IF(I632&gt;310,310,I632)</f>
        <v>0</v>
      </c>
      <c r="K632" s="5">
        <f>IF(I37=5,J632,0)</f>
        <v>0</v>
      </c>
    </row>
    <row r="633" spans="1:11" hidden="1" x14ac:dyDescent="0.2">
      <c r="E633" s="5">
        <f>IF(IL37=6,E625*24%,0)</f>
        <v>0</v>
      </c>
      <c r="F633" s="5">
        <f>IF(E633&gt;744,744,E633)</f>
        <v>0</v>
      </c>
      <c r="I633" s="5">
        <f>12%*E625</f>
        <v>0</v>
      </c>
      <c r="J633" s="5">
        <f>IF(I633&gt;372,372,I633)</f>
        <v>0</v>
      </c>
      <c r="K633" s="5">
        <f>IF(I37=6,J633,0)</f>
        <v>0</v>
      </c>
    </row>
    <row r="634" spans="1:11" hidden="1" x14ac:dyDescent="0.2">
      <c r="E634" s="5">
        <f>IF(IL37=7,E625*28%,0)</f>
        <v>0</v>
      </c>
      <c r="F634" s="5">
        <f>IF(E634&gt;868,868,E634)</f>
        <v>0</v>
      </c>
      <c r="I634" s="5">
        <f>14%*E625</f>
        <v>0</v>
      </c>
      <c r="J634" s="5">
        <f>IF(I634&gt;434,434,I634)</f>
        <v>0</v>
      </c>
      <c r="K634" s="5">
        <f>IF(I37=7,J634,0)</f>
        <v>0</v>
      </c>
    </row>
    <row r="635" spans="1:11" hidden="1" x14ac:dyDescent="0.2">
      <c r="E635" s="5">
        <f>IF(IL37=8,E625*32%,0)</f>
        <v>0</v>
      </c>
      <c r="F635" s="5">
        <f>IF(E635&gt;992,992,E635)</f>
        <v>0</v>
      </c>
      <c r="I635" s="5">
        <f>16%*E625</f>
        <v>0</v>
      </c>
      <c r="J635" s="5">
        <f>IF(I635&gt;496,496,I635)</f>
        <v>0</v>
      </c>
      <c r="K635" s="5">
        <f>IF(I37=8,J635,0)</f>
        <v>0</v>
      </c>
    </row>
    <row r="636" spans="1:11" hidden="1" x14ac:dyDescent="0.2">
      <c r="E636" s="5">
        <f>IF(IL37=9,E625*36%,0)</f>
        <v>0</v>
      </c>
      <c r="F636" s="5">
        <f>IF(E636&gt;1116,1116,E636)</f>
        <v>0</v>
      </c>
      <c r="I636" s="5">
        <f>18%*E625</f>
        <v>0</v>
      </c>
      <c r="J636" s="5">
        <f>IF(I636&gt;558,558,I636)</f>
        <v>0</v>
      </c>
      <c r="K636" s="5">
        <f>IF(I37=9,J636,0)</f>
        <v>0</v>
      </c>
    </row>
    <row r="637" spans="1:11" hidden="1" x14ac:dyDescent="0.2">
      <c r="E637" s="5">
        <f>IF(IL37=10,E625*40%,0)</f>
        <v>0</v>
      </c>
      <c r="F637" s="5">
        <f>IF(E637&gt;1240,1240,E637)</f>
        <v>0</v>
      </c>
      <c r="I637" s="5">
        <f>20%*E625</f>
        <v>0</v>
      </c>
      <c r="J637" s="5">
        <f>IF(I637&gt;620,620,I637)</f>
        <v>0</v>
      </c>
      <c r="K637" s="5">
        <f>IF(I37=10,J637,0)</f>
        <v>0</v>
      </c>
    </row>
    <row r="638" spans="1:11" hidden="1" x14ac:dyDescent="0.2">
      <c r="F638" s="5"/>
    </row>
    <row r="639" spans="1:11" hidden="1" x14ac:dyDescent="0.2">
      <c r="F639" s="5">
        <f>SUM(F630:F638)</f>
        <v>0</v>
      </c>
      <c r="K639" s="5">
        <f>SUM(K630:K638)</f>
        <v>0</v>
      </c>
    </row>
    <row r="640" spans="1:11" hidden="1" x14ac:dyDescent="0.2"/>
    <row r="641" spans="1:8" hidden="1" x14ac:dyDescent="0.2"/>
    <row r="642" spans="1:8" hidden="1" x14ac:dyDescent="0.2"/>
    <row r="643" spans="1:8" hidden="1" x14ac:dyDescent="0.2">
      <c r="A643" s="5" t="s">
        <v>33</v>
      </c>
      <c r="E643" s="20">
        <f>E625-F639</f>
        <v>0</v>
      </c>
      <c r="G643" s="5" t="s">
        <v>34</v>
      </c>
      <c r="H643" s="47">
        <f>E625-K639</f>
        <v>0</v>
      </c>
    </row>
    <row r="644" spans="1:8" hidden="1" x14ac:dyDescent="0.2"/>
    <row r="645" spans="1:8" hidden="1" x14ac:dyDescent="0.2"/>
    <row r="646" spans="1:8" hidden="1" x14ac:dyDescent="0.2"/>
    <row r="647" spans="1:8" hidden="1" x14ac:dyDescent="0.2"/>
    <row r="648" spans="1:8" hidden="1" x14ac:dyDescent="0.2"/>
    <row r="649" spans="1:8" hidden="1" x14ac:dyDescent="0.2"/>
    <row r="650" spans="1:8" hidden="1" x14ac:dyDescent="0.2"/>
    <row r="651" spans="1:8" hidden="1" x14ac:dyDescent="0.2"/>
    <row r="652" spans="1:8" hidden="1" x14ac:dyDescent="0.2"/>
    <row r="653" spans="1:8" hidden="1" x14ac:dyDescent="0.2"/>
    <row r="654" spans="1:8" hidden="1" x14ac:dyDescent="0.2"/>
    <row r="655" spans="1:8" hidden="1" x14ac:dyDescent="0.2"/>
    <row r="656" spans="1:8" hidden="1" x14ac:dyDescent="0.2"/>
    <row r="657" hidden="1" x14ac:dyDescent="0.2"/>
    <row r="658" hidden="1" x14ac:dyDescent="0.2"/>
    <row r="659" hidden="1" x14ac:dyDescent="0.2"/>
    <row r="660" hidden="1" x14ac:dyDescent="0.2"/>
    <row r="661" hidden="1" x14ac:dyDescent="0.2"/>
    <row r="662" hidden="1" x14ac:dyDescent="0.2"/>
    <row r="663" hidden="1" x14ac:dyDescent="0.2"/>
    <row r="664" hidden="1" x14ac:dyDescent="0.2"/>
    <row r="665" hidden="1" x14ac:dyDescent="0.2"/>
    <row r="666" hidden="1" x14ac:dyDescent="0.2"/>
    <row r="667" hidden="1" x14ac:dyDescent="0.2"/>
    <row r="668" hidden="1" x14ac:dyDescent="0.2"/>
    <row r="669" hidden="1" x14ac:dyDescent="0.2"/>
    <row r="670" hidden="1" x14ac:dyDescent="0.2"/>
    <row r="671" hidden="1" x14ac:dyDescent="0.2"/>
    <row r="672" hidden="1" x14ac:dyDescent="0.2"/>
    <row r="673" spans="1:9" hidden="1" x14ac:dyDescent="0.2"/>
    <row r="674" spans="1:9" hidden="1" x14ac:dyDescent="0.2">
      <c r="H674" s="28">
        <f>H181</f>
        <v>0</v>
      </c>
    </row>
    <row r="675" spans="1:9" hidden="1" x14ac:dyDescent="0.2"/>
    <row r="676" spans="1:9" hidden="1" x14ac:dyDescent="0.2">
      <c r="A676" s="43" t="s">
        <v>2</v>
      </c>
      <c r="B676" s="43"/>
      <c r="C676" s="43"/>
      <c r="D676" s="43"/>
      <c r="E676" s="31"/>
      <c r="F676" s="32"/>
      <c r="G676" s="31"/>
      <c r="H676" s="31"/>
      <c r="I676" s="44" t="s">
        <v>3</v>
      </c>
    </row>
    <row r="677" spans="1:9" hidden="1" x14ac:dyDescent="0.2">
      <c r="A677" s="31">
        <v>0</v>
      </c>
      <c r="B677" s="31"/>
      <c r="C677" s="31"/>
      <c r="D677" s="31"/>
      <c r="E677" s="31">
        <v>12500</v>
      </c>
      <c r="F677" s="32"/>
      <c r="G677" s="31"/>
      <c r="H677" s="31">
        <f>IF(AND(H674&gt;A677,H674&lt;=E677),H674,0)</f>
        <v>0</v>
      </c>
      <c r="I677" s="31">
        <f>0+(3/100)*(-A677+H677)</f>
        <v>0</v>
      </c>
    </row>
    <row r="678" spans="1:9" hidden="1" x14ac:dyDescent="0.2">
      <c r="A678" s="31">
        <f t="shared" ref="A678:A685" si="24">E677</f>
        <v>12500</v>
      </c>
      <c r="B678" s="31"/>
      <c r="C678" s="31"/>
      <c r="D678" s="31"/>
      <c r="E678" s="31">
        <v>25000</v>
      </c>
      <c r="F678" s="32"/>
      <c r="G678" s="31"/>
      <c r="H678" s="31">
        <f>IF(AND(H674&gt;A678, H674&lt;=E678),H674,0)</f>
        <v>0</v>
      </c>
      <c r="I678" s="31">
        <f>(12500/100*3)+(4/100)*(-A678+H678)</f>
        <v>-125</v>
      </c>
    </row>
    <row r="679" spans="1:9" hidden="1" x14ac:dyDescent="0.2">
      <c r="A679" s="31">
        <f t="shared" si="24"/>
        <v>25000</v>
      </c>
      <c r="B679" s="31"/>
      <c r="C679" s="31"/>
      <c r="D679" s="31"/>
      <c r="E679" s="31">
        <v>50000</v>
      </c>
      <c r="F679" s="32"/>
      <c r="G679" s="31"/>
      <c r="H679" s="31">
        <f>IF(AND(H674&gt;A679, H674&lt;=E679),H674,0)</f>
        <v>0</v>
      </c>
      <c r="I679" s="31">
        <f>(12500/100*3)+(12500/100*4)+((5/100)*(-A679+H679))</f>
        <v>-375</v>
      </c>
    </row>
    <row r="680" spans="1:9" hidden="1" x14ac:dyDescent="0.2">
      <c r="A680" s="31">
        <f t="shared" si="24"/>
        <v>50000</v>
      </c>
      <c r="B680" s="31"/>
      <c r="C680" s="31"/>
      <c r="D680" s="31"/>
      <c r="E680" s="31">
        <v>100000</v>
      </c>
      <c r="F680" s="32"/>
      <c r="G680" s="31"/>
      <c r="H680" s="31">
        <f>IF(AND(H674&gt;A680, H674&lt;=E680),H674,0)</f>
        <v>0</v>
      </c>
      <c r="I680" s="31">
        <f>(12500/100*3)+(12500/100*4)+(25000/100*5)+((7/100)*(-A680+H680))</f>
        <v>-1375.0000000000005</v>
      </c>
    </row>
    <row r="681" spans="1:9" hidden="1" x14ac:dyDescent="0.2">
      <c r="A681" s="31">
        <f t="shared" si="24"/>
        <v>100000</v>
      </c>
      <c r="B681" s="31"/>
      <c r="C681" s="31"/>
      <c r="D681" s="31"/>
      <c r="E681" s="31">
        <v>150000</v>
      </c>
      <c r="F681" s="32"/>
      <c r="G681" s="31"/>
      <c r="H681" s="31">
        <f>IF(AND(H674&gt;A681, H674&lt;=E681),H674,0)</f>
        <v>0</v>
      </c>
      <c r="I681" s="31">
        <f>(12500/100*3)+(12500/100*4)+(25000/100*5)+(50000/100*7)+((10/100)*(-A681+H681))</f>
        <v>-4375</v>
      </c>
    </row>
    <row r="682" spans="1:9" hidden="1" x14ac:dyDescent="0.2">
      <c r="A682" s="31">
        <f t="shared" si="24"/>
        <v>150000</v>
      </c>
      <c r="B682" s="31"/>
      <c r="C682" s="31"/>
      <c r="D682" s="31"/>
      <c r="E682" s="31">
        <v>200000</v>
      </c>
      <c r="F682" s="32"/>
      <c r="G682" s="31"/>
      <c r="H682" s="31">
        <f>IF(AND(H674&gt;A682, H674&lt;=E682),H674,0)</f>
        <v>0</v>
      </c>
      <c r="I682" s="31">
        <f>(12500/100*3)+(12500/100*4)+(25000/100*5)+(50000/100*7)+(50000/100*10)+((14/100)*(-A682+H682))</f>
        <v>-10375.000000000004</v>
      </c>
    </row>
    <row r="683" spans="1:9" hidden="1" x14ac:dyDescent="0.2">
      <c r="A683" s="31">
        <f t="shared" si="24"/>
        <v>200000</v>
      </c>
      <c r="B683" s="31"/>
      <c r="C683" s="31"/>
      <c r="D683" s="31"/>
      <c r="E683" s="31">
        <v>250000</v>
      </c>
      <c r="F683" s="32"/>
      <c r="G683" s="31"/>
      <c r="H683" s="31">
        <f>IF(AND(H674&gt;A683, H674&lt;=E683),H674,0)</f>
        <v>0</v>
      </c>
      <c r="I683" s="31">
        <f>(12500/100*3)+(12500/100*4)+(25000/100*5)+(50000/100*7)+(50000/100*10)+(50000/100*14)+((18/100)*(-A683+H683))</f>
        <v>-18375</v>
      </c>
    </row>
    <row r="684" spans="1:9" hidden="1" x14ac:dyDescent="0.2">
      <c r="A684" s="31">
        <f t="shared" si="24"/>
        <v>250000</v>
      </c>
      <c r="B684" s="31"/>
      <c r="C684" s="31"/>
      <c r="D684" s="31"/>
      <c r="E684" s="31">
        <v>500000</v>
      </c>
      <c r="F684" s="32"/>
      <c r="G684" s="31"/>
      <c r="H684" s="31">
        <f>IF(AND(H674&gt;A684, H674&lt;=E684),H674,0)</f>
        <v>0</v>
      </c>
      <c r="I684" s="31">
        <f>(12500/100*3)+(12500/100*4)+(25000/100*5)+(50000/100*7)+(50000/100*10)+(50000/100*14)+(50000/100*18)+((24/100)*(-A684+H684))</f>
        <v>-33375</v>
      </c>
    </row>
    <row r="685" spans="1:9" hidden="1" x14ac:dyDescent="0.2">
      <c r="A685" s="31">
        <f t="shared" si="24"/>
        <v>500000</v>
      </c>
      <c r="B685" s="31"/>
      <c r="C685" s="31"/>
      <c r="D685" s="31"/>
      <c r="E685" s="31">
        <v>999999999</v>
      </c>
      <c r="F685" s="32"/>
      <c r="G685" s="31"/>
      <c r="H685" s="31">
        <f>IF(AND(H674&gt;A685, H674&lt;=E685),H674,0)</f>
        <v>0</v>
      </c>
      <c r="I685" s="31">
        <f>(12500/100*3)+(12500/100*4)+(25000/100*5)+(50000/100*7)+(50000/100*10)+(50000/100*14)+(50000/100*18)+(250000/100*24)+((30/100)*(-A685+H685))</f>
        <v>-63375</v>
      </c>
    </row>
    <row r="686" spans="1:9" hidden="1" x14ac:dyDescent="0.2">
      <c r="A686" s="45" t="s">
        <v>4</v>
      </c>
      <c r="B686" s="45"/>
      <c r="C686" s="45"/>
      <c r="D686" s="45"/>
      <c r="E686" s="31"/>
      <c r="F686" s="32"/>
      <c r="G686" s="31"/>
      <c r="H686" s="31"/>
      <c r="I686" s="31">
        <f>VLOOKUP(H674,H677:I685,2,FALSE)</f>
        <v>0</v>
      </c>
    </row>
    <row r="687" spans="1:9" hidden="1" x14ac:dyDescent="0.2">
      <c r="A687" s="45"/>
      <c r="B687" s="45"/>
      <c r="C687" s="45"/>
      <c r="D687" s="45"/>
      <c r="E687" s="31"/>
      <c r="F687" s="32"/>
      <c r="G687" s="31"/>
      <c r="H687" s="31"/>
      <c r="I687" s="31"/>
    </row>
    <row r="688" spans="1:9" hidden="1" x14ac:dyDescent="0.2">
      <c r="A688" s="46" t="s">
        <v>24</v>
      </c>
      <c r="B688" s="46"/>
      <c r="C688" s="46"/>
      <c r="D688" s="46"/>
      <c r="E688" s="31"/>
      <c r="F688" s="32"/>
      <c r="G688" s="31"/>
      <c r="H688" s="31"/>
      <c r="I688" s="44" t="s">
        <v>25</v>
      </c>
    </row>
    <row r="689" spans="1:9" hidden="1" x14ac:dyDescent="0.2">
      <c r="A689" s="31">
        <v>0</v>
      </c>
      <c r="B689" s="31"/>
      <c r="C689" s="31"/>
      <c r="D689" s="31"/>
      <c r="E689" s="31">
        <v>25000</v>
      </c>
      <c r="F689" s="32"/>
      <c r="G689" s="31"/>
      <c r="H689" s="31">
        <f>IF(AND(H674&gt;A689, H674&lt;=E689),H674,0)</f>
        <v>0</v>
      </c>
      <c r="I689" s="31">
        <f>0+(1/100)*(-A689+H689)</f>
        <v>0</v>
      </c>
    </row>
    <row r="690" spans="1:9" hidden="1" x14ac:dyDescent="0.2">
      <c r="A690" s="31">
        <f>E689</f>
        <v>25000</v>
      </c>
      <c r="B690" s="31"/>
      <c r="C690" s="31"/>
      <c r="D690" s="31"/>
      <c r="E690" s="31">
        <v>50000</v>
      </c>
      <c r="F690" s="32"/>
      <c r="G690" s="31"/>
      <c r="H690" s="31">
        <f>IF(AND(H674&gt;A690, H674&lt;=E690),H674,0)</f>
        <v>0</v>
      </c>
      <c r="I690" s="31">
        <f>(25000/100*1)+(2/100)*(-A690+H690)</f>
        <v>-250</v>
      </c>
    </row>
    <row r="691" spans="1:9" hidden="1" x14ac:dyDescent="0.2">
      <c r="A691" s="31">
        <f>E690</f>
        <v>50000</v>
      </c>
      <c r="B691" s="31"/>
      <c r="C691" s="31"/>
      <c r="D691" s="31"/>
      <c r="E691" s="31">
        <v>175000</v>
      </c>
      <c r="F691" s="32"/>
      <c r="G691" s="31"/>
      <c r="H691" s="31">
        <f>IF(AND(H674&gt;A691, H674&lt;=E691),H674,0)</f>
        <v>0</v>
      </c>
      <c r="I691" s="31">
        <f>(25000/100*1)+(25000/100*2)+((5/100)*(-A691+H691))</f>
        <v>-1750</v>
      </c>
    </row>
    <row r="692" spans="1:9" hidden="1" x14ac:dyDescent="0.2">
      <c r="A692" s="31">
        <f>E691</f>
        <v>175000</v>
      </c>
      <c r="B692" s="31"/>
      <c r="C692" s="31"/>
      <c r="D692" s="31"/>
      <c r="E692" s="31">
        <v>250000</v>
      </c>
      <c r="F692" s="32"/>
      <c r="G692" s="31"/>
      <c r="H692" s="31">
        <f>IF(AND(H674&gt;A692, H674&lt;=E692),H674,0)</f>
        <v>0</v>
      </c>
      <c r="I692" s="31">
        <f>(25000/100*1)+(25000/100*2)+(125000/100*5)+((12/100)*(-A692+H692))</f>
        <v>-14000</v>
      </c>
    </row>
    <row r="693" spans="1:9" hidden="1" x14ac:dyDescent="0.2">
      <c r="A693" s="31">
        <f>E692</f>
        <v>250000</v>
      </c>
      <c r="B693" s="31"/>
      <c r="C693" s="31"/>
      <c r="D693" s="31"/>
      <c r="E693" s="31">
        <v>500000</v>
      </c>
      <c r="F693" s="32"/>
      <c r="G693" s="31"/>
      <c r="H693" s="31">
        <f>IF(AND(H674&gt;A693, H674&lt;=E693),H674,0)</f>
        <v>0</v>
      </c>
      <c r="I693" s="31">
        <f>(25000/100*1)+(25000/100*2)+(125000/100*5)+(75000/100*12)+((24/100)*(-A693+H693))</f>
        <v>-44000</v>
      </c>
    </row>
    <row r="694" spans="1:9" hidden="1" x14ac:dyDescent="0.2">
      <c r="A694" s="31">
        <f>E693</f>
        <v>500000</v>
      </c>
      <c r="B694" s="31"/>
      <c r="C694" s="31"/>
      <c r="D694" s="31"/>
      <c r="E694" s="31">
        <v>999999999</v>
      </c>
      <c r="F694" s="32"/>
      <c r="G694" s="31"/>
      <c r="H694" s="31">
        <f>IF(AND(H674&gt;A694, H674&lt;=E694),H674,0)</f>
        <v>0</v>
      </c>
      <c r="I694" s="31">
        <f>(25000/100*1)+(25000/100*2)+(125000/100*5)+(75000/100*12)+(250000/100*24)+((30/100)*(-A694+H694))</f>
        <v>-74000</v>
      </c>
    </row>
    <row r="695" spans="1:9" hidden="1" x14ac:dyDescent="0.2">
      <c r="A695" s="45" t="s">
        <v>4</v>
      </c>
      <c r="B695" s="45"/>
      <c r="C695" s="45"/>
      <c r="D695" s="45"/>
      <c r="E695" s="31"/>
      <c r="F695" s="32"/>
      <c r="G695" s="31"/>
      <c r="H695" s="31"/>
      <c r="I695" s="31">
        <f>VLOOKUP(H674,H689:I694,2,FALSE)</f>
        <v>0</v>
      </c>
    </row>
    <row r="696" spans="1:9" hidden="1" x14ac:dyDescent="0.2">
      <c r="A696" s="45"/>
      <c r="B696" s="45"/>
      <c r="C696" s="45"/>
      <c r="D696" s="45"/>
      <c r="E696" s="31"/>
      <c r="F696" s="32"/>
      <c r="G696" s="31"/>
      <c r="H696" s="31"/>
      <c r="I696" s="31"/>
    </row>
    <row r="697" spans="1:9" hidden="1" x14ac:dyDescent="0.2">
      <c r="A697" s="43" t="s">
        <v>5</v>
      </c>
      <c r="B697" s="43"/>
      <c r="C697" s="43"/>
      <c r="D697" s="43"/>
      <c r="E697" s="31"/>
      <c r="F697" s="32"/>
      <c r="G697" s="31"/>
      <c r="H697" s="31"/>
      <c r="I697" s="44" t="s">
        <v>6</v>
      </c>
    </row>
    <row r="698" spans="1:9" hidden="1" x14ac:dyDescent="0.2">
      <c r="A698" s="31">
        <v>0</v>
      </c>
      <c r="B698" s="31"/>
      <c r="C698" s="31"/>
      <c r="D698" s="31"/>
      <c r="E698" s="31">
        <v>12500</v>
      </c>
      <c r="F698" s="32"/>
      <c r="G698" s="31"/>
      <c r="H698" s="31">
        <f>IF(AND(H674&gt;A698, H674&lt;=E698),H674,0)</f>
        <v>0</v>
      </c>
      <c r="I698" s="31">
        <f>0+(20/100)*(-A698+H698)</f>
        <v>0</v>
      </c>
    </row>
    <row r="699" spans="1:9" hidden="1" x14ac:dyDescent="0.2">
      <c r="A699" s="31">
        <f>E698</f>
        <v>12500</v>
      </c>
      <c r="B699" s="31"/>
      <c r="C699" s="31"/>
      <c r="D699" s="31"/>
      <c r="E699" s="31">
        <v>25000</v>
      </c>
      <c r="F699" s="32"/>
      <c r="G699" s="31"/>
      <c r="H699" s="31">
        <f>IF(AND(H674&gt;A699, H674&lt;=E699),H674,0)</f>
        <v>0</v>
      </c>
      <c r="I699" s="31">
        <f>(12500/100*20)+((25/100)*(-A699+H699))</f>
        <v>-625</v>
      </c>
    </row>
    <row r="700" spans="1:9" hidden="1" x14ac:dyDescent="0.2">
      <c r="A700" s="31">
        <f>E699</f>
        <v>25000</v>
      </c>
      <c r="B700" s="31"/>
      <c r="C700" s="31"/>
      <c r="D700" s="31"/>
      <c r="E700" s="31">
        <v>75000</v>
      </c>
      <c r="F700" s="32"/>
      <c r="G700" s="31"/>
      <c r="H700" s="31">
        <f>IF(AND(H674&gt;A700, H674&lt;=E700),H674,0)</f>
        <v>0</v>
      </c>
      <c r="I700" s="31">
        <f>(12500/100*20)+(12500/100*25)+((35/100)*(-A700+H700))</f>
        <v>-3125</v>
      </c>
    </row>
    <row r="701" spans="1:9" hidden="1" x14ac:dyDescent="0.2">
      <c r="A701" s="31">
        <f>E700</f>
        <v>75000</v>
      </c>
      <c r="B701" s="31"/>
      <c r="C701" s="31"/>
      <c r="D701" s="31"/>
      <c r="E701" s="31">
        <v>175000</v>
      </c>
      <c r="F701" s="32"/>
      <c r="G701" s="31"/>
      <c r="H701" s="31">
        <f>IF(AND(H674&gt;A701, H674&lt;=E701),H674,0)</f>
        <v>0</v>
      </c>
      <c r="I701" s="31">
        <f>(12500/100*20)+(12500/100*25)+(50000/100*35)+((50/100)*(-A701+H701))</f>
        <v>-14375</v>
      </c>
    </row>
    <row r="702" spans="1:9" hidden="1" x14ac:dyDescent="0.2">
      <c r="A702" s="31">
        <f>E701</f>
        <v>175000</v>
      </c>
      <c r="B702" s="31"/>
      <c r="C702" s="31"/>
      <c r="D702" s="31"/>
      <c r="E702" s="31">
        <v>999999999</v>
      </c>
      <c r="F702" s="32"/>
      <c r="G702" s="31"/>
      <c r="H702" s="31">
        <f>IF(AND(H674&gt;A702, H674&lt;=E702),H674,0)</f>
        <v>0</v>
      </c>
      <c r="I702" s="31">
        <f>(12500/100*20)+(12500/100*25)+(50000/100*35)+(100000/100*50)+((65/100)*(-A702+H702))</f>
        <v>-40625</v>
      </c>
    </row>
    <row r="703" spans="1:9" hidden="1" x14ac:dyDescent="0.2">
      <c r="A703" s="45" t="s">
        <v>4</v>
      </c>
      <c r="B703" s="45"/>
      <c r="C703" s="45"/>
      <c r="D703" s="45"/>
      <c r="E703" s="31"/>
      <c r="F703" s="32"/>
      <c r="G703" s="31"/>
      <c r="H703" s="31"/>
      <c r="I703" s="31">
        <f>VLOOKUP(H674,H698:I702,2,FALSE)</f>
        <v>0</v>
      </c>
    </row>
    <row r="704" spans="1:9" hidden="1" x14ac:dyDescent="0.2"/>
    <row r="705" spans="1:15" hidden="1" x14ac:dyDescent="0.2">
      <c r="E705" s="28">
        <f>E586</f>
        <v>0</v>
      </c>
      <c r="F705" s="29"/>
      <c r="G705" s="28"/>
      <c r="H705" s="28"/>
      <c r="I705" s="28"/>
    </row>
    <row r="706" spans="1:15" hidden="1" x14ac:dyDescent="0.2">
      <c r="E706" s="28"/>
      <c r="F706" s="29"/>
      <c r="G706" s="28"/>
      <c r="H706" s="28"/>
      <c r="I706" s="28"/>
      <c r="N706" s="31"/>
      <c r="O706" s="44" t="s">
        <v>8</v>
      </c>
    </row>
    <row r="707" spans="1:15" hidden="1" x14ac:dyDescent="0.2">
      <c r="E707" s="28"/>
      <c r="F707" s="29"/>
      <c r="G707" s="28"/>
      <c r="H707" s="28"/>
      <c r="I707" s="28"/>
      <c r="N707" s="31">
        <f>IF(AND(H674&gt;K709, H674&lt;=M709),H674,0)</f>
        <v>0</v>
      </c>
      <c r="O707" s="31">
        <f>0+(30/100)*(-K709+N707)</f>
        <v>0</v>
      </c>
    </row>
    <row r="708" spans="1:15" hidden="1" x14ac:dyDescent="0.2">
      <c r="A708" s="43" t="s">
        <v>22</v>
      </c>
      <c r="B708" s="43"/>
      <c r="C708" s="43"/>
      <c r="D708" s="43"/>
      <c r="E708" s="31"/>
      <c r="F708" s="32"/>
      <c r="G708" s="31"/>
      <c r="H708" s="31"/>
      <c r="I708" s="44" t="s">
        <v>7</v>
      </c>
      <c r="K708" s="43" t="s">
        <v>23</v>
      </c>
      <c r="L708" s="43"/>
      <c r="M708" s="31"/>
      <c r="N708" s="31">
        <f>IF(AND(H674&gt;K710, H674&lt;=M710),H674,0)</f>
        <v>0</v>
      </c>
      <c r="O708" s="31">
        <f>(12500/100*30)+((35/100)*(-K710+N708))</f>
        <v>-625</v>
      </c>
    </row>
    <row r="709" spans="1:15" hidden="1" x14ac:dyDescent="0.2">
      <c r="A709" s="31">
        <v>0</v>
      </c>
      <c r="B709" s="31"/>
      <c r="C709" s="31"/>
      <c r="D709" s="31"/>
      <c r="E709" s="31">
        <v>12500</v>
      </c>
      <c r="F709" s="32"/>
      <c r="G709" s="31"/>
      <c r="H709" s="31">
        <f>IF(AND(H674&gt;A709, H674&lt;=E709),H674,0)</f>
        <v>0</v>
      </c>
      <c r="I709" s="31">
        <f>0+(25/100)*(-A709+H709)</f>
        <v>0</v>
      </c>
      <c r="K709" s="31">
        <v>0</v>
      </c>
      <c r="L709" s="31"/>
      <c r="M709" s="31">
        <v>12500</v>
      </c>
      <c r="N709" s="31">
        <f>IF(AND(H674&gt;K711, H674&lt;=M711),H674,0)</f>
        <v>0</v>
      </c>
      <c r="O709" s="31">
        <f>(12500/100*30)+(12500/100*35)+((60/100)*(-K711+N709))</f>
        <v>-6875</v>
      </c>
    </row>
    <row r="710" spans="1:15" hidden="1" x14ac:dyDescent="0.2">
      <c r="A710" s="31">
        <f>E709</f>
        <v>12500</v>
      </c>
      <c r="B710" s="31"/>
      <c r="C710" s="31"/>
      <c r="D710" s="31"/>
      <c r="E710" s="31">
        <v>25000</v>
      </c>
      <c r="F710" s="32"/>
      <c r="G710" s="31"/>
      <c r="H710" s="31">
        <f>IF(AND(H674&gt;A710, H674&lt;=E710),H674,0)</f>
        <v>0</v>
      </c>
      <c r="I710" s="31">
        <f>(12500/100*25)+((30/100)*(-A710+H710))</f>
        <v>-625</v>
      </c>
      <c r="K710" s="31">
        <f>M709</f>
        <v>12500</v>
      </c>
      <c r="L710" s="31"/>
      <c r="M710" s="31">
        <v>25000</v>
      </c>
      <c r="N710" s="31">
        <f>IF(AND(H674&gt;K712, H674&lt;=M712),H674,0)</f>
        <v>0</v>
      </c>
      <c r="O710" s="31">
        <f>(12500/100*30)+(12500/100*35)+(50000/100*60)+((80/100)*(-K712+N710))</f>
        <v>-21875</v>
      </c>
    </row>
    <row r="711" spans="1:15" hidden="1" x14ac:dyDescent="0.2">
      <c r="A711" s="31">
        <f>E710</f>
        <v>25000</v>
      </c>
      <c r="B711" s="31"/>
      <c r="C711" s="31"/>
      <c r="D711" s="31"/>
      <c r="E711" s="31">
        <v>75000</v>
      </c>
      <c r="F711" s="32"/>
      <c r="G711" s="31"/>
      <c r="H711" s="31">
        <f>IF(AND(H674&gt;A711, H674&lt;=E711),H674,0)</f>
        <v>0</v>
      </c>
      <c r="I711" s="31">
        <f>(12500/100*25)+(12500/100*30)+((40/100)*(-A711+H711))</f>
        <v>-3125</v>
      </c>
      <c r="K711" s="31">
        <f>M710</f>
        <v>25000</v>
      </c>
      <c r="L711" s="31"/>
      <c r="M711" s="31">
        <v>75000</v>
      </c>
      <c r="N711" s="31">
        <f>IF(AND(H674&gt;K713, H674&lt;=M713),H674,0)</f>
        <v>0</v>
      </c>
      <c r="O711" s="31">
        <f>(12500/100*30)+(12500/100*35)+(50000/100*60)+(100000/100*80)+((80/100)*(-K713+N711))</f>
        <v>-21875</v>
      </c>
    </row>
    <row r="712" spans="1:15" hidden="1" x14ac:dyDescent="0.2">
      <c r="A712" s="31">
        <f>E711</f>
        <v>75000</v>
      </c>
      <c r="B712" s="31"/>
      <c r="C712" s="31"/>
      <c r="D712" s="31"/>
      <c r="E712" s="31">
        <v>175000</v>
      </c>
      <c r="F712" s="32"/>
      <c r="G712" s="31"/>
      <c r="H712" s="31">
        <f>IF(AND(H674&gt;A712, H674&lt;=E712),H674,0)</f>
        <v>0</v>
      </c>
      <c r="I712" s="31">
        <f>(12500/100*25)+(12500/100*30)+(50000/100*40)+((55/100)*(-A712+H712))</f>
        <v>-14375</v>
      </c>
      <c r="K712" s="31">
        <f>M711</f>
        <v>75000</v>
      </c>
      <c r="L712" s="31"/>
      <c r="M712" s="31">
        <v>175000</v>
      </c>
      <c r="N712" s="31"/>
      <c r="O712" s="31">
        <f>VLOOKUP(H674,N707:O711,2,FALSE)</f>
        <v>0</v>
      </c>
    </row>
    <row r="713" spans="1:15" hidden="1" x14ac:dyDescent="0.2">
      <c r="A713" s="31">
        <f>E712</f>
        <v>175000</v>
      </c>
      <c r="B713" s="31"/>
      <c r="C713" s="31"/>
      <c r="D713" s="31"/>
      <c r="E713" s="31">
        <v>999999999</v>
      </c>
      <c r="F713" s="32"/>
      <c r="G713" s="31"/>
      <c r="H713" s="31">
        <f>IF(AND(H674&gt;A713, H674&lt;=E713),H674,0)</f>
        <v>0</v>
      </c>
      <c r="I713" s="31">
        <f>(12500/100*25)+(12500/100*30)+(50000/100*40)+(100000/100*55)+((70/100)*(-A713+H713))</f>
        <v>-40624.999999999985</v>
      </c>
      <c r="K713" s="31">
        <f>M712</f>
        <v>175000</v>
      </c>
      <c r="L713" s="31"/>
      <c r="M713" s="31">
        <v>999999999</v>
      </c>
    </row>
    <row r="714" spans="1:15" hidden="1" x14ac:dyDescent="0.2">
      <c r="A714" s="45" t="s">
        <v>4</v>
      </c>
      <c r="B714" s="45"/>
      <c r="C714" s="45"/>
      <c r="D714" s="45"/>
      <c r="E714" s="31"/>
      <c r="F714" s="32"/>
      <c r="G714" s="31"/>
      <c r="H714" s="31"/>
      <c r="I714" s="31">
        <f>VLOOKUP(H674,H709:I713,2,FALSE)</f>
        <v>0</v>
      </c>
      <c r="K714" s="45" t="s">
        <v>4</v>
      </c>
      <c r="L714" s="45"/>
      <c r="M714" s="31"/>
    </row>
    <row r="715" spans="1:15" hidden="1" x14ac:dyDescent="0.2"/>
    <row r="716" spans="1:15" hidden="1" x14ac:dyDescent="0.2">
      <c r="E716" s="5">
        <f>IF(A717&gt;0,A717-F721,0)</f>
        <v>0</v>
      </c>
    </row>
    <row r="717" spans="1:15" hidden="1" x14ac:dyDescent="0.2">
      <c r="A717" s="5">
        <f>IF(AND(E17="oui",F42="ligne directe"),I695,0)</f>
        <v>0</v>
      </c>
      <c r="E717" s="5">
        <f>IF(E716&gt;0,E716,0)</f>
        <v>0</v>
      </c>
      <c r="F717" s="5">
        <f>IF(AND(F42="ligne directe",H674&lt;=125000,E17="oui"),250,0)</f>
        <v>0</v>
      </c>
      <c r="G717" s="5">
        <f>IF(AND(F717&gt;0,(I695-F717&gt;=0)),I695-F717,0)</f>
        <v>0</v>
      </c>
    </row>
    <row r="718" spans="1:15" hidden="1" x14ac:dyDescent="0.2">
      <c r="A718" s="5">
        <f>IF(AND(E17="oui",F42="épou(x)(se)"),I695,0)</f>
        <v>0</v>
      </c>
      <c r="E718" s="5">
        <f>IF(A718&gt;0,A718-F721,0)</f>
        <v>0</v>
      </c>
      <c r="F718" s="5">
        <f>IF(AND(F42="ligne directe",H674&gt;125000,E17="oui"),125,0)</f>
        <v>0</v>
      </c>
      <c r="G718" s="5">
        <f>IF(AND(F718&gt;0,(I695-F718&gt;=0)),I695-F718,0)</f>
        <v>0</v>
      </c>
    </row>
    <row r="719" spans="1:15" hidden="1" x14ac:dyDescent="0.2">
      <c r="A719" s="5">
        <f>IF(AND(E17="non",F42="ligne directe"),I686,0)</f>
        <v>0</v>
      </c>
      <c r="E719" s="5">
        <f>IF(AND(E17="non",F42="ligne directe"),I686,0)</f>
        <v>0</v>
      </c>
      <c r="F719" s="5">
        <f>IF(AND(F42="épou(x)(se)",H674&lt;=125000,E17="oui"),250,0)</f>
        <v>0</v>
      </c>
      <c r="G719" s="5">
        <f>IF(AND(F719&gt;0,(I695-F719&gt;=0)),I695-F719,0)</f>
        <v>0</v>
      </c>
    </row>
    <row r="720" spans="1:15" hidden="1" x14ac:dyDescent="0.2">
      <c r="A720" s="5">
        <f>IF(AND(E17="non",F42="épou(x)(se)"),I686,0)</f>
        <v>0</v>
      </c>
      <c r="E720" s="5">
        <f>IF(AND(E17="non",F42="épou(x)(se)"),I686,0)</f>
        <v>0</v>
      </c>
      <c r="F720" s="5">
        <f>IF(AND(F42="épou(x)(se)",H674&gt;125000,E17="oui"),125,0)</f>
        <v>0</v>
      </c>
      <c r="G720" s="5">
        <f>IF(AND(F720&gt;0,(I695-F720&gt;=0)),I695-F720,0)</f>
        <v>0</v>
      </c>
    </row>
    <row r="721" spans="1:11" hidden="1" x14ac:dyDescent="0.2">
      <c r="A721" s="5">
        <f>IF(F42="frère/soeur",I703,0)</f>
        <v>0</v>
      </c>
      <c r="E721" s="5">
        <f>IF(F42="frère/soeur",I703,0)</f>
        <v>0</v>
      </c>
      <c r="F721" s="5">
        <f>SUM(F717:F720)</f>
        <v>0</v>
      </c>
      <c r="G721" s="5">
        <f>SUM(G717:G720)</f>
        <v>0</v>
      </c>
    </row>
    <row r="722" spans="1:11" hidden="1" x14ac:dyDescent="0.2">
      <c r="A722" s="5">
        <f>IF(F42="oncle-tante/neveu-nièce",I714,0)</f>
        <v>0</v>
      </c>
      <c r="E722" s="5">
        <f>IF(F42="oncle-tante/neveu-nièce",I714,0)</f>
        <v>0</v>
      </c>
      <c r="F722" s="5"/>
    </row>
    <row r="723" spans="1:11" hidden="1" x14ac:dyDescent="0.2">
      <c r="A723" s="5">
        <f>IF(F42="étrangers",O712,0)</f>
        <v>0</v>
      </c>
      <c r="E723" s="5">
        <f>IF(F42="étrangers",O712,0)</f>
        <v>0</v>
      </c>
      <c r="F723" s="5"/>
    </row>
    <row r="724" spans="1:11" hidden="1" x14ac:dyDescent="0.2">
      <c r="F724" s="5"/>
    </row>
    <row r="725" spans="1:11" hidden="1" x14ac:dyDescent="0.2">
      <c r="A725" s="5">
        <f>SUM(A717:A724)</f>
        <v>0</v>
      </c>
      <c r="E725" s="5">
        <f>SUM(E717:E724)</f>
        <v>0</v>
      </c>
      <c r="F725" s="5"/>
    </row>
    <row r="726" spans="1:11" hidden="1" x14ac:dyDescent="0.2">
      <c r="F726" s="5"/>
    </row>
    <row r="727" spans="1:11" hidden="1" x14ac:dyDescent="0.2">
      <c r="F727" s="5"/>
    </row>
    <row r="728" spans="1:11" hidden="1" x14ac:dyDescent="0.2">
      <c r="A728" s="5" t="s">
        <v>93</v>
      </c>
      <c r="E728" s="5" t="s">
        <v>100</v>
      </c>
      <c r="F728" s="5"/>
    </row>
    <row r="729" spans="1:11" hidden="1" x14ac:dyDescent="0.2">
      <c r="F729" s="5"/>
    </row>
    <row r="730" spans="1:11" hidden="1" x14ac:dyDescent="0.2">
      <c r="A730" s="5" t="s">
        <v>93</v>
      </c>
      <c r="E730" s="5">
        <f>IF(I42=3,E725*12%,0)</f>
        <v>0</v>
      </c>
      <c r="F730" s="5">
        <f>IF(E730&gt;372,372,E730)</f>
        <v>0</v>
      </c>
      <c r="H730" s="5" t="s">
        <v>26</v>
      </c>
      <c r="I730" s="5">
        <f>6%*E725</f>
        <v>0</v>
      </c>
      <c r="J730" s="5">
        <f>IF(I730&gt;186,186,I730)</f>
        <v>0</v>
      </c>
      <c r="K730" s="5">
        <f>IF(I42=3,J730,0)</f>
        <v>0</v>
      </c>
    </row>
    <row r="731" spans="1:11" hidden="1" x14ac:dyDescent="0.2">
      <c r="E731" s="5">
        <f>IF(I42=4,E725*16%,0)</f>
        <v>0</v>
      </c>
      <c r="F731" s="5">
        <f>IF(E731&gt;496,496,E731)</f>
        <v>0</v>
      </c>
      <c r="H731" s="5" t="s">
        <v>27</v>
      </c>
      <c r="I731" s="5">
        <f>8%*E725</f>
        <v>0</v>
      </c>
      <c r="J731" s="5">
        <f>IF(I731&gt;248,248,I731)</f>
        <v>0</v>
      </c>
      <c r="K731" s="5">
        <f>IF(I42=4,J731,0)</f>
        <v>0</v>
      </c>
    </row>
    <row r="732" spans="1:11" hidden="1" x14ac:dyDescent="0.2">
      <c r="E732" s="5">
        <f>IF(I42=5,E725*20%,0)</f>
        <v>0</v>
      </c>
      <c r="F732" s="5">
        <f>IF(E732&gt;620,620,E732)</f>
        <v>0</v>
      </c>
      <c r="I732" s="5">
        <f>10%*E725</f>
        <v>0</v>
      </c>
      <c r="J732" s="5">
        <f>IF(I732&gt;310,310,I732)</f>
        <v>0</v>
      </c>
      <c r="K732" s="5">
        <f>IF(I42=5,J732,0)</f>
        <v>0</v>
      </c>
    </row>
    <row r="733" spans="1:11" hidden="1" x14ac:dyDescent="0.2">
      <c r="E733" s="5">
        <f>IF(I42=6,E725*24%,0)</f>
        <v>0</v>
      </c>
      <c r="F733" s="5">
        <f>IF(E733&gt;744,744,E733)</f>
        <v>0</v>
      </c>
      <c r="I733" s="5">
        <f>12%*E725</f>
        <v>0</v>
      </c>
      <c r="J733" s="5">
        <f>IF(I733&gt;372,372,I733)</f>
        <v>0</v>
      </c>
      <c r="K733" s="5">
        <f>IF(I42=6,J733,0)</f>
        <v>0</v>
      </c>
    </row>
    <row r="734" spans="1:11" hidden="1" x14ac:dyDescent="0.2">
      <c r="E734" s="5">
        <f>IF(I42=7,E725*28%,0)</f>
        <v>0</v>
      </c>
      <c r="F734" s="5">
        <f>IF(E734&gt;868,868,E734)</f>
        <v>0</v>
      </c>
      <c r="I734" s="5">
        <f>14%*E725</f>
        <v>0</v>
      </c>
      <c r="J734" s="5">
        <f>IF(I734&gt;434,434,I734)</f>
        <v>0</v>
      </c>
      <c r="K734" s="5">
        <f>IF(I42=7,J734,0)</f>
        <v>0</v>
      </c>
    </row>
    <row r="735" spans="1:11" hidden="1" x14ac:dyDescent="0.2">
      <c r="E735" s="5">
        <f>IF(I42=8,E725*32%,0)</f>
        <v>0</v>
      </c>
      <c r="F735" s="5">
        <f>IF(E735&gt;992,992,E735)</f>
        <v>0</v>
      </c>
      <c r="I735" s="5">
        <f>16%*E725</f>
        <v>0</v>
      </c>
      <c r="J735" s="5">
        <f>IF(I735&gt;496,496,I735)</f>
        <v>0</v>
      </c>
      <c r="K735" s="5">
        <f>IF(I42=8,J735,0)</f>
        <v>0</v>
      </c>
    </row>
    <row r="736" spans="1:11" hidden="1" x14ac:dyDescent="0.2">
      <c r="E736" s="5">
        <f>IF(I42=9,E725*36%,0)</f>
        <v>0</v>
      </c>
      <c r="F736" s="5">
        <f>IF(E736&gt;1116,1116,E736)</f>
        <v>0</v>
      </c>
      <c r="I736" s="5">
        <f>18%*E725</f>
        <v>0</v>
      </c>
      <c r="J736" s="5">
        <f>IF(I736&gt;558,558,I736)</f>
        <v>0</v>
      </c>
      <c r="K736" s="5">
        <f>IF(I42=9,J736,0)</f>
        <v>0</v>
      </c>
    </row>
    <row r="737" spans="1:11" hidden="1" x14ac:dyDescent="0.2">
      <c r="E737" s="5">
        <f>IF(I42=10,E725*40%,0)</f>
        <v>0</v>
      </c>
      <c r="F737" s="5">
        <f>IF(E737&gt;1240,1240,E737)</f>
        <v>0</v>
      </c>
      <c r="I737" s="5">
        <f>20%*E725</f>
        <v>0</v>
      </c>
      <c r="J737" s="5">
        <f>IF(I737&gt;620,620,I737)</f>
        <v>0</v>
      </c>
      <c r="K737" s="5">
        <f>IF(I42=10,J737,0)</f>
        <v>0</v>
      </c>
    </row>
    <row r="738" spans="1:11" hidden="1" x14ac:dyDescent="0.2">
      <c r="F738" s="5"/>
    </row>
    <row r="739" spans="1:11" hidden="1" x14ac:dyDescent="0.2">
      <c r="F739" s="5">
        <f>SUM(F730:F738)</f>
        <v>0</v>
      </c>
      <c r="K739" s="5">
        <f>SUM(K730:K738)</f>
        <v>0</v>
      </c>
    </row>
    <row r="740" spans="1:11" hidden="1" x14ac:dyDescent="0.2"/>
    <row r="741" spans="1:11" hidden="1" x14ac:dyDescent="0.2"/>
    <row r="742" spans="1:11" hidden="1" x14ac:dyDescent="0.2"/>
    <row r="743" spans="1:11" hidden="1" x14ac:dyDescent="0.2">
      <c r="A743" s="5" t="s">
        <v>33</v>
      </c>
      <c r="E743" s="20">
        <f>E725-F739</f>
        <v>0</v>
      </c>
      <c r="G743" s="5" t="s">
        <v>34</v>
      </c>
      <c r="H743" s="47">
        <f>E725-K739</f>
        <v>0</v>
      </c>
    </row>
    <row r="744" spans="1:11" hidden="1" x14ac:dyDescent="0.2"/>
    <row r="745" spans="1:11" hidden="1" x14ac:dyDescent="0.2"/>
    <row r="746" spans="1:11" hidden="1" x14ac:dyDescent="0.2"/>
    <row r="747" spans="1:11" hidden="1" x14ac:dyDescent="0.2"/>
    <row r="748" spans="1:11" hidden="1" x14ac:dyDescent="0.2"/>
    <row r="749" spans="1:11" hidden="1" x14ac:dyDescent="0.2"/>
    <row r="750" spans="1:11" hidden="1" x14ac:dyDescent="0.2"/>
    <row r="751" spans="1:11" hidden="1" x14ac:dyDescent="0.2"/>
    <row r="752" spans="1:11" hidden="1" x14ac:dyDescent="0.2"/>
    <row r="753" hidden="1" x14ac:dyDescent="0.2"/>
    <row r="754" hidden="1" x14ac:dyDescent="0.2"/>
    <row r="755" hidden="1" x14ac:dyDescent="0.2"/>
    <row r="756" hidden="1" x14ac:dyDescent="0.2"/>
    <row r="757" hidden="1" x14ac:dyDescent="0.2"/>
    <row r="758" hidden="1" x14ac:dyDescent="0.2"/>
    <row r="759" hidden="1" x14ac:dyDescent="0.2"/>
    <row r="760" hidden="1" x14ac:dyDescent="0.2"/>
    <row r="761" hidden="1" x14ac:dyDescent="0.2"/>
    <row r="762" hidden="1" x14ac:dyDescent="0.2"/>
    <row r="763" hidden="1" x14ac:dyDescent="0.2"/>
    <row r="764" hidden="1" x14ac:dyDescent="0.2"/>
    <row r="765" hidden="1" x14ac:dyDescent="0.2"/>
    <row r="766" hidden="1" x14ac:dyDescent="0.2"/>
    <row r="767" hidden="1" x14ac:dyDescent="0.2"/>
    <row r="768" hidden="1" x14ac:dyDescent="0.2"/>
    <row r="769" spans="1:9" hidden="1" x14ac:dyDescent="0.2"/>
    <row r="770" spans="1:9" hidden="1" x14ac:dyDescent="0.2"/>
    <row r="771" spans="1:9" hidden="1" x14ac:dyDescent="0.2"/>
    <row r="772" spans="1:9" hidden="1" x14ac:dyDescent="0.2"/>
    <row r="773" spans="1:9" hidden="1" x14ac:dyDescent="0.2"/>
    <row r="774" spans="1:9" hidden="1" x14ac:dyDescent="0.2">
      <c r="H774" s="28">
        <f>I181</f>
        <v>0</v>
      </c>
    </row>
    <row r="775" spans="1:9" hidden="1" x14ac:dyDescent="0.2"/>
    <row r="776" spans="1:9" hidden="1" x14ac:dyDescent="0.2">
      <c r="A776" s="43" t="s">
        <v>2</v>
      </c>
      <c r="B776" s="43"/>
      <c r="C776" s="43"/>
      <c r="D776" s="43"/>
      <c r="E776" s="31"/>
      <c r="F776" s="32"/>
      <c r="G776" s="31"/>
      <c r="H776" s="31"/>
      <c r="I776" s="44" t="s">
        <v>3</v>
      </c>
    </row>
    <row r="777" spans="1:9" hidden="1" x14ac:dyDescent="0.2">
      <c r="A777" s="31">
        <v>0</v>
      </c>
      <c r="B777" s="31"/>
      <c r="C777" s="31"/>
      <c r="D777" s="31"/>
      <c r="E777" s="31">
        <v>12500</v>
      </c>
      <c r="F777" s="32"/>
      <c r="G777" s="31"/>
      <c r="H777" s="31">
        <f>IF(AND(H774&gt;A777,H774&lt;=E777),H774,0)</f>
        <v>0</v>
      </c>
      <c r="I777" s="31">
        <f>0+(3/100)*(-A777+H777)</f>
        <v>0</v>
      </c>
    </row>
    <row r="778" spans="1:9" hidden="1" x14ac:dyDescent="0.2">
      <c r="A778" s="31">
        <f t="shared" ref="A778:A785" si="25">E777</f>
        <v>12500</v>
      </c>
      <c r="B778" s="31"/>
      <c r="C778" s="31"/>
      <c r="D778" s="31"/>
      <c r="E778" s="31">
        <v>25000</v>
      </c>
      <c r="F778" s="32"/>
      <c r="G778" s="31"/>
      <c r="H778" s="31">
        <f>IF(AND(H774&gt;A778, H774&lt;=E778),H774,0)</f>
        <v>0</v>
      </c>
      <c r="I778" s="31">
        <f>(12500/100*3)+(4/100)*(-A778+H778)</f>
        <v>-125</v>
      </c>
    </row>
    <row r="779" spans="1:9" hidden="1" x14ac:dyDescent="0.2">
      <c r="A779" s="31">
        <f t="shared" si="25"/>
        <v>25000</v>
      </c>
      <c r="B779" s="31"/>
      <c r="C779" s="31"/>
      <c r="D779" s="31"/>
      <c r="E779" s="31">
        <v>50000</v>
      </c>
      <c r="F779" s="32"/>
      <c r="G779" s="31"/>
      <c r="H779" s="31">
        <f>IF(AND(H774&gt;A779, H774&lt;=E779),H774,0)</f>
        <v>0</v>
      </c>
      <c r="I779" s="31">
        <f>(12500/100*3)+(12500/100*4)+((5/100)*(-A779+H779))</f>
        <v>-375</v>
      </c>
    </row>
    <row r="780" spans="1:9" hidden="1" x14ac:dyDescent="0.2">
      <c r="A780" s="31">
        <f t="shared" si="25"/>
        <v>50000</v>
      </c>
      <c r="B780" s="31"/>
      <c r="C780" s="31"/>
      <c r="D780" s="31"/>
      <c r="E780" s="31">
        <v>100000</v>
      </c>
      <c r="F780" s="32"/>
      <c r="G780" s="31"/>
      <c r="H780" s="31">
        <f>IF(AND(H774&gt;A780, H774&lt;=E780),H774,0)</f>
        <v>0</v>
      </c>
      <c r="I780" s="31">
        <f>(12500/100*3)+(12500/100*4)+(25000/100*5)+((7/100)*(-A780+H780))</f>
        <v>-1375.0000000000005</v>
      </c>
    </row>
    <row r="781" spans="1:9" hidden="1" x14ac:dyDescent="0.2">
      <c r="A781" s="31">
        <f t="shared" si="25"/>
        <v>100000</v>
      </c>
      <c r="B781" s="31"/>
      <c r="C781" s="31"/>
      <c r="D781" s="31"/>
      <c r="E781" s="31">
        <v>150000</v>
      </c>
      <c r="F781" s="32"/>
      <c r="G781" s="31"/>
      <c r="H781" s="31">
        <f>IF(AND(H774&gt;A781, H774&lt;=E781),H774,0)</f>
        <v>0</v>
      </c>
      <c r="I781" s="31">
        <f>(12500/100*3)+(12500/100*4)+(25000/100*5)+(50000/100*7)+((10/100)*(-A781+H781))</f>
        <v>-4375</v>
      </c>
    </row>
    <row r="782" spans="1:9" hidden="1" x14ac:dyDescent="0.2">
      <c r="A782" s="31">
        <f t="shared" si="25"/>
        <v>150000</v>
      </c>
      <c r="B782" s="31"/>
      <c r="C782" s="31"/>
      <c r="D782" s="31"/>
      <c r="E782" s="31">
        <v>200000</v>
      </c>
      <c r="F782" s="32"/>
      <c r="G782" s="31"/>
      <c r="H782" s="31">
        <f>IF(AND(H774&gt;A782, H774&lt;=E782),H774,0)</f>
        <v>0</v>
      </c>
      <c r="I782" s="31">
        <f>(12500/100*3)+(12500/100*4)+(25000/100*5)+(50000/100*7)+(50000/100*10)+((14/100)*(-A782+H782))</f>
        <v>-10375.000000000004</v>
      </c>
    </row>
    <row r="783" spans="1:9" hidden="1" x14ac:dyDescent="0.2">
      <c r="A783" s="31">
        <f t="shared" si="25"/>
        <v>200000</v>
      </c>
      <c r="B783" s="31"/>
      <c r="C783" s="31"/>
      <c r="D783" s="31"/>
      <c r="E783" s="31">
        <v>250000</v>
      </c>
      <c r="F783" s="32"/>
      <c r="G783" s="31"/>
      <c r="H783" s="31">
        <f>IF(AND(H774&gt;A783, H774&lt;=E783),H774,0)</f>
        <v>0</v>
      </c>
      <c r="I783" s="31">
        <f>(12500/100*3)+(12500/100*4)+(25000/100*5)+(50000/100*7)+(50000/100*10)+(50000/100*14)+((18/100)*(-A783+H783))</f>
        <v>-18375</v>
      </c>
    </row>
    <row r="784" spans="1:9" hidden="1" x14ac:dyDescent="0.2">
      <c r="A784" s="31">
        <f t="shared" si="25"/>
        <v>250000</v>
      </c>
      <c r="B784" s="31"/>
      <c r="C784" s="31"/>
      <c r="D784" s="31"/>
      <c r="E784" s="31">
        <v>500000</v>
      </c>
      <c r="F784" s="32"/>
      <c r="G784" s="31"/>
      <c r="H784" s="31">
        <f>IF(AND(H774&gt;A784, H774&lt;=E784),H774,0)</f>
        <v>0</v>
      </c>
      <c r="I784" s="31">
        <f>(12500/100*3)+(12500/100*4)+(25000/100*5)+(50000/100*7)+(50000/100*10)+(50000/100*14)+(50000/100*18)+((24/100)*(-A784+H784))</f>
        <v>-33375</v>
      </c>
    </row>
    <row r="785" spans="1:9" hidden="1" x14ac:dyDescent="0.2">
      <c r="A785" s="31">
        <f t="shared" si="25"/>
        <v>500000</v>
      </c>
      <c r="B785" s="31"/>
      <c r="C785" s="31"/>
      <c r="D785" s="31"/>
      <c r="E785" s="31">
        <v>999999999</v>
      </c>
      <c r="F785" s="32"/>
      <c r="G785" s="31"/>
      <c r="H785" s="31">
        <f>IF(AND(H774&gt;A785, H774&lt;=E785),H774,0)</f>
        <v>0</v>
      </c>
      <c r="I785" s="31">
        <f>(12500/100*3)+(12500/100*4)+(25000/100*5)+(50000/100*7)+(50000/100*10)+(50000/100*14)+(50000/100*18)+(250000/100*24)+((30/100)*(-A785+H785))</f>
        <v>-63375</v>
      </c>
    </row>
    <row r="786" spans="1:9" hidden="1" x14ac:dyDescent="0.2">
      <c r="A786" s="45" t="s">
        <v>4</v>
      </c>
      <c r="B786" s="45"/>
      <c r="C786" s="45"/>
      <c r="D786" s="45"/>
      <c r="E786" s="31"/>
      <c r="F786" s="32"/>
      <c r="G786" s="31"/>
      <c r="H786" s="31"/>
      <c r="I786" s="31">
        <f>VLOOKUP(H774,H777:I785,2,FALSE)</f>
        <v>0</v>
      </c>
    </row>
    <row r="787" spans="1:9" hidden="1" x14ac:dyDescent="0.2">
      <c r="A787" s="45"/>
      <c r="B787" s="45"/>
      <c r="C787" s="45"/>
      <c r="D787" s="45"/>
      <c r="E787" s="31"/>
      <c r="F787" s="32"/>
      <c r="G787" s="31"/>
      <c r="H787" s="31"/>
      <c r="I787" s="31"/>
    </row>
    <row r="788" spans="1:9" hidden="1" x14ac:dyDescent="0.2">
      <c r="A788" s="46" t="s">
        <v>24</v>
      </c>
      <c r="B788" s="46"/>
      <c r="C788" s="46"/>
      <c r="D788" s="46"/>
      <c r="E788" s="31"/>
      <c r="F788" s="32"/>
      <c r="G788" s="31"/>
      <c r="H788" s="31"/>
      <c r="I788" s="44" t="s">
        <v>25</v>
      </c>
    </row>
    <row r="789" spans="1:9" hidden="1" x14ac:dyDescent="0.2">
      <c r="A789" s="31">
        <v>0</v>
      </c>
      <c r="B789" s="31"/>
      <c r="C789" s="31"/>
      <c r="D789" s="31"/>
      <c r="E789" s="31">
        <v>25000</v>
      </c>
      <c r="F789" s="32"/>
      <c r="G789" s="31"/>
      <c r="H789" s="31">
        <f>IF(AND(H774&gt;A789, H774&lt;=E789),H774,0)</f>
        <v>0</v>
      </c>
      <c r="I789" s="31">
        <f>0+(1/100)*(-A789+H789)</f>
        <v>0</v>
      </c>
    </row>
    <row r="790" spans="1:9" hidden="1" x14ac:dyDescent="0.2">
      <c r="A790" s="31">
        <f>E789</f>
        <v>25000</v>
      </c>
      <c r="B790" s="31"/>
      <c r="C790" s="31"/>
      <c r="D790" s="31"/>
      <c r="E790" s="31">
        <v>50000</v>
      </c>
      <c r="F790" s="32"/>
      <c r="G790" s="31"/>
      <c r="H790" s="31">
        <f>IF(AND(H774&gt;A790, H774&lt;=E790),H774,0)</f>
        <v>0</v>
      </c>
      <c r="I790" s="31">
        <f>(25000/100*1)+(2/100)*(-A790+H790)</f>
        <v>-250</v>
      </c>
    </row>
    <row r="791" spans="1:9" hidden="1" x14ac:dyDescent="0.2">
      <c r="A791" s="31">
        <f>E790</f>
        <v>50000</v>
      </c>
      <c r="B791" s="31"/>
      <c r="C791" s="31"/>
      <c r="D791" s="31"/>
      <c r="E791" s="31">
        <v>175000</v>
      </c>
      <c r="F791" s="32"/>
      <c r="G791" s="31"/>
      <c r="H791" s="31">
        <f>IF(AND(H774&gt;A791, H774&lt;=E791),H774,0)</f>
        <v>0</v>
      </c>
      <c r="I791" s="31">
        <f>(25000/100*1)+(25000/100*2)+((5/100)*(-A791+H791))</f>
        <v>-1750</v>
      </c>
    </row>
    <row r="792" spans="1:9" hidden="1" x14ac:dyDescent="0.2">
      <c r="A792" s="31">
        <f>E791</f>
        <v>175000</v>
      </c>
      <c r="B792" s="31"/>
      <c r="C792" s="31"/>
      <c r="D792" s="31"/>
      <c r="E792" s="31">
        <v>250000</v>
      </c>
      <c r="F792" s="32"/>
      <c r="G792" s="31"/>
      <c r="H792" s="31">
        <f>IF(AND(H774&gt;A792, H774&lt;=E792),H774,0)</f>
        <v>0</v>
      </c>
      <c r="I792" s="31">
        <f>(25000/100*1)+(25000/100*2)+(125000/100*5)+((12/100)*(-A792+H792))</f>
        <v>-14000</v>
      </c>
    </row>
    <row r="793" spans="1:9" hidden="1" x14ac:dyDescent="0.2">
      <c r="A793" s="31">
        <f>E792</f>
        <v>250000</v>
      </c>
      <c r="B793" s="31"/>
      <c r="C793" s="31"/>
      <c r="D793" s="31"/>
      <c r="E793" s="31">
        <v>500000</v>
      </c>
      <c r="F793" s="32"/>
      <c r="G793" s="31"/>
      <c r="H793" s="31">
        <f>IF(AND(H774&gt;A793, H774&lt;=E793),H774,0)</f>
        <v>0</v>
      </c>
      <c r="I793" s="31">
        <f>(25000/100*1)+(25000/100*2)+(125000/100*5)+(75000/100*12)+((24/100)*(-A793+H793))</f>
        <v>-44000</v>
      </c>
    </row>
    <row r="794" spans="1:9" hidden="1" x14ac:dyDescent="0.2">
      <c r="A794" s="31">
        <f>E793</f>
        <v>500000</v>
      </c>
      <c r="B794" s="31"/>
      <c r="C794" s="31"/>
      <c r="D794" s="31"/>
      <c r="E794" s="31">
        <v>999999999</v>
      </c>
      <c r="F794" s="32"/>
      <c r="G794" s="31"/>
      <c r="H794" s="31">
        <f>IF(AND(H774&gt;A794, H774&lt;=E794),H774,0)</f>
        <v>0</v>
      </c>
      <c r="I794" s="31">
        <f>(25000/100*1)+(25000/100*2)+(125000/100*5)+(75000/100*12)+(250000/100*24)+((30/100)*(-A794+H794))</f>
        <v>-74000</v>
      </c>
    </row>
    <row r="795" spans="1:9" hidden="1" x14ac:dyDescent="0.2">
      <c r="A795" s="45" t="s">
        <v>4</v>
      </c>
      <c r="B795" s="45"/>
      <c r="C795" s="45"/>
      <c r="D795" s="45"/>
      <c r="E795" s="31"/>
      <c r="F795" s="32"/>
      <c r="G795" s="31"/>
      <c r="H795" s="31"/>
      <c r="I795" s="31">
        <f>VLOOKUP(H774,H789:I794,2,FALSE)</f>
        <v>0</v>
      </c>
    </row>
    <row r="796" spans="1:9" hidden="1" x14ac:dyDescent="0.2">
      <c r="A796" s="45"/>
      <c r="B796" s="45"/>
      <c r="C796" s="45"/>
      <c r="D796" s="45"/>
      <c r="E796" s="31"/>
      <c r="F796" s="32"/>
      <c r="G796" s="31"/>
      <c r="H796" s="31"/>
      <c r="I796" s="31"/>
    </row>
    <row r="797" spans="1:9" hidden="1" x14ac:dyDescent="0.2">
      <c r="A797" s="43" t="s">
        <v>5</v>
      </c>
      <c r="B797" s="43"/>
      <c r="C797" s="43"/>
      <c r="D797" s="43"/>
      <c r="E797" s="31"/>
      <c r="F797" s="32"/>
      <c r="G797" s="31"/>
      <c r="H797" s="31"/>
      <c r="I797" s="44" t="s">
        <v>6</v>
      </c>
    </row>
    <row r="798" spans="1:9" hidden="1" x14ac:dyDescent="0.2">
      <c r="A798" s="31">
        <v>0</v>
      </c>
      <c r="B798" s="31"/>
      <c r="C798" s="31"/>
      <c r="D798" s="31"/>
      <c r="E798" s="31">
        <v>12500</v>
      </c>
      <c r="F798" s="32"/>
      <c r="G798" s="31"/>
      <c r="H798" s="31">
        <f>IF(AND(H774&gt;A798, H774&lt;=E798),H774,0)</f>
        <v>0</v>
      </c>
      <c r="I798" s="31">
        <f>0+(20/100)*(-A798+H798)</f>
        <v>0</v>
      </c>
    </row>
    <row r="799" spans="1:9" hidden="1" x14ac:dyDescent="0.2">
      <c r="A799" s="31">
        <f>E798</f>
        <v>12500</v>
      </c>
      <c r="B799" s="31"/>
      <c r="C799" s="31"/>
      <c r="D799" s="31"/>
      <c r="E799" s="31">
        <v>25000</v>
      </c>
      <c r="F799" s="32"/>
      <c r="G799" s="31"/>
      <c r="H799" s="31">
        <f>IF(AND(H774&gt;A799, H774&lt;=E799),H774,0)</f>
        <v>0</v>
      </c>
      <c r="I799" s="31">
        <f>(12500/100*20)+((25/100)*(-A799+H799))</f>
        <v>-625</v>
      </c>
    </row>
    <row r="800" spans="1:9" hidden="1" x14ac:dyDescent="0.2">
      <c r="A800" s="31">
        <f>E799</f>
        <v>25000</v>
      </c>
      <c r="B800" s="31"/>
      <c r="C800" s="31"/>
      <c r="D800" s="31"/>
      <c r="E800" s="31">
        <v>75000</v>
      </c>
      <c r="F800" s="32"/>
      <c r="G800" s="31"/>
      <c r="H800" s="31">
        <f>IF(AND(H774&gt;A800, H774&lt;=E800),H774,0)</f>
        <v>0</v>
      </c>
      <c r="I800" s="31">
        <f>(12500/100*20)+(12500/100*25)+((35/100)*(-A800+H800))</f>
        <v>-3125</v>
      </c>
    </row>
    <row r="801" spans="1:15" hidden="1" x14ac:dyDescent="0.2">
      <c r="A801" s="31">
        <f>E800</f>
        <v>75000</v>
      </c>
      <c r="B801" s="31"/>
      <c r="C801" s="31"/>
      <c r="D801" s="31"/>
      <c r="E801" s="31">
        <v>175000</v>
      </c>
      <c r="F801" s="32"/>
      <c r="G801" s="31"/>
      <c r="H801" s="31">
        <f>IF(AND(H774&gt;A801, H774&lt;=E801),H774,0)</f>
        <v>0</v>
      </c>
      <c r="I801" s="31">
        <f>(12500/100*20)+(12500/100*25)+(50000/100*35)+((50/100)*(-A801+H801))</f>
        <v>-14375</v>
      </c>
    </row>
    <row r="802" spans="1:15" hidden="1" x14ac:dyDescent="0.2">
      <c r="A802" s="31">
        <f>E801</f>
        <v>175000</v>
      </c>
      <c r="B802" s="31"/>
      <c r="C802" s="31"/>
      <c r="D802" s="31"/>
      <c r="E802" s="31">
        <v>999999999</v>
      </c>
      <c r="F802" s="32"/>
      <c r="G802" s="31"/>
      <c r="H802" s="31">
        <f>IF(AND(H774&gt;A802, H774&lt;=E802),H774,0)</f>
        <v>0</v>
      </c>
      <c r="I802" s="31">
        <f>(12500/100*20)+(12500/100*25)+(50000/100*35)+(100000/100*50)+((65/100)*(-A802+H802))</f>
        <v>-40625</v>
      </c>
    </row>
    <row r="803" spans="1:15" hidden="1" x14ac:dyDescent="0.2">
      <c r="A803" s="45" t="s">
        <v>4</v>
      </c>
      <c r="B803" s="45"/>
      <c r="C803" s="45"/>
      <c r="D803" s="45"/>
      <c r="E803" s="31"/>
      <c r="F803" s="32"/>
      <c r="G803" s="31"/>
      <c r="H803" s="31"/>
      <c r="I803" s="31">
        <f>VLOOKUP(H774,H798:I802,2,FALSE)</f>
        <v>0</v>
      </c>
    </row>
    <row r="804" spans="1:15" hidden="1" x14ac:dyDescent="0.2"/>
    <row r="805" spans="1:15" hidden="1" x14ac:dyDescent="0.2">
      <c r="E805" s="28">
        <f>E686</f>
        <v>0</v>
      </c>
      <c r="F805" s="29"/>
      <c r="G805" s="28"/>
      <c r="H805" s="28"/>
      <c r="I805" s="28"/>
    </row>
    <row r="806" spans="1:15" hidden="1" x14ac:dyDescent="0.2">
      <c r="E806" s="28"/>
      <c r="F806" s="29"/>
      <c r="G806" s="28"/>
      <c r="H806" s="28"/>
      <c r="I806" s="28"/>
      <c r="N806" s="31"/>
      <c r="O806" s="44" t="s">
        <v>8</v>
      </c>
    </row>
    <row r="807" spans="1:15" hidden="1" x14ac:dyDescent="0.2">
      <c r="E807" s="28"/>
      <c r="F807" s="29"/>
      <c r="G807" s="28"/>
      <c r="H807" s="28"/>
      <c r="I807" s="28"/>
      <c r="N807" s="31">
        <f>IF(AND(H774&gt;K809, H774&lt;=M809),H774,0)</f>
        <v>0</v>
      </c>
      <c r="O807" s="31">
        <f>0+(30/100)*(-K809+N807)</f>
        <v>0</v>
      </c>
    </row>
    <row r="808" spans="1:15" hidden="1" x14ac:dyDescent="0.2">
      <c r="A808" s="43" t="s">
        <v>22</v>
      </c>
      <c r="B808" s="43"/>
      <c r="C808" s="43"/>
      <c r="D808" s="43"/>
      <c r="E808" s="31"/>
      <c r="F808" s="32"/>
      <c r="G808" s="31"/>
      <c r="H808" s="31"/>
      <c r="I808" s="44" t="s">
        <v>7</v>
      </c>
      <c r="K808" s="43" t="s">
        <v>23</v>
      </c>
      <c r="L808" s="43"/>
      <c r="M808" s="31"/>
      <c r="N808" s="31">
        <f>IF(AND(H774&gt;K810, H774&lt;=M810),H774,0)</f>
        <v>0</v>
      </c>
      <c r="O808" s="31">
        <f>(12500/100*30)+((35/100)*(-K810+N808))</f>
        <v>-625</v>
      </c>
    </row>
    <row r="809" spans="1:15" hidden="1" x14ac:dyDescent="0.2">
      <c r="A809" s="31">
        <v>0</v>
      </c>
      <c r="B809" s="31"/>
      <c r="C809" s="31"/>
      <c r="D809" s="31"/>
      <c r="E809" s="31">
        <v>12500</v>
      </c>
      <c r="F809" s="32"/>
      <c r="G809" s="31"/>
      <c r="H809" s="31">
        <f>IF(AND(H774&gt;A809, H774&lt;=E809),H774,0)</f>
        <v>0</v>
      </c>
      <c r="I809" s="31">
        <f>0+(25/100)*(-A809+H809)</f>
        <v>0</v>
      </c>
      <c r="K809" s="31">
        <v>0</v>
      </c>
      <c r="L809" s="31"/>
      <c r="M809" s="31">
        <v>12500</v>
      </c>
      <c r="N809" s="31">
        <f>IF(AND(H774&gt;K811, H774&lt;=M811),H774,0)</f>
        <v>0</v>
      </c>
      <c r="O809" s="31">
        <f>(12500/100*30)+(12500/100*35)+((60/100)*(-K811+N809))</f>
        <v>-6875</v>
      </c>
    </row>
    <row r="810" spans="1:15" hidden="1" x14ac:dyDescent="0.2">
      <c r="A810" s="31">
        <f>E809</f>
        <v>12500</v>
      </c>
      <c r="B810" s="31"/>
      <c r="C810" s="31"/>
      <c r="D810" s="31"/>
      <c r="E810" s="31">
        <v>25000</v>
      </c>
      <c r="F810" s="32"/>
      <c r="G810" s="31"/>
      <c r="H810" s="31">
        <f>IF(AND(H774&gt;A810, H774&lt;=E810),H774,0)</f>
        <v>0</v>
      </c>
      <c r="I810" s="31">
        <f>(12500/100*25)+((30/100)*(-A810+H810))</f>
        <v>-625</v>
      </c>
      <c r="K810" s="31">
        <f>M809</f>
        <v>12500</v>
      </c>
      <c r="L810" s="31"/>
      <c r="M810" s="31">
        <v>25000</v>
      </c>
      <c r="N810" s="31">
        <f>IF(AND(H774&gt;K812, H774&lt;=M812),H774,0)</f>
        <v>0</v>
      </c>
      <c r="O810" s="31">
        <f>(12500/100*30)+(12500/100*35)+(50000/100*60)+((80/100)*(-K812+N810))</f>
        <v>-21875</v>
      </c>
    </row>
    <row r="811" spans="1:15" hidden="1" x14ac:dyDescent="0.2">
      <c r="A811" s="31">
        <f>E810</f>
        <v>25000</v>
      </c>
      <c r="B811" s="31"/>
      <c r="C811" s="31"/>
      <c r="D811" s="31"/>
      <c r="E811" s="31">
        <v>75000</v>
      </c>
      <c r="F811" s="32"/>
      <c r="G811" s="31"/>
      <c r="H811" s="31">
        <f>IF(AND(H774&gt;A811, H774&lt;=E811),H774,0)</f>
        <v>0</v>
      </c>
      <c r="I811" s="31">
        <f>(12500/100*25)+(12500/100*30)+((40/100)*(-A811+H811))</f>
        <v>-3125</v>
      </c>
      <c r="K811" s="31">
        <f>M810</f>
        <v>25000</v>
      </c>
      <c r="L811" s="31"/>
      <c r="M811" s="31">
        <v>75000</v>
      </c>
      <c r="N811" s="31">
        <f>IF(AND(H774&gt;K813, H774&lt;=M813),H774,0)</f>
        <v>0</v>
      </c>
      <c r="O811" s="31">
        <f>(12500/100*30)+(12500/100*35)+(50000/100*60)+(100000/100*80)+((80/100)*(-K813+N811))</f>
        <v>-21875</v>
      </c>
    </row>
    <row r="812" spans="1:15" hidden="1" x14ac:dyDescent="0.2">
      <c r="A812" s="31">
        <f>E811</f>
        <v>75000</v>
      </c>
      <c r="B812" s="31"/>
      <c r="C812" s="31"/>
      <c r="D812" s="31"/>
      <c r="E812" s="31">
        <v>175000</v>
      </c>
      <c r="F812" s="32"/>
      <c r="G812" s="31"/>
      <c r="H812" s="31">
        <f>IF(AND(H774&gt;A812, H774&lt;=E812),H774,0)</f>
        <v>0</v>
      </c>
      <c r="I812" s="31">
        <f>(12500/100*25)+(12500/100*30)+(50000/100*40)+((55/100)*(-A812+H812))</f>
        <v>-14375</v>
      </c>
      <c r="K812" s="31">
        <f>M811</f>
        <v>75000</v>
      </c>
      <c r="L812" s="31"/>
      <c r="M812" s="31">
        <v>175000</v>
      </c>
      <c r="N812" s="31"/>
      <c r="O812" s="31">
        <f>VLOOKUP(H774,N807:O811,2,FALSE)</f>
        <v>0</v>
      </c>
    </row>
    <row r="813" spans="1:15" hidden="1" x14ac:dyDescent="0.2">
      <c r="A813" s="31">
        <f>E812</f>
        <v>175000</v>
      </c>
      <c r="B813" s="31"/>
      <c r="C813" s="31"/>
      <c r="D813" s="31"/>
      <c r="E813" s="31">
        <v>999999999</v>
      </c>
      <c r="F813" s="32"/>
      <c r="G813" s="31"/>
      <c r="H813" s="31">
        <f>IF(AND(H774&gt;A813, H774&lt;=E813),H774,0)</f>
        <v>0</v>
      </c>
      <c r="I813" s="31">
        <f>(12500/100*25)+(12500/100*30)+(50000/100*40)+(100000/100*55)+((70/100)*(-A813+H813))</f>
        <v>-40624.999999999985</v>
      </c>
      <c r="K813" s="31">
        <f>M812</f>
        <v>175000</v>
      </c>
      <c r="L813" s="31"/>
      <c r="M813" s="31">
        <v>999999999</v>
      </c>
    </row>
    <row r="814" spans="1:15" hidden="1" x14ac:dyDescent="0.2">
      <c r="A814" s="45" t="s">
        <v>4</v>
      </c>
      <c r="B814" s="45"/>
      <c r="C814" s="45"/>
      <c r="D814" s="45"/>
      <c r="E814" s="31"/>
      <c r="F814" s="32"/>
      <c r="G814" s="31"/>
      <c r="H814" s="31"/>
      <c r="I814" s="31">
        <f>VLOOKUP(H774,H809:I813,2,FALSE)</f>
        <v>0</v>
      </c>
      <c r="K814" s="45" t="s">
        <v>4</v>
      </c>
      <c r="L814" s="45"/>
      <c r="M814" s="31"/>
    </row>
    <row r="815" spans="1:15" hidden="1" x14ac:dyDescent="0.2"/>
    <row r="816" spans="1:15" hidden="1" x14ac:dyDescent="0.2">
      <c r="E816" s="5">
        <f>IF(A817&gt;0,A817-F821,0)</f>
        <v>0</v>
      </c>
    </row>
    <row r="817" spans="1:11" hidden="1" x14ac:dyDescent="0.2">
      <c r="A817" s="5">
        <f>IF(AND(E17="oui",F47="ligne directe"),I795,0)</f>
        <v>0</v>
      </c>
      <c r="E817" s="5">
        <f>IF(E816&gt;0,E816,0)</f>
        <v>0</v>
      </c>
      <c r="F817" s="5">
        <f>IF(AND(F47="ligne directe",H774&lt;=125000,E17="oui"),250,0)</f>
        <v>0</v>
      </c>
      <c r="G817" s="5">
        <f>IF(AND(F817&gt;0,(I795-F817&gt;=0)),I795-F817,0)</f>
        <v>0</v>
      </c>
    </row>
    <row r="818" spans="1:11" hidden="1" x14ac:dyDescent="0.2">
      <c r="A818" s="5">
        <f>IF(AND(E17="oui",F47="épou(x)(se)"),I795,0)</f>
        <v>0</v>
      </c>
      <c r="E818" s="5">
        <f>IF(A818&gt;0,A818-F821,0)</f>
        <v>0</v>
      </c>
      <c r="F818" s="5">
        <f>IF(AND(F47="ligne directe",H774&gt;125000,E17="oui"),125,0)</f>
        <v>0</v>
      </c>
      <c r="G818" s="5">
        <f>IF(AND(F818&gt;0,(I795-F818&gt;=0)),I795-F818,0)</f>
        <v>0</v>
      </c>
    </row>
    <row r="819" spans="1:11" hidden="1" x14ac:dyDescent="0.2">
      <c r="A819" s="5">
        <f>IF(AND(E17="non",F47="ligne directe"),I786,0)</f>
        <v>0</v>
      </c>
      <c r="E819" s="5">
        <f>IF(AND(E17="non",F47="ligne directe"),I786,0)</f>
        <v>0</v>
      </c>
      <c r="F819" s="5">
        <f>IF(AND(F47="épou(x)(se)",H774&lt;=125000,E17="oui"),250,0)</f>
        <v>0</v>
      </c>
      <c r="G819" s="5">
        <f>IF(AND(F819&gt;0,(I795-F819&gt;=0)),I795-F819,0)</f>
        <v>0</v>
      </c>
    </row>
    <row r="820" spans="1:11" hidden="1" x14ac:dyDescent="0.2">
      <c r="A820" s="5">
        <f>IF(AND(E17="non",F47="épou(x)(se)"),I786,0)</f>
        <v>0</v>
      </c>
      <c r="E820" s="5">
        <f>IF(AND(E17="non",F47="épou(x)(se)"),I786,0)</f>
        <v>0</v>
      </c>
      <c r="F820" s="5">
        <f>IF(AND(F47="épou(x)(se)",H774&gt;125000,E17="oui"),125,0)</f>
        <v>0</v>
      </c>
      <c r="G820" s="5">
        <f>IF(AND(F820&gt;0,(I795-F820&gt;=0)),I795-F820,0)</f>
        <v>0</v>
      </c>
    </row>
    <row r="821" spans="1:11" hidden="1" x14ac:dyDescent="0.2">
      <c r="A821" s="5">
        <f>IF(F47="frère/soeur",I803,0)</f>
        <v>0</v>
      </c>
      <c r="E821" s="5">
        <f>IF(F47="frère/soeur",I803,0)</f>
        <v>0</v>
      </c>
      <c r="F821" s="5">
        <f>SUM(F817:F820)</f>
        <v>0</v>
      </c>
      <c r="G821" s="5">
        <f>SUM(G817:G820)</f>
        <v>0</v>
      </c>
    </row>
    <row r="822" spans="1:11" hidden="1" x14ac:dyDescent="0.2">
      <c r="A822" s="5">
        <f>IF(F47="oncle-tante/neveu-nièce",I814,0)</f>
        <v>0</v>
      </c>
      <c r="E822" s="5">
        <f>IF(F47="oncle-tante/neveu-nièce",I814,0)</f>
        <v>0</v>
      </c>
      <c r="F822" s="5"/>
    </row>
    <row r="823" spans="1:11" hidden="1" x14ac:dyDescent="0.2">
      <c r="A823" s="5">
        <f>IF(F47="étrangers",O812,0)</f>
        <v>0</v>
      </c>
      <c r="E823" s="5">
        <f>IF(F47="étrangers",O812,0)</f>
        <v>0</v>
      </c>
      <c r="F823" s="5"/>
    </row>
    <row r="824" spans="1:11" hidden="1" x14ac:dyDescent="0.2">
      <c r="F824" s="5"/>
    </row>
    <row r="825" spans="1:11" hidden="1" x14ac:dyDescent="0.2">
      <c r="A825" s="5">
        <f>SUM(A817:A824)</f>
        <v>0</v>
      </c>
      <c r="E825" s="5">
        <f>SUM(E817:E824)</f>
        <v>0</v>
      </c>
      <c r="F825" s="5"/>
    </row>
    <row r="826" spans="1:11" hidden="1" x14ac:dyDescent="0.2">
      <c r="F826" s="5"/>
    </row>
    <row r="827" spans="1:11" hidden="1" x14ac:dyDescent="0.2">
      <c r="F827" s="5"/>
    </row>
    <row r="828" spans="1:11" hidden="1" x14ac:dyDescent="0.2">
      <c r="A828" s="5" t="s">
        <v>93</v>
      </c>
      <c r="E828" s="5" t="s">
        <v>100</v>
      </c>
      <c r="F828" s="5"/>
    </row>
    <row r="829" spans="1:11" hidden="1" x14ac:dyDescent="0.2">
      <c r="F829" s="5"/>
    </row>
    <row r="830" spans="1:11" hidden="1" x14ac:dyDescent="0.2">
      <c r="A830" s="5" t="s">
        <v>93</v>
      </c>
      <c r="E830" s="5">
        <f>IF(I47=3,E825*12%,0)</f>
        <v>0</v>
      </c>
      <c r="F830" s="5">
        <f>IF(E830&gt;372,372,E830)</f>
        <v>0</v>
      </c>
      <c r="H830" s="5" t="s">
        <v>26</v>
      </c>
      <c r="I830" s="5">
        <f>6%*E825</f>
        <v>0</v>
      </c>
      <c r="J830" s="5">
        <f>IF(I830&gt;186,186,I830)</f>
        <v>0</v>
      </c>
      <c r="K830" s="5">
        <f>IF(I47=3,J830,0)</f>
        <v>0</v>
      </c>
    </row>
    <row r="831" spans="1:11" hidden="1" x14ac:dyDescent="0.2">
      <c r="E831" s="5">
        <f>IF(I47=4,E825*16%,0)</f>
        <v>0</v>
      </c>
      <c r="F831" s="5">
        <f>IF(E831&gt;496,496,E831)</f>
        <v>0</v>
      </c>
      <c r="H831" s="5" t="s">
        <v>27</v>
      </c>
      <c r="I831" s="5">
        <f>8%*E825</f>
        <v>0</v>
      </c>
      <c r="J831" s="5">
        <f>IF(I831&gt;248,248,I831)</f>
        <v>0</v>
      </c>
      <c r="K831" s="5">
        <f>IF(I47=4,J831,0)</f>
        <v>0</v>
      </c>
    </row>
    <row r="832" spans="1:11" hidden="1" x14ac:dyDescent="0.2">
      <c r="E832" s="5">
        <f>IF(I47=5,E825*20%,0)</f>
        <v>0</v>
      </c>
      <c r="F832" s="5">
        <f>IF(E832&gt;620,620,E832)</f>
        <v>0</v>
      </c>
      <c r="I832" s="5">
        <f>10%*E825</f>
        <v>0</v>
      </c>
      <c r="J832" s="5">
        <f>IF(I832&gt;310,310,I832)</f>
        <v>0</v>
      </c>
      <c r="K832" s="5">
        <f>IF(I47=5,J832,0)</f>
        <v>0</v>
      </c>
    </row>
    <row r="833" spans="1:11" hidden="1" x14ac:dyDescent="0.2">
      <c r="E833" s="5">
        <f>IF(I47=6,E825*24%,0)</f>
        <v>0</v>
      </c>
      <c r="F833" s="5">
        <f>IF(E833&gt;744,744,E833)</f>
        <v>0</v>
      </c>
      <c r="I833" s="5">
        <f>12%*E825</f>
        <v>0</v>
      </c>
      <c r="J833" s="5">
        <f>IF(I833&gt;372,372,I833)</f>
        <v>0</v>
      </c>
      <c r="K833" s="5">
        <f>IF(I47=6,J833,0)</f>
        <v>0</v>
      </c>
    </row>
    <row r="834" spans="1:11" hidden="1" x14ac:dyDescent="0.2">
      <c r="E834" s="5">
        <f>IF(I47=7,E825*28%,0)</f>
        <v>0</v>
      </c>
      <c r="F834" s="5">
        <f>IF(E834&gt;868,868,E834)</f>
        <v>0</v>
      </c>
      <c r="I834" s="5">
        <f>14%*E825</f>
        <v>0</v>
      </c>
      <c r="J834" s="5">
        <f>IF(I834&gt;434,434,I834)</f>
        <v>0</v>
      </c>
      <c r="K834" s="5">
        <f>IF(I47=7,J834,0)</f>
        <v>0</v>
      </c>
    </row>
    <row r="835" spans="1:11" hidden="1" x14ac:dyDescent="0.2">
      <c r="E835" s="5">
        <f>IF(I47=8,E825*32%,0)</f>
        <v>0</v>
      </c>
      <c r="F835" s="5">
        <f>IF(E835&gt;992,992,E835)</f>
        <v>0</v>
      </c>
      <c r="I835" s="5">
        <f>16%*E825</f>
        <v>0</v>
      </c>
      <c r="J835" s="5">
        <f>IF(I835&gt;496,496,I835)</f>
        <v>0</v>
      </c>
      <c r="K835" s="5">
        <f>IF(I47=8,J835,0)</f>
        <v>0</v>
      </c>
    </row>
    <row r="836" spans="1:11" hidden="1" x14ac:dyDescent="0.2">
      <c r="E836" s="5">
        <f>IF(I47=9,E825*36%,0)</f>
        <v>0</v>
      </c>
      <c r="F836" s="5">
        <f>IF(E836&gt;1116,1116,E836)</f>
        <v>0</v>
      </c>
      <c r="I836" s="5">
        <f>18%*E825</f>
        <v>0</v>
      </c>
      <c r="J836" s="5">
        <f>IF(I836&gt;558,558,I836)</f>
        <v>0</v>
      </c>
      <c r="K836" s="5">
        <f>IF(I47=9,J836,0)</f>
        <v>0</v>
      </c>
    </row>
    <row r="837" spans="1:11" hidden="1" x14ac:dyDescent="0.2">
      <c r="E837" s="5">
        <f>IF(I47=10,E825*40%,0)</f>
        <v>0</v>
      </c>
      <c r="F837" s="5">
        <f>IF(E837&gt;1240,1240,E837)</f>
        <v>0</v>
      </c>
      <c r="I837" s="5">
        <f>20%*E825</f>
        <v>0</v>
      </c>
      <c r="J837" s="5">
        <f>IF(I837&gt;620,620,I837)</f>
        <v>0</v>
      </c>
      <c r="K837" s="5">
        <f>IF(I47=10,J837,0)</f>
        <v>0</v>
      </c>
    </row>
    <row r="838" spans="1:11" hidden="1" x14ac:dyDescent="0.2">
      <c r="F838" s="5"/>
    </row>
    <row r="839" spans="1:11" hidden="1" x14ac:dyDescent="0.2">
      <c r="F839" s="5">
        <f>SUM(F830:F838)</f>
        <v>0</v>
      </c>
      <c r="K839" s="5">
        <f>SUM(K830:K838)</f>
        <v>0</v>
      </c>
    </row>
    <row r="840" spans="1:11" hidden="1" x14ac:dyDescent="0.2"/>
    <row r="841" spans="1:11" hidden="1" x14ac:dyDescent="0.2"/>
    <row r="842" spans="1:11" hidden="1" x14ac:dyDescent="0.2"/>
    <row r="843" spans="1:11" hidden="1" x14ac:dyDescent="0.2">
      <c r="A843" s="5" t="s">
        <v>33</v>
      </c>
      <c r="E843" s="20">
        <f>E825-F839</f>
        <v>0</v>
      </c>
      <c r="G843" s="5" t="s">
        <v>34</v>
      </c>
      <c r="H843" s="47">
        <f>E825-K839</f>
        <v>0</v>
      </c>
    </row>
    <row r="844" spans="1:11" hidden="1" x14ac:dyDescent="0.2"/>
    <row r="845" spans="1:11" hidden="1" x14ac:dyDescent="0.2"/>
    <row r="846" spans="1:11" hidden="1" x14ac:dyDescent="0.2"/>
    <row r="847" spans="1:11" hidden="1" x14ac:dyDescent="0.2"/>
    <row r="848" spans="1:11" hidden="1" x14ac:dyDescent="0.2"/>
    <row r="849" hidden="1" x14ac:dyDescent="0.2"/>
    <row r="850" hidden="1" x14ac:dyDescent="0.2"/>
    <row r="851" hidden="1" x14ac:dyDescent="0.2"/>
    <row r="852" hidden="1" x14ac:dyDescent="0.2"/>
    <row r="853" hidden="1" x14ac:dyDescent="0.2"/>
    <row r="854" hidden="1" x14ac:dyDescent="0.2"/>
    <row r="855" hidden="1" x14ac:dyDescent="0.2"/>
    <row r="856" hidden="1" x14ac:dyDescent="0.2"/>
    <row r="857" hidden="1" x14ac:dyDescent="0.2"/>
    <row r="858" hidden="1" x14ac:dyDescent="0.2"/>
    <row r="859" hidden="1" x14ac:dyDescent="0.2"/>
    <row r="860" hidden="1" x14ac:dyDescent="0.2"/>
    <row r="861" hidden="1" x14ac:dyDescent="0.2"/>
    <row r="862" hidden="1" x14ac:dyDescent="0.2"/>
    <row r="863" hidden="1" x14ac:dyDescent="0.2"/>
    <row r="864" hidden="1" x14ac:dyDescent="0.2"/>
    <row r="865" spans="1:9" hidden="1" x14ac:dyDescent="0.2"/>
    <row r="866" spans="1:9" hidden="1" x14ac:dyDescent="0.2"/>
    <row r="867" spans="1:9" hidden="1" x14ac:dyDescent="0.2"/>
    <row r="868" spans="1:9" hidden="1" x14ac:dyDescent="0.2"/>
    <row r="869" spans="1:9" hidden="1" x14ac:dyDescent="0.2"/>
    <row r="870" spans="1:9" hidden="1" x14ac:dyDescent="0.2"/>
    <row r="871" spans="1:9" hidden="1" x14ac:dyDescent="0.2"/>
    <row r="872" spans="1:9" hidden="1" x14ac:dyDescent="0.2"/>
    <row r="873" spans="1:9" hidden="1" x14ac:dyDescent="0.2"/>
    <row r="874" spans="1:9" hidden="1" x14ac:dyDescent="0.2">
      <c r="H874" s="28">
        <f>J181</f>
        <v>0</v>
      </c>
    </row>
    <row r="875" spans="1:9" hidden="1" x14ac:dyDescent="0.2"/>
    <row r="876" spans="1:9" hidden="1" x14ac:dyDescent="0.2">
      <c r="A876" s="43" t="s">
        <v>2</v>
      </c>
      <c r="B876" s="43"/>
      <c r="C876" s="43"/>
      <c r="D876" s="43"/>
      <c r="E876" s="31"/>
      <c r="F876" s="32"/>
      <c r="G876" s="31"/>
      <c r="H876" s="31"/>
      <c r="I876" s="44" t="s">
        <v>3</v>
      </c>
    </row>
    <row r="877" spans="1:9" hidden="1" x14ac:dyDescent="0.2">
      <c r="A877" s="31">
        <v>0</v>
      </c>
      <c r="B877" s="31"/>
      <c r="C877" s="31"/>
      <c r="D877" s="31"/>
      <c r="E877" s="31">
        <v>12500</v>
      </c>
      <c r="F877" s="32"/>
      <c r="G877" s="31"/>
      <c r="H877" s="31">
        <f>IF(AND(H874&gt;A877,H874&lt;=E877),H874,0)</f>
        <v>0</v>
      </c>
      <c r="I877" s="31">
        <f>0+(3/100)*(-A877+H877)</f>
        <v>0</v>
      </c>
    </row>
    <row r="878" spans="1:9" hidden="1" x14ac:dyDescent="0.2">
      <c r="A878" s="31">
        <f t="shared" ref="A878:A885" si="26">E877</f>
        <v>12500</v>
      </c>
      <c r="B878" s="31"/>
      <c r="C878" s="31"/>
      <c r="D878" s="31"/>
      <c r="E878" s="31">
        <v>25000</v>
      </c>
      <c r="F878" s="32"/>
      <c r="G878" s="31"/>
      <c r="H878" s="31">
        <f>IF(AND(H874&gt;A878, H874&lt;=E878),H874,0)</f>
        <v>0</v>
      </c>
      <c r="I878" s="31">
        <f>(12500/100*3)+(4/100)*(-A878+H878)</f>
        <v>-125</v>
      </c>
    </row>
    <row r="879" spans="1:9" hidden="1" x14ac:dyDescent="0.2">
      <c r="A879" s="31">
        <f t="shared" si="26"/>
        <v>25000</v>
      </c>
      <c r="B879" s="31"/>
      <c r="C879" s="31"/>
      <c r="D879" s="31"/>
      <c r="E879" s="31">
        <v>50000</v>
      </c>
      <c r="F879" s="32"/>
      <c r="G879" s="31"/>
      <c r="H879" s="31">
        <f>IF(AND(H874&gt;A879, H874&lt;=E879),H874,0)</f>
        <v>0</v>
      </c>
      <c r="I879" s="31">
        <f>(12500/100*3)+(12500/100*4)+((5/100)*(-A879+H879))</f>
        <v>-375</v>
      </c>
    </row>
    <row r="880" spans="1:9" hidden="1" x14ac:dyDescent="0.2">
      <c r="A880" s="31">
        <f t="shared" si="26"/>
        <v>50000</v>
      </c>
      <c r="B880" s="31"/>
      <c r="C880" s="31"/>
      <c r="D880" s="31"/>
      <c r="E880" s="31">
        <v>100000</v>
      </c>
      <c r="F880" s="32"/>
      <c r="G880" s="31"/>
      <c r="H880" s="31">
        <f>IF(AND(H874&gt;A880, H874&lt;=E880),H874,0)</f>
        <v>0</v>
      </c>
      <c r="I880" s="31">
        <f>(12500/100*3)+(12500/100*4)+(25000/100*5)+((7/100)*(-A880+H880))</f>
        <v>-1375.0000000000005</v>
      </c>
    </row>
    <row r="881" spans="1:9" hidden="1" x14ac:dyDescent="0.2">
      <c r="A881" s="31">
        <f t="shared" si="26"/>
        <v>100000</v>
      </c>
      <c r="B881" s="31"/>
      <c r="C881" s="31"/>
      <c r="D881" s="31"/>
      <c r="E881" s="31">
        <v>150000</v>
      </c>
      <c r="F881" s="32"/>
      <c r="G881" s="31"/>
      <c r="H881" s="31">
        <f>IF(AND(H874&gt;A881, H874&lt;=E881),H874,0)</f>
        <v>0</v>
      </c>
      <c r="I881" s="31">
        <f>(12500/100*3)+(12500/100*4)+(25000/100*5)+(50000/100*7)+((10/100)*(-A881+H881))</f>
        <v>-4375</v>
      </c>
    </row>
    <row r="882" spans="1:9" hidden="1" x14ac:dyDescent="0.2">
      <c r="A882" s="31">
        <f t="shared" si="26"/>
        <v>150000</v>
      </c>
      <c r="B882" s="31"/>
      <c r="C882" s="31"/>
      <c r="D882" s="31"/>
      <c r="E882" s="31">
        <v>200000</v>
      </c>
      <c r="F882" s="32"/>
      <c r="G882" s="31"/>
      <c r="H882" s="31">
        <f>IF(AND(H874&gt;A882, H874&lt;=E882),H874,0)</f>
        <v>0</v>
      </c>
      <c r="I882" s="31">
        <f>(12500/100*3)+(12500/100*4)+(25000/100*5)+(50000/100*7)+(50000/100*10)+((14/100)*(-A882+H882))</f>
        <v>-10375.000000000004</v>
      </c>
    </row>
    <row r="883" spans="1:9" hidden="1" x14ac:dyDescent="0.2">
      <c r="A883" s="31">
        <f t="shared" si="26"/>
        <v>200000</v>
      </c>
      <c r="B883" s="31"/>
      <c r="C883" s="31"/>
      <c r="D883" s="31"/>
      <c r="E883" s="31">
        <v>250000</v>
      </c>
      <c r="F883" s="32"/>
      <c r="G883" s="31"/>
      <c r="H883" s="31">
        <f>IF(AND(H874&gt;A883, H874&lt;=E883),H874,0)</f>
        <v>0</v>
      </c>
      <c r="I883" s="31">
        <f>(12500/100*3)+(12500/100*4)+(25000/100*5)+(50000/100*7)+(50000/100*10)+(50000/100*14)+((18/100)*(-A883+H883))</f>
        <v>-18375</v>
      </c>
    </row>
    <row r="884" spans="1:9" hidden="1" x14ac:dyDescent="0.2">
      <c r="A884" s="31">
        <f t="shared" si="26"/>
        <v>250000</v>
      </c>
      <c r="B884" s="31"/>
      <c r="C884" s="31"/>
      <c r="D884" s="31"/>
      <c r="E884" s="31">
        <v>500000</v>
      </c>
      <c r="F884" s="32"/>
      <c r="G884" s="31"/>
      <c r="H884" s="31">
        <f>IF(AND(H874&gt;A884, H874&lt;=E884),H874,0)</f>
        <v>0</v>
      </c>
      <c r="I884" s="31">
        <f>(12500/100*3)+(12500/100*4)+(25000/100*5)+(50000/100*7)+(50000/100*10)+(50000/100*14)+(50000/100*18)+((24/100)*(-A884+H884))</f>
        <v>-33375</v>
      </c>
    </row>
    <row r="885" spans="1:9" hidden="1" x14ac:dyDescent="0.2">
      <c r="A885" s="31">
        <f t="shared" si="26"/>
        <v>500000</v>
      </c>
      <c r="B885" s="31"/>
      <c r="C885" s="31"/>
      <c r="D885" s="31"/>
      <c r="E885" s="31">
        <v>999999999</v>
      </c>
      <c r="F885" s="32"/>
      <c r="G885" s="31"/>
      <c r="H885" s="31">
        <f>IF(AND(H874&gt;A885, H874&lt;=E885),H874,0)</f>
        <v>0</v>
      </c>
      <c r="I885" s="31">
        <f>(12500/100*3)+(12500/100*4)+(25000/100*5)+(50000/100*7)+(50000/100*10)+(50000/100*14)+(50000/100*18)+(250000/100*24)+((30/100)*(-A885+H885))</f>
        <v>-63375</v>
      </c>
    </row>
    <row r="886" spans="1:9" hidden="1" x14ac:dyDescent="0.2">
      <c r="A886" s="45" t="s">
        <v>4</v>
      </c>
      <c r="B886" s="45"/>
      <c r="C886" s="45"/>
      <c r="D886" s="45"/>
      <c r="E886" s="31"/>
      <c r="F886" s="32"/>
      <c r="G886" s="31"/>
      <c r="H886" s="31"/>
      <c r="I886" s="31">
        <f>VLOOKUP(H874,H877:I885,2,FALSE)</f>
        <v>0</v>
      </c>
    </row>
    <row r="887" spans="1:9" hidden="1" x14ac:dyDescent="0.2">
      <c r="A887" s="45"/>
      <c r="B887" s="45"/>
      <c r="C887" s="45"/>
      <c r="D887" s="45"/>
      <c r="E887" s="31"/>
      <c r="F887" s="32"/>
      <c r="G887" s="31"/>
      <c r="H887" s="31"/>
      <c r="I887" s="31"/>
    </row>
    <row r="888" spans="1:9" hidden="1" x14ac:dyDescent="0.2">
      <c r="A888" s="46" t="s">
        <v>24</v>
      </c>
      <c r="B888" s="46"/>
      <c r="C888" s="46"/>
      <c r="D888" s="46"/>
      <c r="E888" s="31"/>
      <c r="F888" s="32"/>
      <c r="G888" s="31"/>
      <c r="H888" s="31"/>
      <c r="I888" s="44" t="s">
        <v>25</v>
      </c>
    </row>
    <row r="889" spans="1:9" hidden="1" x14ac:dyDescent="0.2">
      <c r="A889" s="31">
        <v>0</v>
      </c>
      <c r="B889" s="31"/>
      <c r="C889" s="31"/>
      <c r="D889" s="31"/>
      <c r="E889" s="31">
        <v>25000</v>
      </c>
      <c r="F889" s="32"/>
      <c r="G889" s="31"/>
      <c r="H889" s="31">
        <f>IF(AND(H874&gt;A889, H874&lt;=E889),H874,0)</f>
        <v>0</v>
      </c>
      <c r="I889" s="31">
        <f>0+(1/100)*(-A889+H889)</f>
        <v>0</v>
      </c>
    </row>
    <row r="890" spans="1:9" hidden="1" x14ac:dyDescent="0.2">
      <c r="A890" s="31">
        <f>E889</f>
        <v>25000</v>
      </c>
      <c r="B890" s="31"/>
      <c r="C890" s="31"/>
      <c r="D890" s="31"/>
      <c r="E890" s="31">
        <v>50000</v>
      </c>
      <c r="F890" s="32"/>
      <c r="G890" s="31"/>
      <c r="H890" s="31">
        <f>IF(AND(H874&gt;A890, H874&lt;=E890),H874,0)</f>
        <v>0</v>
      </c>
      <c r="I890" s="31">
        <f>(25000/100*1)+(2/100)*(-A890+H890)</f>
        <v>-250</v>
      </c>
    </row>
    <row r="891" spans="1:9" hidden="1" x14ac:dyDescent="0.2">
      <c r="A891" s="31">
        <f>E890</f>
        <v>50000</v>
      </c>
      <c r="B891" s="31"/>
      <c r="C891" s="31"/>
      <c r="D891" s="31"/>
      <c r="E891" s="31">
        <v>175000</v>
      </c>
      <c r="F891" s="32"/>
      <c r="G891" s="31"/>
      <c r="H891" s="31">
        <f>IF(AND(H874&gt;A891, H874&lt;=E891),H874,0)</f>
        <v>0</v>
      </c>
      <c r="I891" s="31">
        <f>(25000/100*1)+(25000/100*2)+((5/100)*(-A891+H891))</f>
        <v>-1750</v>
      </c>
    </row>
    <row r="892" spans="1:9" hidden="1" x14ac:dyDescent="0.2">
      <c r="A892" s="31">
        <f>E891</f>
        <v>175000</v>
      </c>
      <c r="B892" s="31"/>
      <c r="C892" s="31"/>
      <c r="D892" s="31"/>
      <c r="E892" s="31">
        <v>250000</v>
      </c>
      <c r="F892" s="32"/>
      <c r="G892" s="31"/>
      <c r="H892" s="31">
        <f>IF(AND(H874&gt;A892, H874&lt;=E892),H874,0)</f>
        <v>0</v>
      </c>
      <c r="I892" s="31">
        <f>(25000/100*1)+(25000/100*2)+(125000/100*5)+((12/100)*(-A892+H892))</f>
        <v>-14000</v>
      </c>
    </row>
    <row r="893" spans="1:9" hidden="1" x14ac:dyDescent="0.2">
      <c r="A893" s="31">
        <f>E892</f>
        <v>250000</v>
      </c>
      <c r="B893" s="31"/>
      <c r="C893" s="31"/>
      <c r="D893" s="31"/>
      <c r="E893" s="31">
        <v>500000</v>
      </c>
      <c r="F893" s="32"/>
      <c r="G893" s="31"/>
      <c r="H893" s="31">
        <f>IF(AND(H874&gt;A893, H874&lt;=E893),H874,0)</f>
        <v>0</v>
      </c>
      <c r="I893" s="31">
        <f>(25000/100*1)+(25000/100*2)+(125000/100*5)+(75000/100*12)+((24/100)*(-A893+H893))</f>
        <v>-44000</v>
      </c>
    </row>
    <row r="894" spans="1:9" hidden="1" x14ac:dyDescent="0.2">
      <c r="A894" s="31">
        <f>E893</f>
        <v>500000</v>
      </c>
      <c r="B894" s="31"/>
      <c r="C894" s="31"/>
      <c r="D894" s="31"/>
      <c r="E894" s="31">
        <v>999999999</v>
      </c>
      <c r="F894" s="32"/>
      <c r="G894" s="31"/>
      <c r="H894" s="31">
        <f>IF(AND(H874&gt;A894, H874&lt;=E894),H874,0)</f>
        <v>0</v>
      </c>
      <c r="I894" s="31">
        <f>(25000/100*1)+(25000/100*2)+(125000/100*5)+(75000/100*12)+(250000/100*24)+((30/100)*(-A894+H894))</f>
        <v>-74000</v>
      </c>
    </row>
    <row r="895" spans="1:9" hidden="1" x14ac:dyDescent="0.2">
      <c r="A895" s="45" t="s">
        <v>4</v>
      </c>
      <c r="B895" s="45"/>
      <c r="C895" s="45"/>
      <c r="D895" s="45"/>
      <c r="E895" s="31"/>
      <c r="F895" s="32"/>
      <c r="G895" s="31"/>
      <c r="H895" s="31"/>
      <c r="I895" s="31">
        <f>VLOOKUP(H874,H889:I894,2,FALSE)</f>
        <v>0</v>
      </c>
    </row>
    <row r="896" spans="1:9" hidden="1" x14ac:dyDescent="0.2">
      <c r="A896" s="45"/>
      <c r="B896" s="45"/>
      <c r="C896" s="45"/>
      <c r="D896" s="45"/>
      <c r="E896" s="31"/>
      <c r="F896" s="32"/>
      <c r="G896" s="31"/>
      <c r="H896" s="31"/>
      <c r="I896" s="31"/>
    </row>
    <row r="897" spans="1:15" hidden="1" x14ac:dyDescent="0.2">
      <c r="A897" s="43" t="s">
        <v>5</v>
      </c>
      <c r="B897" s="43"/>
      <c r="C897" s="43"/>
      <c r="D897" s="43"/>
      <c r="E897" s="31"/>
      <c r="F897" s="32"/>
      <c r="G897" s="31"/>
      <c r="H897" s="31"/>
      <c r="I897" s="44" t="s">
        <v>6</v>
      </c>
    </row>
    <row r="898" spans="1:15" hidden="1" x14ac:dyDescent="0.2">
      <c r="A898" s="31">
        <v>0</v>
      </c>
      <c r="B898" s="31"/>
      <c r="C898" s="31"/>
      <c r="D898" s="31"/>
      <c r="E898" s="31">
        <v>12500</v>
      </c>
      <c r="F898" s="32"/>
      <c r="G898" s="31"/>
      <c r="H898" s="31">
        <f>IF(AND(H874&gt;A898, H874&lt;=E898),H874,0)</f>
        <v>0</v>
      </c>
      <c r="I898" s="31">
        <f>0+(20/100)*(-A898+H898)</f>
        <v>0</v>
      </c>
    </row>
    <row r="899" spans="1:15" hidden="1" x14ac:dyDescent="0.2">
      <c r="A899" s="31">
        <f>E898</f>
        <v>12500</v>
      </c>
      <c r="B899" s="31"/>
      <c r="C899" s="31"/>
      <c r="D899" s="31"/>
      <c r="E899" s="31">
        <v>25000</v>
      </c>
      <c r="F899" s="32"/>
      <c r="G899" s="31"/>
      <c r="H899" s="31">
        <f>IF(AND(H874&gt;A899, H874&lt;=E899),H874,0)</f>
        <v>0</v>
      </c>
      <c r="I899" s="31">
        <f>(12500/100*20)+((25/100)*(-A899+H899))</f>
        <v>-625</v>
      </c>
    </row>
    <row r="900" spans="1:15" hidden="1" x14ac:dyDescent="0.2">
      <c r="A900" s="31">
        <f>E899</f>
        <v>25000</v>
      </c>
      <c r="B900" s="31"/>
      <c r="C900" s="31"/>
      <c r="D900" s="31"/>
      <c r="E900" s="31">
        <v>75000</v>
      </c>
      <c r="F900" s="32"/>
      <c r="G900" s="31"/>
      <c r="H900" s="31">
        <f>IF(AND(H874&gt;A900, H874&lt;=E900),H874,0)</f>
        <v>0</v>
      </c>
      <c r="I900" s="31">
        <f>(12500/100*20)+(12500/100*25)+((35/100)*(-A900+H900))</f>
        <v>-3125</v>
      </c>
    </row>
    <row r="901" spans="1:15" hidden="1" x14ac:dyDescent="0.2">
      <c r="A901" s="31">
        <f>E900</f>
        <v>75000</v>
      </c>
      <c r="B901" s="31"/>
      <c r="C901" s="31"/>
      <c r="D901" s="31"/>
      <c r="E901" s="31">
        <v>175000</v>
      </c>
      <c r="F901" s="32"/>
      <c r="G901" s="31"/>
      <c r="H901" s="31">
        <f>IF(AND(H874&gt;A901, H874&lt;=E901),H874,0)</f>
        <v>0</v>
      </c>
      <c r="I901" s="31">
        <f>(12500/100*20)+(12500/100*25)+(50000/100*35)+((50/100)*(-A901+H901))</f>
        <v>-14375</v>
      </c>
    </row>
    <row r="902" spans="1:15" hidden="1" x14ac:dyDescent="0.2">
      <c r="A902" s="31">
        <f>E901</f>
        <v>175000</v>
      </c>
      <c r="B902" s="31"/>
      <c r="C902" s="31"/>
      <c r="D902" s="31"/>
      <c r="E902" s="31">
        <v>999999999</v>
      </c>
      <c r="F902" s="32"/>
      <c r="G902" s="31"/>
      <c r="H902" s="31">
        <f>IF(AND(H874&gt;A902, H874&lt;=E902),H874,0)</f>
        <v>0</v>
      </c>
      <c r="I902" s="31">
        <f>(12500/100*20)+(12500/100*25)+(50000/100*35)+(100000/100*50)+((65/100)*(-A902+H902))</f>
        <v>-40625</v>
      </c>
    </row>
    <row r="903" spans="1:15" hidden="1" x14ac:dyDescent="0.2">
      <c r="A903" s="45" t="s">
        <v>4</v>
      </c>
      <c r="B903" s="45"/>
      <c r="C903" s="45"/>
      <c r="D903" s="45"/>
      <c r="E903" s="31"/>
      <c r="F903" s="32"/>
      <c r="G903" s="31"/>
      <c r="H903" s="31"/>
      <c r="I903" s="31">
        <f>VLOOKUP(H874,H898:I902,2,FALSE)</f>
        <v>0</v>
      </c>
    </row>
    <row r="904" spans="1:15" hidden="1" x14ac:dyDescent="0.2"/>
    <row r="905" spans="1:15" hidden="1" x14ac:dyDescent="0.2">
      <c r="E905" s="28">
        <f>E786</f>
        <v>0</v>
      </c>
      <c r="F905" s="29"/>
      <c r="G905" s="28"/>
      <c r="H905" s="28"/>
      <c r="I905" s="28"/>
    </row>
    <row r="906" spans="1:15" hidden="1" x14ac:dyDescent="0.2">
      <c r="E906" s="28"/>
      <c r="F906" s="29"/>
      <c r="G906" s="28"/>
      <c r="H906" s="28"/>
      <c r="I906" s="28"/>
      <c r="N906" s="31"/>
      <c r="O906" s="44" t="s">
        <v>8</v>
      </c>
    </row>
    <row r="907" spans="1:15" hidden="1" x14ac:dyDescent="0.2">
      <c r="E907" s="28"/>
      <c r="F907" s="29"/>
      <c r="G907" s="28"/>
      <c r="H907" s="28"/>
      <c r="I907" s="28"/>
      <c r="N907" s="31">
        <f>IF(AND(H874&gt;K909, H874&lt;=M909),H874,0)</f>
        <v>0</v>
      </c>
      <c r="O907" s="31">
        <f>0+(30/100)*(-K909+N907)</f>
        <v>0</v>
      </c>
    </row>
    <row r="908" spans="1:15" hidden="1" x14ac:dyDescent="0.2">
      <c r="A908" s="43" t="s">
        <v>22</v>
      </c>
      <c r="B908" s="43"/>
      <c r="C908" s="43"/>
      <c r="D908" s="43"/>
      <c r="E908" s="31"/>
      <c r="F908" s="32"/>
      <c r="G908" s="31"/>
      <c r="H908" s="31"/>
      <c r="I908" s="44" t="s">
        <v>7</v>
      </c>
      <c r="K908" s="43" t="s">
        <v>23</v>
      </c>
      <c r="L908" s="43"/>
      <c r="M908" s="31"/>
      <c r="N908" s="31">
        <f>IF(AND(H874&gt;K910, H874&lt;=M910),H874,0)</f>
        <v>0</v>
      </c>
      <c r="O908" s="31">
        <f>(12500/100*30)+((35/100)*(-K910+N908))</f>
        <v>-625</v>
      </c>
    </row>
    <row r="909" spans="1:15" hidden="1" x14ac:dyDescent="0.2">
      <c r="A909" s="31">
        <v>0</v>
      </c>
      <c r="B909" s="31"/>
      <c r="C909" s="31"/>
      <c r="D909" s="31"/>
      <c r="E909" s="31">
        <v>12500</v>
      </c>
      <c r="F909" s="32"/>
      <c r="G909" s="31"/>
      <c r="H909" s="31">
        <f>IF(AND(H874&gt;A909, H874&lt;=E909),H874,0)</f>
        <v>0</v>
      </c>
      <c r="I909" s="31">
        <f>0+(25/100)*(-A909+H909)</f>
        <v>0</v>
      </c>
      <c r="K909" s="31">
        <v>0</v>
      </c>
      <c r="L909" s="31"/>
      <c r="M909" s="31">
        <v>12500</v>
      </c>
      <c r="N909" s="31">
        <f>IF(AND(H874&gt;K911, H874&lt;=M911),H874,0)</f>
        <v>0</v>
      </c>
      <c r="O909" s="31">
        <f>(12500/100*30)+(12500/100*35)+((60/100)*(-K911+N909))</f>
        <v>-6875</v>
      </c>
    </row>
    <row r="910" spans="1:15" hidden="1" x14ac:dyDescent="0.2">
      <c r="A910" s="31">
        <f>E909</f>
        <v>12500</v>
      </c>
      <c r="B910" s="31"/>
      <c r="C910" s="31"/>
      <c r="D910" s="31"/>
      <c r="E910" s="31">
        <v>25000</v>
      </c>
      <c r="F910" s="32"/>
      <c r="G910" s="31"/>
      <c r="H910" s="31">
        <f>IF(AND(H874&gt;A910, H874&lt;=E910),H874,0)</f>
        <v>0</v>
      </c>
      <c r="I910" s="31">
        <f>(12500/100*25)+((30/100)*(-A910+H910))</f>
        <v>-625</v>
      </c>
      <c r="K910" s="31">
        <f>M909</f>
        <v>12500</v>
      </c>
      <c r="L910" s="31"/>
      <c r="M910" s="31">
        <v>25000</v>
      </c>
      <c r="N910" s="31">
        <f>IF(AND(H874&gt;K912, H874&lt;=M912),H874,0)</f>
        <v>0</v>
      </c>
      <c r="O910" s="31">
        <f>(12500/100*30)+(12500/100*35)+(50000/100*60)+((80/100)*(-K912+N910))</f>
        <v>-21875</v>
      </c>
    </row>
    <row r="911" spans="1:15" hidden="1" x14ac:dyDescent="0.2">
      <c r="A911" s="31">
        <f>E910</f>
        <v>25000</v>
      </c>
      <c r="B911" s="31"/>
      <c r="C911" s="31"/>
      <c r="D911" s="31"/>
      <c r="E911" s="31">
        <v>75000</v>
      </c>
      <c r="F911" s="32"/>
      <c r="G911" s="31"/>
      <c r="H911" s="31">
        <f>IF(AND(H874&gt;A911, H874&lt;=E911),H874,0)</f>
        <v>0</v>
      </c>
      <c r="I911" s="31">
        <f>(12500/100*25)+(12500/100*30)+((40/100)*(-A911+H911))</f>
        <v>-3125</v>
      </c>
      <c r="K911" s="31">
        <f>M910</f>
        <v>25000</v>
      </c>
      <c r="L911" s="31"/>
      <c r="M911" s="31">
        <v>75000</v>
      </c>
      <c r="N911" s="31">
        <f>IF(AND(H874&gt;K913, H874&lt;=M913),H874,0)</f>
        <v>0</v>
      </c>
      <c r="O911" s="31">
        <f>(12500/100*30)+(12500/100*35)+(50000/100*60)+(100000/100*80)+((80/100)*(-K913+N911))</f>
        <v>-21875</v>
      </c>
    </row>
    <row r="912" spans="1:15" hidden="1" x14ac:dyDescent="0.2">
      <c r="A912" s="31">
        <f>E911</f>
        <v>75000</v>
      </c>
      <c r="B912" s="31"/>
      <c r="C912" s="31"/>
      <c r="D912" s="31"/>
      <c r="E912" s="31">
        <v>175000</v>
      </c>
      <c r="F912" s="32"/>
      <c r="G912" s="31"/>
      <c r="H912" s="31">
        <f>IF(AND(H874&gt;A912, H874&lt;=E912),H874,0)</f>
        <v>0</v>
      </c>
      <c r="I912" s="31">
        <f>(12500/100*25)+(12500/100*30)+(50000/100*40)+((55/100)*(-A912+H912))</f>
        <v>-14375</v>
      </c>
      <c r="K912" s="31">
        <f>M911</f>
        <v>75000</v>
      </c>
      <c r="L912" s="31"/>
      <c r="M912" s="31">
        <v>175000</v>
      </c>
      <c r="N912" s="31"/>
      <c r="O912" s="31">
        <f>VLOOKUP(H874,N907:O911,2,FALSE)</f>
        <v>0</v>
      </c>
    </row>
    <row r="913" spans="1:13" hidden="1" x14ac:dyDescent="0.2">
      <c r="A913" s="31">
        <f>E912</f>
        <v>175000</v>
      </c>
      <c r="B913" s="31"/>
      <c r="C913" s="31"/>
      <c r="D913" s="31"/>
      <c r="E913" s="31">
        <v>999999999</v>
      </c>
      <c r="F913" s="32"/>
      <c r="G913" s="31"/>
      <c r="H913" s="31">
        <f>IF(AND(H874&gt;A913, H874&lt;=E913),H874,0)</f>
        <v>0</v>
      </c>
      <c r="I913" s="31">
        <f>(12500/100*25)+(12500/100*30)+(50000/100*40)+(100000/100*55)+((70/100)*(-A913+H913))</f>
        <v>-40624.999999999985</v>
      </c>
      <c r="K913" s="31">
        <f>M912</f>
        <v>175000</v>
      </c>
      <c r="L913" s="31"/>
      <c r="M913" s="31">
        <v>999999999</v>
      </c>
    </row>
    <row r="914" spans="1:13" hidden="1" x14ac:dyDescent="0.2">
      <c r="A914" s="45" t="s">
        <v>4</v>
      </c>
      <c r="B914" s="45"/>
      <c r="C914" s="45"/>
      <c r="D914" s="45"/>
      <c r="E914" s="31"/>
      <c r="F914" s="32"/>
      <c r="G914" s="31"/>
      <c r="H914" s="31"/>
      <c r="I914" s="31">
        <f>VLOOKUP(H874,H909:I913,2,FALSE)</f>
        <v>0</v>
      </c>
      <c r="K914" s="45" t="s">
        <v>4</v>
      </c>
      <c r="L914" s="45"/>
      <c r="M914" s="31"/>
    </row>
    <row r="915" spans="1:13" hidden="1" x14ac:dyDescent="0.2"/>
    <row r="916" spans="1:13" hidden="1" x14ac:dyDescent="0.2">
      <c r="E916" s="5">
        <f>IF(A917&gt;0,A917-F921,0)</f>
        <v>0</v>
      </c>
    </row>
    <row r="917" spans="1:13" hidden="1" x14ac:dyDescent="0.2">
      <c r="A917" s="5">
        <f>IF(AND(E17="oui",F52="ligne directe"),I895,0)</f>
        <v>0</v>
      </c>
      <c r="E917" s="5">
        <f>IF(E916&gt;0,E916,0)</f>
        <v>0</v>
      </c>
      <c r="F917" s="5">
        <f>IF(AND(F52="ligne directe",H874&lt;=125000,E17="oui"),250,0)</f>
        <v>0</v>
      </c>
      <c r="G917" s="5">
        <f>IF(AND(F917&gt;0,(I895-F917&gt;=0)),I895-F917,0)</f>
        <v>0</v>
      </c>
    </row>
    <row r="918" spans="1:13" hidden="1" x14ac:dyDescent="0.2">
      <c r="A918" s="5">
        <f>IF(AND(E17="oui",F52="épou(x)(se)"),I895,0)</f>
        <v>0</v>
      </c>
      <c r="E918" s="5">
        <f>IF(A918&gt;0,A918-F921,0)</f>
        <v>0</v>
      </c>
      <c r="F918" s="5">
        <f>IF(AND(F52="ligne directe",H874&gt;125000,E17="oui"),125,0)</f>
        <v>0</v>
      </c>
      <c r="G918" s="5">
        <f>IF(AND(F918&gt;0,(I895-F918&gt;=0)),I895-F918,0)</f>
        <v>0</v>
      </c>
    </row>
    <row r="919" spans="1:13" hidden="1" x14ac:dyDescent="0.2">
      <c r="A919" s="5">
        <f>IF(AND(E17="non",F52="ligne directe"),I886,0)</f>
        <v>0</v>
      </c>
      <c r="E919" s="5">
        <f>IF(AND(E17="non",F52="ligne directe"),I886,0)</f>
        <v>0</v>
      </c>
      <c r="F919" s="5">
        <f>IF(AND(F52="épou(x)(se)",H874&lt;=125000,E17="oui"),250,0)</f>
        <v>0</v>
      </c>
      <c r="G919" s="5">
        <f>IF(AND(F919&gt;0,(I895-F919&gt;=0)),I895-F919,0)</f>
        <v>0</v>
      </c>
    </row>
    <row r="920" spans="1:13" hidden="1" x14ac:dyDescent="0.2">
      <c r="A920" s="5">
        <f>IF(AND(E17="non",F52="épou(x)(se)"),I886,0)</f>
        <v>0</v>
      </c>
      <c r="E920" s="5">
        <f>IF(AND(E17="non",F52="épou(x)(se)"),I886,0)</f>
        <v>0</v>
      </c>
      <c r="F920" s="5">
        <f>IF(AND(F52="épou(x)(se)",H874&gt;125000,E17="oui"),125,0)</f>
        <v>0</v>
      </c>
      <c r="G920" s="5">
        <f>IF(AND(F920&gt;0,(I895-F920&gt;=0)),I895-F920,0)</f>
        <v>0</v>
      </c>
    </row>
    <row r="921" spans="1:13" hidden="1" x14ac:dyDescent="0.2">
      <c r="A921" s="5">
        <f>IF(F52="frère/soeur",I903,0)</f>
        <v>0</v>
      </c>
      <c r="E921" s="5">
        <f>IF(F52="frère/soeur",I903,0)</f>
        <v>0</v>
      </c>
      <c r="F921" s="5">
        <f>SUM(F917:F920)</f>
        <v>0</v>
      </c>
      <c r="G921" s="5">
        <f>SUM(G917:G920)</f>
        <v>0</v>
      </c>
    </row>
    <row r="922" spans="1:13" hidden="1" x14ac:dyDescent="0.2">
      <c r="A922" s="5">
        <f>IF(F52="oncle-tante/neveu-nièce",I914,0)</f>
        <v>0</v>
      </c>
      <c r="E922" s="5">
        <f>IF(F52="oncle-tante/neveu-nièce",I914,0)</f>
        <v>0</v>
      </c>
      <c r="F922" s="5"/>
    </row>
    <row r="923" spans="1:13" hidden="1" x14ac:dyDescent="0.2">
      <c r="A923" s="5">
        <f>IF(F52="étrangers",O912,0)</f>
        <v>0</v>
      </c>
      <c r="E923" s="5">
        <f>IF(F52="étrangers",O912,0)</f>
        <v>0</v>
      </c>
      <c r="F923" s="5"/>
    </row>
    <row r="924" spans="1:13" hidden="1" x14ac:dyDescent="0.2">
      <c r="F924" s="5"/>
    </row>
    <row r="925" spans="1:13" hidden="1" x14ac:dyDescent="0.2">
      <c r="A925" s="5">
        <f>SUM(A917:A924)</f>
        <v>0</v>
      </c>
      <c r="E925" s="5">
        <f>SUM(E917:E924)</f>
        <v>0</v>
      </c>
      <c r="F925" s="5"/>
    </row>
    <row r="926" spans="1:13" hidden="1" x14ac:dyDescent="0.2">
      <c r="F926" s="5"/>
    </row>
    <row r="927" spans="1:13" hidden="1" x14ac:dyDescent="0.2">
      <c r="F927" s="5"/>
    </row>
    <row r="928" spans="1:13" hidden="1" x14ac:dyDescent="0.2">
      <c r="A928" s="5" t="s">
        <v>93</v>
      </c>
      <c r="E928" s="5" t="s">
        <v>100</v>
      </c>
      <c r="F928" s="5"/>
    </row>
    <row r="929" spans="1:11" hidden="1" x14ac:dyDescent="0.2">
      <c r="F929" s="5"/>
    </row>
    <row r="930" spans="1:11" hidden="1" x14ac:dyDescent="0.2">
      <c r="A930" s="5" t="s">
        <v>93</v>
      </c>
      <c r="E930" s="5">
        <f>IF(I52=3,E925*12%,0)</f>
        <v>0</v>
      </c>
      <c r="F930" s="5">
        <f>IF(E930&gt;372,372,E930)</f>
        <v>0</v>
      </c>
      <c r="H930" s="5" t="s">
        <v>26</v>
      </c>
      <c r="I930" s="5">
        <f>6%*E925</f>
        <v>0</v>
      </c>
      <c r="J930" s="5">
        <f>IF(I930&gt;186,186,I930)</f>
        <v>0</v>
      </c>
      <c r="K930" s="5">
        <f>IF(I52=3,J930,0)</f>
        <v>0</v>
      </c>
    </row>
    <row r="931" spans="1:11" hidden="1" x14ac:dyDescent="0.2">
      <c r="E931" s="5">
        <f>IF(I52=4,E925*16%,0)</f>
        <v>0</v>
      </c>
      <c r="F931" s="5">
        <f>IF(E931&gt;496,496,E931)</f>
        <v>0</v>
      </c>
      <c r="H931" s="5" t="s">
        <v>27</v>
      </c>
      <c r="I931" s="5">
        <f>8%*E925</f>
        <v>0</v>
      </c>
      <c r="J931" s="5">
        <f>IF(I931&gt;248,248,I931)</f>
        <v>0</v>
      </c>
      <c r="K931" s="5">
        <f>IF(I52=4,J931,0)</f>
        <v>0</v>
      </c>
    </row>
    <row r="932" spans="1:11" hidden="1" x14ac:dyDescent="0.2">
      <c r="E932" s="5">
        <f>IF(I52=5,E925*20%,0)</f>
        <v>0</v>
      </c>
      <c r="F932" s="5">
        <f>IF(E932&gt;620,620,E932)</f>
        <v>0</v>
      </c>
      <c r="I932" s="5">
        <f>10%*E925</f>
        <v>0</v>
      </c>
      <c r="J932" s="5">
        <f>IF(I932&gt;310,310,I932)</f>
        <v>0</v>
      </c>
      <c r="K932" s="5">
        <f>IF(I52=5,J932,0)</f>
        <v>0</v>
      </c>
    </row>
    <row r="933" spans="1:11" hidden="1" x14ac:dyDescent="0.2">
      <c r="E933" s="5">
        <f>IF(I52=6,E925*24%,0)</f>
        <v>0</v>
      </c>
      <c r="F933" s="5">
        <f>IF(E933&gt;744,744,E933)</f>
        <v>0</v>
      </c>
      <c r="I933" s="5">
        <f>12%*E925</f>
        <v>0</v>
      </c>
      <c r="J933" s="5">
        <f>IF(I933&gt;372,372,I933)</f>
        <v>0</v>
      </c>
      <c r="K933" s="5">
        <f>IF(I52=6,J933,0)</f>
        <v>0</v>
      </c>
    </row>
    <row r="934" spans="1:11" hidden="1" x14ac:dyDescent="0.2">
      <c r="E934" s="5">
        <f>IF(I52=7,E925*28%,0)</f>
        <v>0</v>
      </c>
      <c r="F934" s="5">
        <f>IF(E934&gt;868,868,E934)</f>
        <v>0</v>
      </c>
      <c r="I934" s="5">
        <f>14%*E925</f>
        <v>0</v>
      </c>
      <c r="J934" s="5">
        <f>IF(I934&gt;434,434,I934)</f>
        <v>0</v>
      </c>
      <c r="K934" s="5">
        <f>IF(I52=7,J934,0)</f>
        <v>0</v>
      </c>
    </row>
    <row r="935" spans="1:11" hidden="1" x14ac:dyDescent="0.2">
      <c r="E935" s="5">
        <f>IF(I52=8,E925*32%,0)</f>
        <v>0</v>
      </c>
      <c r="F935" s="5">
        <f>IF(E935&gt;992,992,E935)</f>
        <v>0</v>
      </c>
      <c r="I935" s="5">
        <f>16%*E925</f>
        <v>0</v>
      </c>
      <c r="J935" s="5">
        <f>IF(I935&gt;496,496,I935)</f>
        <v>0</v>
      </c>
      <c r="K935" s="5">
        <f>IF(I52=8,J935,0)</f>
        <v>0</v>
      </c>
    </row>
    <row r="936" spans="1:11" hidden="1" x14ac:dyDescent="0.2">
      <c r="E936" s="5">
        <f>IF(I52=9,E925*36%,0)</f>
        <v>0</v>
      </c>
      <c r="F936" s="5">
        <f>IF(E936&gt;1116,1116,E936)</f>
        <v>0</v>
      </c>
      <c r="I936" s="5">
        <f>18%*E925</f>
        <v>0</v>
      </c>
      <c r="J936" s="5">
        <f>IF(I936&gt;558,558,I936)</f>
        <v>0</v>
      </c>
      <c r="K936" s="5">
        <f>IF(I52=9,J936,0)</f>
        <v>0</v>
      </c>
    </row>
    <row r="937" spans="1:11" hidden="1" x14ac:dyDescent="0.2">
      <c r="E937" s="5">
        <f>IF(I52=10,E925*40%,0)</f>
        <v>0</v>
      </c>
      <c r="F937" s="5">
        <f>IF(E937&gt;1240,1240,E937)</f>
        <v>0</v>
      </c>
      <c r="I937" s="5">
        <f>20%*E925</f>
        <v>0</v>
      </c>
      <c r="J937" s="5">
        <f>IF(I937&gt;620,620,I937)</f>
        <v>0</v>
      </c>
      <c r="K937" s="5">
        <f>IF(I52=10,J937,0)</f>
        <v>0</v>
      </c>
    </row>
    <row r="938" spans="1:11" hidden="1" x14ac:dyDescent="0.2">
      <c r="F938" s="5"/>
    </row>
    <row r="939" spans="1:11" hidden="1" x14ac:dyDescent="0.2">
      <c r="F939" s="5">
        <f>SUM(F930:F938)</f>
        <v>0</v>
      </c>
      <c r="K939" s="5">
        <f>SUM(K930:K938)</f>
        <v>0</v>
      </c>
    </row>
    <row r="940" spans="1:11" hidden="1" x14ac:dyDescent="0.2"/>
    <row r="941" spans="1:11" hidden="1" x14ac:dyDescent="0.2"/>
    <row r="942" spans="1:11" hidden="1" x14ac:dyDescent="0.2"/>
    <row r="943" spans="1:11" hidden="1" x14ac:dyDescent="0.2">
      <c r="A943" s="5" t="s">
        <v>33</v>
      </c>
      <c r="E943" s="20">
        <f>E925-F939</f>
        <v>0</v>
      </c>
      <c r="G943" s="5" t="s">
        <v>34</v>
      </c>
      <c r="H943" s="47">
        <f>E925-K939</f>
        <v>0</v>
      </c>
    </row>
    <row r="944" spans="1:11" hidden="1" x14ac:dyDescent="0.2"/>
    <row r="945" hidden="1" x14ac:dyDescent="0.2"/>
    <row r="946" hidden="1" x14ac:dyDescent="0.2"/>
    <row r="947" hidden="1" x14ac:dyDescent="0.2"/>
    <row r="948" hidden="1" x14ac:dyDescent="0.2"/>
    <row r="949" hidden="1" x14ac:dyDescent="0.2"/>
    <row r="950" hidden="1" x14ac:dyDescent="0.2"/>
    <row r="951" hidden="1" x14ac:dyDescent="0.2"/>
    <row r="952" hidden="1" x14ac:dyDescent="0.2"/>
    <row r="953" hidden="1" x14ac:dyDescent="0.2"/>
    <row r="954" hidden="1" x14ac:dyDescent="0.2"/>
    <row r="955" hidden="1" x14ac:dyDescent="0.2"/>
    <row r="956" hidden="1" x14ac:dyDescent="0.2"/>
    <row r="957" hidden="1" x14ac:dyDescent="0.2"/>
    <row r="958" hidden="1" x14ac:dyDescent="0.2"/>
    <row r="959" hidden="1" x14ac:dyDescent="0.2"/>
    <row r="960" hidden="1" x14ac:dyDescent="0.2"/>
    <row r="961" spans="1:9" hidden="1" x14ac:dyDescent="0.2"/>
    <row r="962" spans="1:9" hidden="1" x14ac:dyDescent="0.2"/>
    <row r="963" spans="1:9" hidden="1" x14ac:dyDescent="0.2"/>
    <row r="964" spans="1:9" hidden="1" x14ac:dyDescent="0.2"/>
    <row r="965" spans="1:9" hidden="1" x14ac:dyDescent="0.2"/>
    <row r="966" spans="1:9" hidden="1" x14ac:dyDescent="0.2"/>
    <row r="967" spans="1:9" hidden="1" x14ac:dyDescent="0.2"/>
    <row r="968" spans="1:9" hidden="1" x14ac:dyDescent="0.2"/>
    <row r="969" spans="1:9" hidden="1" x14ac:dyDescent="0.2"/>
    <row r="970" spans="1:9" hidden="1" x14ac:dyDescent="0.2"/>
    <row r="971" spans="1:9" hidden="1" x14ac:dyDescent="0.2"/>
    <row r="972" spans="1:9" hidden="1" x14ac:dyDescent="0.2"/>
    <row r="973" spans="1:9" hidden="1" x14ac:dyDescent="0.2"/>
    <row r="974" spans="1:9" hidden="1" x14ac:dyDescent="0.2">
      <c r="H974" s="28">
        <f>K181</f>
        <v>0</v>
      </c>
    </row>
    <row r="975" spans="1:9" hidden="1" x14ac:dyDescent="0.2"/>
    <row r="976" spans="1:9" hidden="1" x14ac:dyDescent="0.2">
      <c r="A976" s="43" t="s">
        <v>2</v>
      </c>
      <c r="B976" s="43"/>
      <c r="C976" s="43"/>
      <c r="D976" s="43"/>
      <c r="E976" s="31"/>
      <c r="F976" s="32"/>
      <c r="G976" s="31"/>
      <c r="H976" s="31"/>
      <c r="I976" s="44" t="s">
        <v>3</v>
      </c>
    </row>
    <row r="977" spans="1:9" hidden="1" x14ac:dyDescent="0.2">
      <c r="A977" s="31">
        <v>0</v>
      </c>
      <c r="B977" s="31"/>
      <c r="C977" s="31"/>
      <c r="D977" s="31"/>
      <c r="E977" s="31">
        <v>12500</v>
      </c>
      <c r="F977" s="32"/>
      <c r="G977" s="31"/>
      <c r="H977" s="31">
        <f>IF(AND(H974&gt;A977,H974&lt;=E977),H974,0)</f>
        <v>0</v>
      </c>
      <c r="I977" s="31">
        <f>0+(3/100)*(-A977+H977)</f>
        <v>0</v>
      </c>
    </row>
    <row r="978" spans="1:9" hidden="1" x14ac:dyDescent="0.2">
      <c r="A978" s="31">
        <f t="shared" ref="A978:A985" si="27">E977</f>
        <v>12500</v>
      </c>
      <c r="B978" s="31"/>
      <c r="C978" s="31"/>
      <c r="D978" s="31"/>
      <c r="E978" s="31">
        <v>25000</v>
      </c>
      <c r="F978" s="32"/>
      <c r="G978" s="31"/>
      <c r="H978" s="31">
        <f>IF(AND(H974&gt;A978, H974&lt;=E978),H974,0)</f>
        <v>0</v>
      </c>
      <c r="I978" s="31">
        <f>(12500/100*3)+(4/100)*(-A978+H978)</f>
        <v>-125</v>
      </c>
    </row>
    <row r="979" spans="1:9" hidden="1" x14ac:dyDescent="0.2">
      <c r="A979" s="31">
        <f t="shared" si="27"/>
        <v>25000</v>
      </c>
      <c r="B979" s="31"/>
      <c r="C979" s="31"/>
      <c r="D979" s="31"/>
      <c r="E979" s="31">
        <v>50000</v>
      </c>
      <c r="F979" s="32"/>
      <c r="G979" s="31"/>
      <c r="H979" s="31">
        <f>IF(AND(H974&gt;A979, H974&lt;=E979),H974,0)</f>
        <v>0</v>
      </c>
      <c r="I979" s="31">
        <f>(12500/100*3)+(12500/100*4)+((5/100)*(-A979+H979))</f>
        <v>-375</v>
      </c>
    </row>
    <row r="980" spans="1:9" hidden="1" x14ac:dyDescent="0.2">
      <c r="A980" s="31">
        <f t="shared" si="27"/>
        <v>50000</v>
      </c>
      <c r="B980" s="31"/>
      <c r="C980" s="31"/>
      <c r="D980" s="31"/>
      <c r="E980" s="31">
        <v>100000</v>
      </c>
      <c r="F980" s="32"/>
      <c r="G980" s="31"/>
      <c r="H980" s="31">
        <f>IF(AND(H974&gt;A980, H974&lt;=E980),H974,0)</f>
        <v>0</v>
      </c>
      <c r="I980" s="31">
        <f>(12500/100*3)+(12500/100*4)+(25000/100*5)+((7/100)*(-A980+H980))</f>
        <v>-1375.0000000000005</v>
      </c>
    </row>
    <row r="981" spans="1:9" hidden="1" x14ac:dyDescent="0.2">
      <c r="A981" s="31">
        <f t="shared" si="27"/>
        <v>100000</v>
      </c>
      <c r="B981" s="31"/>
      <c r="C981" s="31"/>
      <c r="D981" s="31"/>
      <c r="E981" s="31">
        <v>150000</v>
      </c>
      <c r="F981" s="32"/>
      <c r="G981" s="31"/>
      <c r="H981" s="31">
        <f>IF(AND(H974&gt;A981, H974&lt;=E981),H974,0)</f>
        <v>0</v>
      </c>
      <c r="I981" s="31">
        <f>(12500/100*3)+(12500/100*4)+(25000/100*5)+(50000/100*7)+((10/100)*(-A981+H981))</f>
        <v>-4375</v>
      </c>
    </row>
    <row r="982" spans="1:9" hidden="1" x14ac:dyDescent="0.2">
      <c r="A982" s="31">
        <f t="shared" si="27"/>
        <v>150000</v>
      </c>
      <c r="B982" s="31"/>
      <c r="C982" s="31"/>
      <c r="D982" s="31"/>
      <c r="E982" s="31">
        <v>200000</v>
      </c>
      <c r="F982" s="32"/>
      <c r="G982" s="31"/>
      <c r="H982" s="31">
        <f>IF(AND(H974&gt;A982, H974&lt;=E982),H974,0)</f>
        <v>0</v>
      </c>
      <c r="I982" s="31">
        <f>(12500/100*3)+(12500/100*4)+(25000/100*5)+(50000/100*7)+(50000/100*10)+((14/100)*(-A982+H982))</f>
        <v>-10375.000000000004</v>
      </c>
    </row>
    <row r="983" spans="1:9" hidden="1" x14ac:dyDescent="0.2">
      <c r="A983" s="31">
        <f t="shared" si="27"/>
        <v>200000</v>
      </c>
      <c r="B983" s="31"/>
      <c r="C983" s="31"/>
      <c r="D983" s="31"/>
      <c r="E983" s="31">
        <v>250000</v>
      </c>
      <c r="F983" s="32"/>
      <c r="G983" s="31"/>
      <c r="H983" s="31">
        <f>IF(AND(H974&gt;A983, H974&lt;=E983),H974,0)</f>
        <v>0</v>
      </c>
      <c r="I983" s="31">
        <f>(12500/100*3)+(12500/100*4)+(25000/100*5)+(50000/100*7)+(50000/100*10)+(50000/100*14)+((18/100)*(-A983+H983))</f>
        <v>-18375</v>
      </c>
    </row>
    <row r="984" spans="1:9" hidden="1" x14ac:dyDescent="0.2">
      <c r="A984" s="31">
        <f t="shared" si="27"/>
        <v>250000</v>
      </c>
      <c r="B984" s="31"/>
      <c r="C984" s="31"/>
      <c r="D984" s="31"/>
      <c r="E984" s="31">
        <v>500000</v>
      </c>
      <c r="F984" s="32"/>
      <c r="G984" s="31"/>
      <c r="H984" s="31">
        <f>IF(AND(H974&gt;A984, H974&lt;=E984),H974,0)</f>
        <v>0</v>
      </c>
      <c r="I984" s="31">
        <f>(12500/100*3)+(12500/100*4)+(25000/100*5)+(50000/100*7)+(50000/100*10)+(50000/100*14)+(50000/100*18)+((24/100)*(-A984+H984))</f>
        <v>-33375</v>
      </c>
    </row>
    <row r="985" spans="1:9" hidden="1" x14ac:dyDescent="0.2">
      <c r="A985" s="31">
        <f t="shared" si="27"/>
        <v>500000</v>
      </c>
      <c r="B985" s="31"/>
      <c r="C985" s="31"/>
      <c r="D985" s="31"/>
      <c r="E985" s="31">
        <v>999999999</v>
      </c>
      <c r="F985" s="32"/>
      <c r="G985" s="31"/>
      <c r="H985" s="31">
        <f>IF(AND(H974&gt;A985, H974&lt;=E985),H974,0)</f>
        <v>0</v>
      </c>
      <c r="I985" s="31">
        <f>(12500/100*3)+(12500/100*4)+(25000/100*5)+(50000/100*7)+(50000/100*10)+(50000/100*14)+(50000/100*18)+(250000/100*24)+((30/100)*(-A985+H985))</f>
        <v>-63375</v>
      </c>
    </row>
    <row r="986" spans="1:9" hidden="1" x14ac:dyDescent="0.2">
      <c r="A986" s="45" t="s">
        <v>4</v>
      </c>
      <c r="B986" s="45"/>
      <c r="C986" s="45"/>
      <c r="D986" s="45"/>
      <c r="E986" s="31"/>
      <c r="F986" s="32"/>
      <c r="G986" s="31"/>
      <c r="H986" s="31"/>
      <c r="I986" s="31">
        <f>VLOOKUP(H974,H977:I985,2,FALSE)</f>
        <v>0</v>
      </c>
    </row>
    <row r="987" spans="1:9" hidden="1" x14ac:dyDescent="0.2">
      <c r="A987" s="45"/>
      <c r="B987" s="45"/>
      <c r="C987" s="45"/>
      <c r="D987" s="45"/>
      <c r="E987" s="31"/>
      <c r="F987" s="32"/>
      <c r="G987" s="31"/>
      <c r="H987" s="31"/>
      <c r="I987" s="31"/>
    </row>
    <row r="988" spans="1:9" hidden="1" x14ac:dyDescent="0.2">
      <c r="A988" s="46" t="s">
        <v>24</v>
      </c>
      <c r="B988" s="46"/>
      <c r="C988" s="46"/>
      <c r="D988" s="46"/>
      <c r="E988" s="31"/>
      <c r="F988" s="32"/>
      <c r="G988" s="31"/>
      <c r="H988" s="31"/>
      <c r="I988" s="44" t="s">
        <v>25</v>
      </c>
    </row>
    <row r="989" spans="1:9" hidden="1" x14ac:dyDescent="0.2">
      <c r="A989" s="31">
        <v>0</v>
      </c>
      <c r="B989" s="31"/>
      <c r="C989" s="31"/>
      <c r="D989" s="31"/>
      <c r="E989" s="31">
        <v>25000</v>
      </c>
      <c r="F989" s="32"/>
      <c r="G989" s="31"/>
      <c r="H989" s="31">
        <f>IF(AND(H974&gt;A989, H974&lt;=E989),H974,0)</f>
        <v>0</v>
      </c>
      <c r="I989" s="31">
        <f>0+(1/100)*(-A989+H989)</f>
        <v>0</v>
      </c>
    </row>
    <row r="990" spans="1:9" hidden="1" x14ac:dyDescent="0.2">
      <c r="A990" s="31">
        <f>E989</f>
        <v>25000</v>
      </c>
      <c r="B990" s="31"/>
      <c r="C990" s="31"/>
      <c r="D990" s="31"/>
      <c r="E990" s="31">
        <v>50000</v>
      </c>
      <c r="F990" s="32"/>
      <c r="G990" s="31"/>
      <c r="H990" s="31">
        <f>IF(AND(H974&gt;A990, H974&lt;=E990),H974,0)</f>
        <v>0</v>
      </c>
      <c r="I990" s="31">
        <f>(25000/100*1)+(2/100)*(-A990+H990)</f>
        <v>-250</v>
      </c>
    </row>
    <row r="991" spans="1:9" hidden="1" x14ac:dyDescent="0.2">
      <c r="A991" s="31">
        <f>E990</f>
        <v>50000</v>
      </c>
      <c r="B991" s="31"/>
      <c r="C991" s="31"/>
      <c r="D991" s="31"/>
      <c r="E991" s="31">
        <v>175000</v>
      </c>
      <c r="F991" s="32"/>
      <c r="G991" s="31"/>
      <c r="H991" s="31">
        <f>IF(AND(H974&gt;A991, H974&lt;=E991),H974,0)</f>
        <v>0</v>
      </c>
      <c r="I991" s="31">
        <f>(25000/100*1)+(25000/100*2)+((5/100)*(-A991+H991))</f>
        <v>-1750</v>
      </c>
    </row>
    <row r="992" spans="1:9" hidden="1" x14ac:dyDescent="0.2">
      <c r="A992" s="31">
        <f>E991</f>
        <v>175000</v>
      </c>
      <c r="B992" s="31"/>
      <c r="C992" s="31"/>
      <c r="D992" s="31"/>
      <c r="E992" s="31">
        <v>250000</v>
      </c>
      <c r="F992" s="32"/>
      <c r="G992" s="31"/>
      <c r="H992" s="31">
        <f>IF(AND(H974&gt;A992, H974&lt;=E992),H974,0)</f>
        <v>0</v>
      </c>
      <c r="I992" s="31">
        <f>(25000/100*1)+(25000/100*2)+(125000/100*5)+((12/100)*(-A992+H992))</f>
        <v>-14000</v>
      </c>
    </row>
    <row r="993" spans="1:15" hidden="1" x14ac:dyDescent="0.2">
      <c r="A993" s="31">
        <f>E992</f>
        <v>250000</v>
      </c>
      <c r="B993" s="31"/>
      <c r="C993" s="31"/>
      <c r="D993" s="31"/>
      <c r="E993" s="31">
        <v>500000</v>
      </c>
      <c r="F993" s="32"/>
      <c r="G993" s="31"/>
      <c r="H993" s="31">
        <f>IF(AND(H974&gt;A993, H974&lt;=E993),H974,0)</f>
        <v>0</v>
      </c>
      <c r="I993" s="31">
        <f>(25000/100*1)+(25000/100*2)+(125000/100*5)+(75000/100*12)+((24/100)*(-A993+H993))</f>
        <v>-44000</v>
      </c>
    </row>
    <row r="994" spans="1:15" hidden="1" x14ac:dyDescent="0.2">
      <c r="A994" s="31">
        <f>E993</f>
        <v>500000</v>
      </c>
      <c r="B994" s="31"/>
      <c r="C994" s="31"/>
      <c r="D994" s="31"/>
      <c r="E994" s="31">
        <v>999999999</v>
      </c>
      <c r="F994" s="32"/>
      <c r="G994" s="31"/>
      <c r="H994" s="31">
        <f>IF(AND(H974&gt;A994, H974&lt;=E994),H974,0)</f>
        <v>0</v>
      </c>
      <c r="I994" s="31">
        <f>(25000/100*1)+(25000/100*2)+(125000/100*5)+(75000/100*12)+(250000/100*24)+((30/100)*(-A994+H994))</f>
        <v>-74000</v>
      </c>
    </row>
    <row r="995" spans="1:15" hidden="1" x14ac:dyDescent="0.2">
      <c r="A995" s="45" t="s">
        <v>4</v>
      </c>
      <c r="B995" s="45"/>
      <c r="C995" s="45"/>
      <c r="D995" s="45"/>
      <c r="E995" s="31"/>
      <c r="F995" s="32"/>
      <c r="G995" s="31"/>
      <c r="H995" s="31"/>
      <c r="I995" s="31">
        <f>VLOOKUP(H974,H989:I994,2,FALSE)</f>
        <v>0</v>
      </c>
    </row>
    <row r="996" spans="1:15" hidden="1" x14ac:dyDescent="0.2">
      <c r="A996" s="45"/>
      <c r="B996" s="45"/>
      <c r="C996" s="45"/>
      <c r="D996" s="45"/>
      <c r="E996" s="31"/>
      <c r="F996" s="32"/>
      <c r="G996" s="31"/>
      <c r="H996" s="31"/>
      <c r="I996" s="31"/>
    </row>
    <row r="997" spans="1:15" hidden="1" x14ac:dyDescent="0.2">
      <c r="A997" s="43" t="s">
        <v>5</v>
      </c>
      <c r="B997" s="43"/>
      <c r="C997" s="43"/>
      <c r="D997" s="43"/>
      <c r="E997" s="31"/>
      <c r="F997" s="32"/>
      <c r="G997" s="31"/>
      <c r="H997" s="31"/>
      <c r="I997" s="44" t="s">
        <v>6</v>
      </c>
    </row>
    <row r="998" spans="1:15" hidden="1" x14ac:dyDescent="0.2">
      <c r="A998" s="31">
        <v>0</v>
      </c>
      <c r="B998" s="31"/>
      <c r="C998" s="31"/>
      <c r="D998" s="31"/>
      <c r="E998" s="31">
        <v>12500</v>
      </c>
      <c r="F998" s="32"/>
      <c r="G998" s="31"/>
      <c r="H998" s="31">
        <f>IF(AND(H974&gt;A998, H974&lt;=E998),H974,0)</f>
        <v>0</v>
      </c>
      <c r="I998" s="31">
        <f>0+(20/100)*(-A998+H998)</f>
        <v>0</v>
      </c>
    </row>
    <row r="999" spans="1:15" hidden="1" x14ac:dyDescent="0.2">
      <c r="A999" s="31">
        <f>E998</f>
        <v>12500</v>
      </c>
      <c r="B999" s="31"/>
      <c r="C999" s="31"/>
      <c r="D999" s="31"/>
      <c r="E999" s="31">
        <v>25000</v>
      </c>
      <c r="F999" s="32"/>
      <c r="G999" s="31"/>
      <c r="H999" s="31">
        <f>IF(AND(H974&gt;A999, H974&lt;=E999),H974,0)</f>
        <v>0</v>
      </c>
      <c r="I999" s="31">
        <f>(12500/100*20)+((25/100)*(-A999+H999))</f>
        <v>-625</v>
      </c>
    </row>
    <row r="1000" spans="1:15" hidden="1" x14ac:dyDescent="0.2">
      <c r="A1000" s="31">
        <f>E999</f>
        <v>25000</v>
      </c>
      <c r="B1000" s="31"/>
      <c r="C1000" s="31"/>
      <c r="D1000" s="31"/>
      <c r="E1000" s="31">
        <v>75000</v>
      </c>
      <c r="F1000" s="32"/>
      <c r="G1000" s="31"/>
      <c r="H1000" s="31">
        <f>IF(AND(H974&gt;A1000, H974&lt;=E1000),H974,0)</f>
        <v>0</v>
      </c>
      <c r="I1000" s="31">
        <f>(12500/100*20)+(12500/100*25)+((35/100)*(-A1000+H1000))</f>
        <v>-3125</v>
      </c>
    </row>
    <row r="1001" spans="1:15" hidden="1" x14ac:dyDescent="0.2">
      <c r="A1001" s="31">
        <f>E1000</f>
        <v>75000</v>
      </c>
      <c r="B1001" s="31"/>
      <c r="C1001" s="31"/>
      <c r="D1001" s="31"/>
      <c r="E1001" s="31">
        <v>175000</v>
      </c>
      <c r="F1001" s="32"/>
      <c r="G1001" s="31"/>
      <c r="H1001" s="31">
        <f>IF(AND(H974&gt;A1001, H974&lt;=E1001),H974,0)</f>
        <v>0</v>
      </c>
      <c r="I1001" s="31">
        <f>(12500/100*20)+(12500/100*25)+(50000/100*35)+((50/100)*(-A1001+H1001))</f>
        <v>-14375</v>
      </c>
    </row>
    <row r="1002" spans="1:15" hidden="1" x14ac:dyDescent="0.2">
      <c r="A1002" s="31">
        <f>E1001</f>
        <v>175000</v>
      </c>
      <c r="B1002" s="31"/>
      <c r="C1002" s="31"/>
      <c r="D1002" s="31"/>
      <c r="E1002" s="31">
        <v>999999999</v>
      </c>
      <c r="F1002" s="32"/>
      <c r="G1002" s="31"/>
      <c r="H1002" s="31">
        <f>IF(AND(H974&gt;A1002, H974&lt;=E1002),H974,0)</f>
        <v>0</v>
      </c>
      <c r="I1002" s="31">
        <f>(12500/100*20)+(12500/100*25)+(50000/100*35)+(100000/100*50)+((65/100)*(-A1002+H1002))</f>
        <v>-40625</v>
      </c>
    </row>
    <row r="1003" spans="1:15" hidden="1" x14ac:dyDescent="0.2">
      <c r="A1003" s="45" t="s">
        <v>4</v>
      </c>
      <c r="B1003" s="45"/>
      <c r="C1003" s="45"/>
      <c r="D1003" s="45"/>
      <c r="E1003" s="31"/>
      <c r="F1003" s="32"/>
      <c r="G1003" s="31"/>
      <c r="H1003" s="31"/>
      <c r="I1003" s="31">
        <f>VLOOKUP(H974,H998:I1002,2,FALSE)</f>
        <v>0</v>
      </c>
    </row>
    <row r="1004" spans="1:15" hidden="1" x14ac:dyDescent="0.2"/>
    <row r="1005" spans="1:15" hidden="1" x14ac:dyDescent="0.2">
      <c r="E1005" s="28">
        <f>E886</f>
        <v>0</v>
      </c>
      <c r="F1005" s="29"/>
      <c r="G1005" s="28"/>
      <c r="H1005" s="28"/>
      <c r="I1005" s="28"/>
    </row>
    <row r="1006" spans="1:15" hidden="1" x14ac:dyDescent="0.2">
      <c r="E1006" s="28"/>
      <c r="F1006" s="29"/>
      <c r="G1006" s="28"/>
      <c r="H1006" s="28"/>
      <c r="I1006" s="28"/>
      <c r="N1006" s="31"/>
      <c r="O1006" s="44" t="s">
        <v>8</v>
      </c>
    </row>
    <row r="1007" spans="1:15" hidden="1" x14ac:dyDescent="0.2">
      <c r="E1007" s="28"/>
      <c r="F1007" s="29"/>
      <c r="G1007" s="28"/>
      <c r="H1007" s="28"/>
      <c r="I1007" s="28"/>
      <c r="N1007" s="31">
        <f>IF(AND(H974&gt;K1009, H974&lt;=M1009),H974,0)</f>
        <v>0</v>
      </c>
      <c r="O1007" s="31">
        <f>0+(30/100)*(-K1009+N1007)</f>
        <v>0</v>
      </c>
    </row>
    <row r="1008" spans="1:15" hidden="1" x14ac:dyDescent="0.2">
      <c r="A1008" s="43" t="s">
        <v>22</v>
      </c>
      <c r="B1008" s="43"/>
      <c r="C1008" s="43"/>
      <c r="D1008" s="43"/>
      <c r="E1008" s="31"/>
      <c r="F1008" s="32"/>
      <c r="G1008" s="31"/>
      <c r="H1008" s="31"/>
      <c r="I1008" s="44" t="s">
        <v>7</v>
      </c>
      <c r="K1008" s="43" t="s">
        <v>23</v>
      </c>
      <c r="L1008" s="43"/>
      <c r="M1008" s="31"/>
      <c r="N1008" s="31">
        <f>IF(AND(H974&gt;K1010, H974&lt;=M1010),H974,0)</f>
        <v>0</v>
      </c>
      <c r="O1008" s="31">
        <f>(12500/100*30)+((35/100)*(-K1010+N1008))</f>
        <v>-625</v>
      </c>
    </row>
    <row r="1009" spans="1:15" hidden="1" x14ac:dyDescent="0.2">
      <c r="A1009" s="31">
        <v>0</v>
      </c>
      <c r="B1009" s="31"/>
      <c r="C1009" s="31"/>
      <c r="D1009" s="31"/>
      <c r="E1009" s="31">
        <v>12500</v>
      </c>
      <c r="F1009" s="32"/>
      <c r="G1009" s="31"/>
      <c r="H1009" s="31">
        <f>IF(AND(H974&gt;A1009, H974&lt;=E1009),H974,0)</f>
        <v>0</v>
      </c>
      <c r="I1009" s="31">
        <f>0+(25/100)*(-A1009+H1009)</f>
        <v>0</v>
      </c>
      <c r="K1009" s="31">
        <v>0</v>
      </c>
      <c r="L1009" s="31"/>
      <c r="M1009" s="31">
        <v>12500</v>
      </c>
      <c r="N1009" s="31">
        <f>IF(AND(H974&gt;K1011, H974&lt;=M1011),H974,0)</f>
        <v>0</v>
      </c>
      <c r="O1009" s="31">
        <f>(12500/100*30)+(12500/100*35)+((60/100)*(-K1011+N1009))</f>
        <v>-6875</v>
      </c>
    </row>
    <row r="1010" spans="1:15" hidden="1" x14ac:dyDescent="0.2">
      <c r="A1010" s="31">
        <f>E1009</f>
        <v>12500</v>
      </c>
      <c r="B1010" s="31"/>
      <c r="C1010" s="31"/>
      <c r="D1010" s="31"/>
      <c r="E1010" s="31">
        <v>25000</v>
      </c>
      <c r="F1010" s="32"/>
      <c r="G1010" s="31"/>
      <c r="H1010" s="31">
        <f>IF(AND(H974&gt;A1010, H974&lt;=E1010),H974,0)</f>
        <v>0</v>
      </c>
      <c r="I1010" s="31">
        <f>(12500/100*25)+((30/100)*(-A1010+H1010))</f>
        <v>-625</v>
      </c>
      <c r="K1010" s="31">
        <f>M1009</f>
        <v>12500</v>
      </c>
      <c r="L1010" s="31"/>
      <c r="M1010" s="31">
        <v>25000</v>
      </c>
      <c r="N1010" s="31">
        <f>IF(AND(H974&gt;K1012, H974&lt;=M1012),H974,0)</f>
        <v>0</v>
      </c>
      <c r="O1010" s="31">
        <f>(12500/100*30)+(12500/100*35)+(50000/100*60)+((80/100)*(-K1012+N1010))</f>
        <v>-21875</v>
      </c>
    </row>
    <row r="1011" spans="1:15" hidden="1" x14ac:dyDescent="0.2">
      <c r="A1011" s="31">
        <f>E1010</f>
        <v>25000</v>
      </c>
      <c r="B1011" s="31"/>
      <c r="C1011" s="31"/>
      <c r="D1011" s="31"/>
      <c r="E1011" s="31">
        <v>75000</v>
      </c>
      <c r="F1011" s="32"/>
      <c r="G1011" s="31"/>
      <c r="H1011" s="31">
        <f>IF(AND(H974&gt;A1011, H974&lt;=E1011),H974,0)</f>
        <v>0</v>
      </c>
      <c r="I1011" s="31">
        <f>(12500/100*25)+(12500/100*30)+((40/100)*(-A1011+H1011))</f>
        <v>-3125</v>
      </c>
      <c r="K1011" s="31">
        <f>M1010</f>
        <v>25000</v>
      </c>
      <c r="L1011" s="31"/>
      <c r="M1011" s="31">
        <v>75000</v>
      </c>
      <c r="N1011" s="31">
        <f>IF(AND(H974&gt;K1013, H974&lt;=M1013),H974,0)</f>
        <v>0</v>
      </c>
      <c r="O1011" s="31">
        <f>(12500/100*30)+(12500/100*35)+(50000/100*60)+(100000/100*80)+((80/100)*(-K1013+N1011))</f>
        <v>-21875</v>
      </c>
    </row>
    <row r="1012" spans="1:15" hidden="1" x14ac:dyDescent="0.2">
      <c r="A1012" s="31">
        <f>E1011</f>
        <v>75000</v>
      </c>
      <c r="B1012" s="31"/>
      <c r="C1012" s="31"/>
      <c r="D1012" s="31"/>
      <c r="E1012" s="31">
        <v>175000</v>
      </c>
      <c r="F1012" s="32"/>
      <c r="G1012" s="31"/>
      <c r="H1012" s="31">
        <f>IF(AND(H974&gt;A1012, H974&lt;=E1012),H974,0)</f>
        <v>0</v>
      </c>
      <c r="I1012" s="31">
        <f>(12500/100*25)+(12500/100*30)+(50000/100*40)+((55/100)*(-A1012+H1012))</f>
        <v>-14375</v>
      </c>
      <c r="K1012" s="31">
        <f>M1011</f>
        <v>75000</v>
      </c>
      <c r="L1012" s="31"/>
      <c r="M1012" s="31">
        <v>175000</v>
      </c>
      <c r="N1012" s="31"/>
      <c r="O1012" s="31">
        <f>VLOOKUP(H974,N1007:O1011,2,FALSE)</f>
        <v>0</v>
      </c>
    </row>
    <row r="1013" spans="1:15" hidden="1" x14ac:dyDescent="0.2">
      <c r="A1013" s="31">
        <f>E1012</f>
        <v>175000</v>
      </c>
      <c r="B1013" s="31"/>
      <c r="C1013" s="31"/>
      <c r="D1013" s="31"/>
      <c r="E1013" s="31">
        <v>999999999</v>
      </c>
      <c r="F1013" s="32"/>
      <c r="G1013" s="31"/>
      <c r="H1013" s="31">
        <f>IF(AND(H974&gt;A1013, H974&lt;=E1013),H974,0)</f>
        <v>0</v>
      </c>
      <c r="I1013" s="31">
        <f>(12500/100*25)+(12500/100*30)+(50000/100*40)+(100000/100*55)+((70/100)*(-A1013+H1013))</f>
        <v>-40624.999999999985</v>
      </c>
      <c r="K1013" s="31">
        <f>M1012</f>
        <v>175000</v>
      </c>
      <c r="L1013" s="31"/>
      <c r="M1013" s="31">
        <v>999999999</v>
      </c>
    </row>
    <row r="1014" spans="1:15" hidden="1" x14ac:dyDescent="0.2">
      <c r="A1014" s="45" t="s">
        <v>4</v>
      </c>
      <c r="B1014" s="45"/>
      <c r="C1014" s="45"/>
      <c r="D1014" s="45"/>
      <c r="E1014" s="31"/>
      <c r="F1014" s="32"/>
      <c r="G1014" s="31"/>
      <c r="H1014" s="31"/>
      <c r="I1014" s="31">
        <f>VLOOKUP(H974,H1009:I1013,2,FALSE)</f>
        <v>0</v>
      </c>
      <c r="K1014" s="45" t="s">
        <v>4</v>
      </c>
      <c r="L1014" s="45"/>
      <c r="M1014" s="31"/>
    </row>
    <row r="1015" spans="1:15" hidden="1" x14ac:dyDescent="0.2"/>
    <row r="1016" spans="1:15" hidden="1" x14ac:dyDescent="0.2">
      <c r="E1016" s="5">
        <f>IF(A1017&gt;0,A1017-F1021,0)</f>
        <v>0</v>
      </c>
    </row>
    <row r="1017" spans="1:15" hidden="1" x14ac:dyDescent="0.2">
      <c r="A1017" s="5">
        <f>IF(AND(E17="oui",F57="ligne directe"),I995,0)</f>
        <v>0</v>
      </c>
      <c r="E1017" s="5">
        <f>IF(E1016&gt;0,E1016,0)</f>
        <v>0</v>
      </c>
      <c r="F1017" s="5">
        <f>IF(AND(F57="ligne directe",H974&lt;=125000,E17="oui"),250,0)</f>
        <v>0</v>
      </c>
      <c r="G1017" s="5">
        <f>IF(AND(F1017&gt;0,(I995-F1017&gt;=0)),I995-F1017,0)</f>
        <v>0</v>
      </c>
    </row>
    <row r="1018" spans="1:15" hidden="1" x14ac:dyDescent="0.2">
      <c r="A1018" s="5">
        <f>IF(AND(E17="oui",F57="épou(x)(se)"),I995,0)</f>
        <v>0</v>
      </c>
      <c r="E1018" s="5">
        <f>IF(A1018&gt;0,A1018-F1021,0)</f>
        <v>0</v>
      </c>
      <c r="F1018" s="5">
        <f>IF(AND(F57="ligne directe",H974&gt;125000,E17="oui"),125,0)</f>
        <v>0</v>
      </c>
      <c r="G1018" s="5">
        <f>IF(AND(F1018&gt;0,(I995-F1018&gt;=0)),I995-F1018,0)</f>
        <v>0</v>
      </c>
    </row>
    <row r="1019" spans="1:15" hidden="1" x14ac:dyDescent="0.2">
      <c r="A1019" s="5">
        <f>IF(AND(E17="non",F57="ligne directe"),I986,0)</f>
        <v>0</v>
      </c>
      <c r="E1019" s="5">
        <f>IF(AND(E17="non",F57="ligne directe"),I986,0)</f>
        <v>0</v>
      </c>
      <c r="F1019" s="5">
        <f>IF(AND(F57="épou(x)(se)",H974&lt;=125000,E17="oui"),250,0)</f>
        <v>0</v>
      </c>
      <c r="G1019" s="5">
        <f>IF(AND(F1019&gt;0,(I995-F1019&gt;=0)),I995-F1019,0)</f>
        <v>0</v>
      </c>
    </row>
    <row r="1020" spans="1:15" hidden="1" x14ac:dyDescent="0.2">
      <c r="A1020" s="5">
        <f>IF(AND(E17="non",F57="épou(x)(se)"),I986,0)</f>
        <v>0</v>
      </c>
      <c r="E1020" s="5">
        <f>IF(AND(E17="non",F57="épou(x)(se)"),I986,0)</f>
        <v>0</v>
      </c>
      <c r="F1020" s="5">
        <f>IF(AND(F57="épou(x)(se)",H974&gt;125000,E17="oui"),125,0)</f>
        <v>0</v>
      </c>
      <c r="G1020" s="5">
        <f>IF(AND(F1020&gt;0,(I995-F1020&gt;=0)),I995-F1020,0)</f>
        <v>0</v>
      </c>
    </row>
    <row r="1021" spans="1:15" hidden="1" x14ac:dyDescent="0.2">
      <c r="A1021" s="5">
        <f>IF(F57="frère/soeur",I1003,0)</f>
        <v>0</v>
      </c>
      <c r="E1021" s="5">
        <f>IF(F57="frère/soeur",I1003,0)</f>
        <v>0</v>
      </c>
      <c r="F1021" s="5">
        <f>SUM(F1017:F1020)</f>
        <v>0</v>
      </c>
      <c r="G1021" s="5">
        <f>SUM(G1017:G1020)</f>
        <v>0</v>
      </c>
    </row>
    <row r="1022" spans="1:15" hidden="1" x14ac:dyDescent="0.2">
      <c r="A1022" s="5">
        <f>IF(F57="oncle-tante/neveu-nièce",I1014,0)</f>
        <v>0</v>
      </c>
      <c r="E1022" s="5">
        <f>IF(F57="oncle-tante/neveu-nièce",I1014,0)</f>
        <v>0</v>
      </c>
      <c r="F1022" s="5"/>
    </row>
    <row r="1023" spans="1:15" hidden="1" x14ac:dyDescent="0.2">
      <c r="A1023" s="5">
        <f>IF(F57="étrangers",O1012,0)</f>
        <v>0</v>
      </c>
      <c r="E1023" s="5">
        <f>IF(F57="étrangers",O1012,0)</f>
        <v>0</v>
      </c>
      <c r="F1023" s="5"/>
    </row>
    <row r="1024" spans="1:15" hidden="1" x14ac:dyDescent="0.2">
      <c r="F1024" s="5"/>
    </row>
    <row r="1025" spans="1:11" hidden="1" x14ac:dyDescent="0.2">
      <c r="A1025" s="5">
        <f>SUM(A1017:A1024)</f>
        <v>0</v>
      </c>
      <c r="E1025" s="5">
        <f>SUM(E1017:E1024)</f>
        <v>0</v>
      </c>
      <c r="F1025" s="5"/>
    </row>
    <row r="1026" spans="1:11" hidden="1" x14ac:dyDescent="0.2">
      <c r="F1026" s="5"/>
    </row>
    <row r="1027" spans="1:11" hidden="1" x14ac:dyDescent="0.2">
      <c r="F1027" s="5"/>
    </row>
    <row r="1028" spans="1:11" hidden="1" x14ac:dyDescent="0.2">
      <c r="A1028" s="5" t="s">
        <v>93</v>
      </c>
      <c r="E1028" s="5" t="s">
        <v>100</v>
      </c>
      <c r="F1028" s="5"/>
    </row>
    <row r="1029" spans="1:11" hidden="1" x14ac:dyDescent="0.2">
      <c r="F1029" s="5"/>
    </row>
    <row r="1030" spans="1:11" hidden="1" x14ac:dyDescent="0.2">
      <c r="A1030" s="5" t="s">
        <v>93</v>
      </c>
      <c r="E1030" s="5">
        <f>IF(I57=3,E1025*12%,0)</f>
        <v>0</v>
      </c>
      <c r="F1030" s="5">
        <f>IF(E1030&gt;372,372,E1030)</f>
        <v>0</v>
      </c>
      <c r="H1030" s="5" t="s">
        <v>26</v>
      </c>
      <c r="I1030" s="5">
        <f>6%*E1025</f>
        <v>0</v>
      </c>
      <c r="J1030" s="5">
        <f>IF(I1030&gt;186,186,I1030)</f>
        <v>0</v>
      </c>
      <c r="K1030" s="5">
        <f>IF(I57=3,J1030,0)</f>
        <v>0</v>
      </c>
    </row>
    <row r="1031" spans="1:11" hidden="1" x14ac:dyDescent="0.2">
      <c r="E1031" s="5">
        <f>IF(I57=4,E1025*16%,0)</f>
        <v>0</v>
      </c>
      <c r="F1031" s="5">
        <f>IF(E1031&gt;496,496,E1031)</f>
        <v>0</v>
      </c>
      <c r="H1031" s="5" t="s">
        <v>27</v>
      </c>
      <c r="I1031" s="5">
        <f>8%*E1025</f>
        <v>0</v>
      </c>
      <c r="J1031" s="5">
        <f>IF(I1031&gt;248,248,I1031)</f>
        <v>0</v>
      </c>
      <c r="K1031" s="5">
        <f>IF(I57=4,J1031,0)</f>
        <v>0</v>
      </c>
    </row>
    <row r="1032" spans="1:11" hidden="1" x14ac:dyDescent="0.2">
      <c r="E1032" s="5">
        <f>IF(I57=5,E1025*20%,0)</f>
        <v>0</v>
      </c>
      <c r="F1032" s="5">
        <f>IF(E1032&gt;620,620,E1032)</f>
        <v>0</v>
      </c>
      <c r="I1032" s="5">
        <f>10%*E1025</f>
        <v>0</v>
      </c>
      <c r="J1032" s="5">
        <f>IF(I1032&gt;310,310,I1032)</f>
        <v>0</v>
      </c>
      <c r="K1032" s="5">
        <f>IF(I57=5,J1032,0)</f>
        <v>0</v>
      </c>
    </row>
    <row r="1033" spans="1:11" hidden="1" x14ac:dyDescent="0.2">
      <c r="E1033" s="5">
        <f>IF(I57=6,E1025*24%,0)</f>
        <v>0</v>
      </c>
      <c r="F1033" s="5">
        <f>IF(E1033&gt;744,744,E1033)</f>
        <v>0</v>
      </c>
      <c r="I1033" s="5">
        <f>12%*E1025</f>
        <v>0</v>
      </c>
      <c r="J1033" s="5">
        <f>IF(I1033&gt;372,372,I1033)</f>
        <v>0</v>
      </c>
      <c r="K1033" s="5">
        <f>IF(I57=6,J1033,0)</f>
        <v>0</v>
      </c>
    </row>
    <row r="1034" spans="1:11" hidden="1" x14ac:dyDescent="0.2">
      <c r="E1034" s="5">
        <f>IF(I57=7,E1025*28%,0)</f>
        <v>0</v>
      </c>
      <c r="F1034" s="5">
        <f>IF(E1034&gt;868,868,E1034)</f>
        <v>0</v>
      </c>
      <c r="I1034" s="5">
        <f>14%*E1025</f>
        <v>0</v>
      </c>
      <c r="J1034" s="5">
        <f>IF(I1034&gt;434,434,I1034)</f>
        <v>0</v>
      </c>
      <c r="K1034" s="5">
        <f>IF(I57=7,J1034,0)</f>
        <v>0</v>
      </c>
    </row>
    <row r="1035" spans="1:11" hidden="1" x14ac:dyDescent="0.2">
      <c r="E1035" s="5">
        <f>IF(I57=8,E1025*32%,0)</f>
        <v>0</v>
      </c>
      <c r="F1035" s="5">
        <f>IF(E1035&gt;992,992,E1035)</f>
        <v>0</v>
      </c>
      <c r="I1035" s="5">
        <f>16%*E1025</f>
        <v>0</v>
      </c>
      <c r="J1035" s="5">
        <f>IF(I1035&gt;496,496,I1035)</f>
        <v>0</v>
      </c>
      <c r="K1035" s="5">
        <f>IF(I57=8,J1035,0)</f>
        <v>0</v>
      </c>
    </row>
    <row r="1036" spans="1:11" hidden="1" x14ac:dyDescent="0.2">
      <c r="E1036" s="5">
        <f>IF(I57=9,E1025*36%,0)</f>
        <v>0</v>
      </c>
      <c r="F1036" s="5">
        <f>IF(E1036&gt;1116,1116,E1036)</f>
        <v>0</v>
      </c>
      <c r="I1036" s="5">
        <f>18%*E1025</f>
        <v>0</v>
      </c>
      <c r="J1036" s="5">
        <f>IF(I1036&gt;558,558,I1036)</f>
        <v>0</v>
      </c>
      <c r="K1036" s="5">
        <f>IF(I57=9,J1036,0)</f>
        <v>0</v>
      </c>
    </row>
    <row r="1037" spans="1:11" hidden="1" x14ac:dyDescent="0.2">
      <c r="E1037" s="5">
        <f>IF(I57=10,E1025*40%,0)</f>
        <v>0</v>
      </c>
      <c r="F1037" s="5">
        <f>IF(E1037&gt;1240,1240,E1037)</f>
        <v>0</v>
      </c>
      <c r="I1037" s="5">
        <f>20%*E1025</f>
        <v>0</v>
      </c>
      <c r="J1037" s="5">
        <f>IF(I1037&gt;620,620,I1037)</f>
        <v>0</v>
      </c>
      <c r="K1037" s="5">
        <f>IF(I57=10,J1037,0)</f>
        <v>0</v>
      </c>
    </row>
    <row r="1038" spans="1:11" hidden="1" x14ac:dyDescent="0.2">
      <c r="F1038" s="5"/>
    </row>
    <row r="1039" spans="1:11" hidden="1" x14ac:dyDescent="0.2">
      <c r="F1039" s="5">
        <f>SUM(F1030:F1038)</f>
        <v>0</v>
      </c>
      <c r="K1039" s="5">
        <f>SUM(K1030:K1038)</f>
        <v>0</v>
      </c>
    </row>
    <row r="1040" spans="1:11" hidden="1" x14ac:dyDescent="0.2"/>
    <row r="1041" spans="1:8" hidden="1" x14ac:dyDescent="0.2"/>
    <row r="1042" spans="1:8" hidden="1" x14ac:dyDescent="0.2"/>
    <row r="1043" spans="1:8" hidden="1" x14ac:dyDescent="0.2">
      <c r="A1043" s="5" t="s">
        <v>33</v>
      </c>
      <c r="E1043" s="20">
        <f>E1025-F1039</f>
        <v>0</v>
      </c>
      <c r="G1043" s="5" t="s">
        <v>34</v>
      </c>
      <c r="H1043" s="47">
        <f>E1025-K1039</f>
        <v>0</v>
      </c>
    </row>
    <row r="1044" spans="1:8" hidden="1" x14ac:dyDescent="0.2"/>
    <row r="1045" spans="1:8" hidden="1" x14ac:dyDescent="0.2"/>
    <row r="1046" spans="1:8" hidden="1" x14ac:dyDescent="0.2"/>
    <row r="1047" spans="1:8" hidden="1" x14ac:dyDescent="0.2"/>
    <row r="1048" spans="1:8" hidden="1" x14ac:dyDescent="0.2"/>
    <row r="1049" spans="1:8" hidden="1" x14ac:dyDescent="0.2"/>
    <row r="1050" spans="1:8" hidden="1" x14ac:dyDescent="0.2"/>
    <row r="1051" spans="1:8" hidden="1" x14ac:dyDescent="0.2"/>
    <row r="1052" spans="1:8" hidden="1" x14ac:dyDescent="0.2"/>
    <row r="1053" spans="1:8" hidden="1" x14ac:dyDescent="0.2"/>
    <row r="1054" spans="1:8" hidden="1" x14ac:dyDescent="0.2"/>
    <row r="1055" spans="1:8" hidden="1" x14ac:dyDescent="0.2"/>
    <row r="1056" spans="1:8" hidden="1" x14ac:dyDescent="0.2"/>
    <row r="1057" hidden="1" x14ac:dyDescent="0.2"/>
    <row r="1058" hidden="1" x14ac:dyDescent="0.2"/>
    <row r="1059" hidden="1" x14ac:dyDescent="0.2"/>
    <row r="1060" hidden="1" x14ac:dyDescent="0.2"/>
    <row r="1061" hidden="1" x14ac:dyDescent="0.2"/>
    <row r="1062" hidden="1" x14ac:dyDescent="0.2"/>
    <row r="1063" hidden="1" x14ac:dyDescent="0.2"/>
    <row r="1064" hidden="1" x14ac:dyDescent="0.2"/>
    <row r="1065" hidden="1" x14ac:dyDescent="0.2"/>
    <row r="1066" hidden="1" x14ac:dyDescent="0.2"/>
    <row r="1067" hidden="1" x14ac:dyDescent="0.2"/>
    <row r="1068" hidden="1" x14ac:dyDescent="0.2"/>
    <row r="1069" hidden="1" x14ac:dyDescent="0.2"/>
    <row r="1070" hidden="1" x14ac:dyDescent="0.2"/>
    <row r="1071" hidden="1" x14ac:dyDescent="0.2"/>
    <row r="1072" hidden="1" x14ac:dyDescent="0.2"/>
    <row r="1073" spans="1:9" hidden="1" x14ac:dyDescent="0.2"/>
    <row r="1074" spans="1:9" hidden="1" x14ac:dyDescent="0.2">
      <c r="H1074" s="28">
        <f>M181</f>
        <v>0</v>
      </c>
    </row>
    <row r="1075" spans="1:9" hidden="1" x14ac:dyDescent="0.2"/>
    <row r="1076" spans="1:9" hidden="1" x14ac:dyDescent="0.2">
      <c r="A1076" s="43" t="s">
        <v>2</v>
      </c>
      <c r="B1076" s="43"/>
      <c r="C1076" s="43"/>
      <c r="D1076" s="43"/>
      <c r="E1076" s="31"/>
      <c r="F1076" s="32"/>
      <c r="G1076" s="31"/>
      <c r="H1076" s="31"/>
      <c r="I1076" s="44" t="s">
        <v>3</v>
      </c>
    </row>
    <row r="1077" spans="1:9" hidden="1" x14ac:dyDescent="0.2">
      <c r="A1077" s="31">
        <v>0</v>
      </c>
      <c r="B1077" s="31"/>
      <c r="C1077" s="31"/>
      <c r="D1077" s="31"/>
      <c r="E1077" s="31">
        <v>12500</v>
      </c>
      <c r="F1077" s="32"/>
      <c r="G1077" s="31"/>
      <c r="H1077" s="31">
        <f>IF(AND(H1074&gt;A1077,H1074&lt;=E1077),H1074,0)</f>
        <v>0</v>
      </c>
      <c r="I1077" s="31">
        <f>0+(3/100)*(-A1077+H1077)</f>
        <v>0</v>
      </c>
    </row>
    <row r="1078" spans="1:9" hidden="1" x14ac:dyDescent="0.2">
      <c r="A1078" s="31">
        <f t="shared" ref="A1078:A1085" si="28">E1077</f>
        <v>12500</v>
      </c>
      <c r="B1078" s="31"/>
      <c r="C1078" s="31"/>
      <c r="D1078" s="31"/>
      <c r="E1078" s="31">
        <v>25000</v>
      </c>
      <c r="F1078" s="32"/>
      <c r="G1078" s="31"/>
      <c r="H1078" s="31">
        <f>IF(AND(H1074&gt;A1078, H1074&lt;=E1078),H1074,0)</f>
        <v>0</v>
      </c>
      <c r="I1078" s="31">
        <f>(12500/100*3)+(4/100)*(-A1078+H1078)</f>
        <v>-125</v>
      </c>
    </row>
    <row r="1079" spans="1:9" hidden="1" x14ac:dyDescent="0.2">
      <c r="A1079" s="31">
        <f t="shared" si="28"/>
        <v>25000</v>
      </c>
      <c r="B1079" s="31"/>
      <c r="C1079" s="31"/>
      <c r="D1079" s="31"/>
      <c r="E1079" s="31">
        <v>50000</v>
      </c>
      <c r="F1079" s="32"/>
      <c r="G1079" s="31"/>
      <c r="H1079" s="31">
        <f>IF(AND(H1074&gt;A1079, H1074&lt;=E1079),H1074,0)</f>
        <v>0</v>
      </c>
      <c r="I1079" s="31">
        <f>(12500/100*3)+(12500/100*4)+((5/100)*(-A1079+H1079))</f>
        <v>-375</v>
      </c>
    </row>
    <row r="1080" spans="1:9" hidden="1" x14ac:dyDescent="0.2">
      <c r="A1080" s="31">
        <f t="shared" si="28"/>
        <v>50000</v>
      </c>
      <c r="B1080" s="31"/>
      <c r="C1080" s="31"/>
      <c r="D1080" s="31"/>
      <c r="E1080" s="31">
        <v>100000</v>
      </c>
      <c r="F1080" s="32"/>
      <c r="G1080" s="31"/>
      <c r="H1080" s="31">
        <f>IF(AND(H1074&gt;A1080, H1074&lt;=E1080),H1074,0)</f>
        <v>0</v>
      </c>
      <c r="I1080" s="31">
        <f>(12500/100*3)+(12500/100*4)+(25000/100*5)+((7/100)*(-A1080+H1080))</f>
        <v>-1375.0000000000005</v>
      </c>
    </row>
    <row r="1081" spans="1:9" hidden="1" x14ac:dyDescent="0.2">
      <c r="A1081" s="31">
        <f t="shared" si="28"/>
        <v>100000</v>
      </c>
      <c r="B1081" s="31"/>
      <c r="C1081" s="31"/>
      <c r="D1081" s="31"/>
      <c r="E1081" s="31">
        <v>150000</v>
      </c>
      <c r="F1081" s="32"/>
      <c r="G1081" s="31"/>
      <c r="H1081" s="31">
        <f>IF(AND(H1074&gt;A1081, H1074&lt;=E1081),H1074,0)</f>
        <v>0</v>
      </c>
      <c r="I1081" s="31">
        <f>(12500/100*3)+(12500/100*4)+(25000/100*5)+(50000/100*7)+((10/100)*(-A1081+H1081))</f>
        <v>-4375</v>
      </c>
    </row>
    <row r="1082" spans="1:9" hidden="1" x14ac:dyDescent="0.2">
      <c r="A1082" s="31">
        <f t="shared" si="28"/>
        <v>150000</v>
      </c>
      <c r="B1082" s="31"/>
      <c r="C1082" s="31"/>
      <c r="D1082" s="31"/>
      <c r="E1082" s="31">
        <v>200000</v>
      </c>
      <c r="F1082" s="32"/>
      <c r="G1082" s="31"/>
      <c r="H1082" s="31">
        <f>IF(AND(H1074&gt;A1082, H1074&lt;=E1082),H1074,0)</f>
        <v>0</v>
      </c>
      <c r="I1082" s="31">
        <f>(12500/100*3)+(12500/100*4)+(25000/100*5)+(50000/100*7)+(50000/100*10)+((14/100)*(-A1082+H1082))</f>
        <v>-10375.000000000004</v>
      </c>
    </row>
    <row r="1083" spans="1:9" hidden="1" x14ac:dyDescent="0.2">
      <c r="A1083" s="31">
        <f t="shared" si="28"/>
        <v>200000</v>
      </c>
      <c r="B1083" s="31"/>
      <c r="C1083" s="31"/>
      <c r="D1083" s="31"/>
      <c r="E1083" s="31">
        <v>250000</v>
      </c>
      <c r="F1083" s="32"/>
      <c r="G1083" s="31"/>
      <c r="H1083" s="31">
        <f>IF(AND(H1074&gt;A1083, H1074&lt;=E1083),H1074,0)</f>
        <v>0</v>
      </c>
      <c r="I1083" s="31">
        <f>(12500/100*3)+(12500/100*4)+(25000/100*5)+(50000/100*7)+(50000/100*10)+(50000/100*14)+((18/100)*(-A1083+H1083))</f>
        <v>-18375</v>
      </c>
    </row>
    <row r="1084" spans="1:9" hidden="1" x14ac:dyDescent="0.2">
      <c r="A1084" s="31">
        <f t="shared" si="28"/>
        <v>250000</v>
      </c>
      <c r="B1084" s="31"/>
      <c r="C1084" s="31"/>
      <c r="D1084" s="31"/>
      <c r="E1084" s="31">
        <v>500000</v>
      </c>
      <c r="F1084" s="32"/>
      <c r="G1084" s="31"/>
      <c r="H1084" s="31">
        <f>IF(AND(H1074&gt;A1084, H1074&lt;=E1084),H1074,0)</f>
        <v>0</v>
      </c>
      <c r="I1084" s="31">
        <f>(12500/100*3)+(12500/100*4)+(25000/100*5)+(50000/100*7)+(50000/100*10)+(50000/100*14)+(50000/100*18)+((24/100)*(-A1084+H1084))</f>
        <v>-33375</v>
      </c>
    </row>
    <row r="1085" spans="1:9" hidden="1" x14ac:dyDescent="0.2">
      <c r="A1085" s="31">
        <f t="shared" si="28"/>
        <v>500000</v>
      </c>
      <c r="B1085" s="31"/>
      <c r="C1085" s="31"/>
      <c r="D1085" s="31"/>
      <c r="E1085" s="31">
        <v>999999999</v>
      </c>
      <c r="F1085" s="32"/>
      <c r="G1085" s="31"/>
      <c r="H1085" s="31">
        <f>IF(AND(H1074&gt;A1085, H1074&lt;=E1085),H1074,0)</f>
        <v>0</v>
      </c>
      <c r="I1085" s="31">
        <f>(12500/100*3)+(12500/100*4)+(25000/100*5)+(50000/100*7)+(50000/100*10)+(50000/100*14)+(50000/100*18)+(250000/100*24)+((30/100)*(-A1085+H1085))</f>
        <v>-63375</v>
      </c>
    </row>
    <row r="1086" spans="1:9" hidden="1" x14ac:dyDescent="0.2">
      <c r="A1086" s="45" t="s">
        <v>4</v>
      </c>
      <c r="B1086" s="45"/>
      <c r="C1086" s="45"/>
      <c r="D1086" s="45"/>
      <c r="E1086" s="31"/>
      <c r="F1086" s="32"/>
      <c r="G1086" s="31"/>
      <c r="H1086" s="31"/>
      <c r="I1086" s="31">
        <f>VLOOKUP(H1074,H1077:I1085,2,FALSE)</f>
        <v>0</v>
      </c>
    </row>
    <row r="1087" spans="1:9" hidden="1" x14ac:dyDescent="0.2">
      <c r="A1087" s="45"/>
      <c r="B1087" s="45"/>
      <c r="C1087" s="45"/>
      <c r="D1087" s="45"/>
      <c r="E1087" s="31"/>
      <c r="F1087" s="32"/>
      <c r="G1087" s="31"/>
      <c r="H1087" s="31"/>
      <c r="I1087" s="31"/>
    </row>
    <row r="1088" spans="1:9" hidden="1" x14ac:dyDescent="0.2">
      <c r="A1088" s="46" t="s">
        <v>24</v>
      </c>
      <c r="B1088" s="46"/>
      <c r="C1088" s="46"/>
      <c r="D1088" s="46"/>
      <c r="E1088" s="31"/>
      <c r="F1088" s="32"/>
      <c r="G1088" s="31"/>
      <c r="H1088" s="31"/>
      <c r="I1088" s="44" t="s">
        <v>25</v>
      </c>
    </row>
    <row r="1089" spans="1:9" hidden="1" x14ac:dyDescent="0.2">
      <c r="A1089" s="31">
        <v>0</v>
      </c>
      <c r="B1089" s="31"/>
      <c r="C1089" s="31"/>
      <c r="D1089" s="31"/>
      <c r="E1089" s="31">
        <v>25000</v>
      </c>
      <c r="F1089" s="32"/>
      <c r="G1089" s="31"/>
      <c r="H1089" s="31">
        <f>IF(AND(H1074&gt;A1089, H1074&lt;=E1089),H1074,0)</f>
        <v>0</v>
      </c>
      <c r="I1089" s="31">
        <f>0+(1/100)*(-A1089+H1089)</f>
        <v>0</v>
      </c>
    </row>
    <row r="1090" spans="1:9" hidden="1" x14ac:dyDescent="0.2">
      <c r="A1090" s="31">
        <f>E1089</f>
        <v>25000</v>
      </c>
      <c r="B1090" s="31"/>
      <c r="C1090" s="31"/>
      <c r="D1090" s="31"/>
      <c r="E1090" s="31">
        <v>50000</v>
      </c>
      <c r="F1090" s="32"/>
      <c r="G1090" s="31"/>
      <c r="H1090" s="31">
        <f>IF(AND(H1074&gt;A1090, H1074&lt;=E1090),H1074,0)</f>
        <v>0</v>
      </c>
      <c r="I1090" s="31">
        <f>(25000/100*1)+(2/100)*(-A1090+H1090)</f>
        <v>-250</v>
      </c>
    </row>
    <row r="1091" spans="1:9" hidden="1" x14ac:dyDescent="0.2">
      <c r="A1091" s="31">
        <f>E1090</f>
        <v>50000</v>
      </c>
      <c r="B1091" s="31"/>
      <c r="C1091" s="31"/>
      <c r="D1091" s="31"/>
      <c r="E1091" s="31">
        <v>175000</v>
      </c>
      <c r="F1091" s="32"/>
      <c r="G1091" s="31"/>
      <c r="H1091" s="31">
        <f>IF(AND(H1074&gt;A1091, H1074&lt;=E1091),H1074,0)</f>
        <v>0</v>
      </c>
      <c r="I1091" s="31">
        <f>(25000/100*1)+(25000/100*2)+((5/100)*(-A1091+H1091))</f>
        <v>-1750</v>
      </c>
    </row>
    <row r="1092" spans="1:9" hidden="1" x14ac:dyDescent="0.2">
      <c r="A1092" s="31">
        <f>E1091</f>
        <v>175000</v>
      </c>
      <c r="B1092" s="31"/>
      <c r="C1092" s="31"/>
      <c r="D1092" s="31"/>
      <c r="E1092" s="31">
        <v>250000</v>
      </c>
      <c r="F1092" s="32"/>
      <c r="G1092" s="31"/>
      <c r="H1092" s="31">
        <f>IF(AND(H1074&gt;A1092, H1074&lt;=E1092),H1074,0)</f>
        <v>0</v>
      </c>
      <c r="I1092" s="31">
        <f>(25000/100*1)+(25000/100*2)+(125000/100*5)+((12/100)*(-A1092+H1092))</f>
        <v>-14000</v>
      </c>
    </row>
    <row r="1093" spans="1:9" hidden="1" x14ac:dyDescent="0.2">
      <c r="A1093" s="31">
        <f>E1092</f>
        <v>250000</v>
      </c>
      <c r="B1093" s="31"/>
      <c r="C1093" s="31"/>
      <c r="D1093" s="31"/>
      <c r="E1093" s="31">
        <v>500000</v>
      </c>
      <c r="F1093" s="32"/>
      <c r="G1093" s="31"/>
      <c r="H1093" s="31">
        <f>IF(AND(H1074&gt;A1093, H1074&lt;=E1093),H1074,0)</f>
        <v>0</v>
      </c>
      <c r="I1093" s="31">
        <f>(25000/100*1)+(25000/100*2)+(125000/100*5)+(75000/100*12)+((24/100)*(-A1093+H1093))</f>
        <v>-44000</v>
      </c>
    </row>
    <row r="1094" spans="1:9" hidden="1" x14ac:dyDescent="0.2">
      <c r="A1094" s="31">
        <f>E1093</f>
        <v>500000</v>
      </c>
      <c r="B1094" s="31"/>
      <c r="C1094" s="31"/>
      <c r="D1094" s="31"/>
      <c r="E1094" s="31">
        <v>999999999</v>
      </c>
      <c r="F1094" s="32"/>
      <c r="G1094" s="31"/>
      <c r="H1094" s="31">
        <f>IF(AND(H1074&gt;A1094, H1074&lt;=E1094),H1074,0)</f>
        <v>0</v>
      </c>
      <c r="I1094" s="31">
        <f>(25000/100*1)+(25000/100*2)+(125000/100*5)+(75000/100*12)+(250000/100*24)+((30/100)*(-A1094+H1094))</f>
        <v>-74000</v>
      </c>
    </row>
    <row r="1095" spans="1:9" hidden="1" x14ac:dyDescent="0.2">
      <c r="A1095" s="45" t="s">
        <v>4</v>
      </c>
      <c r="B1095" s="45"/>
      <c r="C1095" s="45"/>
      <c r="D1095" s="45"/>
      <c r="E1095" s="31"/>
      <c r="F1095" s="32"/>
      <c r="G1095" s="31"/>
      <c r="H1095" s="31"/>
      <c r="I1095" s="31">
        <f>VLOOKUP(H1074,H1089:I1094,2,FALSE)</f>
        <v>0</v>
      </c>
    </row>
    <row r="1096" spans="1:9" hidden="1" x14ac:dyDescent="0.2">
      <c r="A1096" s="45"/>
      <c r="B1096" s="45"/>
      <c r="C1096" s="45"/>
      <c r="D1096" s="45"/>
      <c r="E1096" s="31"/>
      <c r="F1096" s="32"/>
      <c r="G1096" s="31"/>
      <c r="H1096" s="31"/>
      <c r="I1096" s="31"/>
    </row>
    <row r="1097" spans="1:9" hidden="1" x14ac:dyDescent="0.2">
      <c r="A1097" s="43" t="s">
        <v>5</v>
      </c>
      <c r="B1097" s="43"/>
      <c r="C1097" s="43"/>
      <c r="D1097" s="43"/>
      <c r="E1097" s="31"/>
      <c r="F1097" s="32"/>
      <c r="G1097" s="31"/>
      <c r="H1097" s="31"/>
      <c r="I1097" s="44" t="s">
        <v>6</v>
      </c>
    </row>
    <row r="1098" spans="1:9" hidden="1" x14ac:dyDescent="0.2">
      <c r="A1098" s="31">
        <v>0</v>
      </c>
      <c r="B1098" s="31"/>
      <c r="C1098" s="31"/>
      <c r="D1098" s="31"/>
      <c r="E1098" s="31">
        <v>12500</v>
      </c>
      <c r="F1098" s="32"/>
      <c r="G1098" s="31"/>
      <c r="H1098" s="31">
        <f>IF(AND(H1074&gt;A1098, H1074&lt;=E1098),H1074,0)</f>
        <v>0</v>
      </c>
      <c r="I1098" s="31">
        <f>0+(20/100)*(-A1098+H1098)</f>
        <v>0</v>
      </c>
    </row>
    <row r="1099" spans="1:9" hidden="1" x14ac:dyDescent="0.2">
      <c r="A1099" s="31">
        <f>E1098</f>
        <v>12500</v>
      </c>
      <c r="B1099" s="31"/>
      <c r="C1099" s="31"/>
      <c r="D1099" s="31"/>
      <c r="E1099" s="31">
        <v>25000</v>
      </c>
      <c r="F1099" s="32"/>
      <c r="G1099" s="31"/>
      <c r="H1099" s="31">
        <f>IF(AND(H1074&gt;A1099, H1074&lt;=E1099),H1074,0)</f>
        <v>0</v>
      </c>
      <c r="I1099" s="31">
        <f>(12500/100*20)+((25/100)*(-A1099+H1099))</f>
        <v>-625</v>
      </c>
    </row>
    <row r="1100" spans="1:9" hidden="1" x14ac:dyDescent="0.2">
      <c r="A1100" s="31">
        <f>E1099</f>
        <v>25000</v>
      </c>
      <c r="B1100" s="31"/>
      <c r="C1100" s="31"/>
      <c r="D1100" s="31"/>
      <c r="E1100" s="31">
        <v>75000</v>
      </c>
      <c r="F1100" s="32"/>
      <c r="G1100" s="31"/>
      <c r="H1100" s="31">
        <f>IF(AND(H1074&gt;A1100, H1074&lt;=E1100),H1074,0)</f>
        <v>0</v>
      </c>
      <c r="I1100" s="31">
        <f>(12500/100*20)+(12500/100*25)+((35/100)*(-A1100+H1100))</f>
        <v>-3125</v>
      </c>
    </row>
    <row r="1101" spans="1:9" hidden="1" x14ac:dyDescent="0.2">
      <c r="A1101" s="31">
        <f>E1100</f>
        <v>75000</v>
      </c>
      <c r="B1101" s="31"/>
      <c r="C1101" s="31"/>
      <c r="D1101" s="31"/>
      <c r="E1101" s="31">
        <v>175000</v>
      </c>
      <c r="F1101" s="32"/>
      <c r="G1101" s="31"/>
      <c r="H1101" s="31">
        <f>IF(AND(H1074&gt;A1101, H1074&lt;=E1101),H1074,0)</f>
        <v>0</v>
      </c>
      <c r="I1101" s="31">
        <f>(12500/100*20)+(12500/100*25)+(50000/100*35)+((50/100)*(-A1101+H1101))</f>
        <v>-14375</v>
      </c>
    </row>
    <row r="1102" spans="1:9" hidden="1" x14ac:dyDescent="0.2">
      <c r="A1102" s="31">
        <f>E1101</f>
        <v>175000</v>
      </c>
      <c r="B1102" s="31"/>
      <c r="C1102" s="31"/>
      <c r="D1102" s="31"/>
      <c r="E1102" s="31">
        <v>999999999</v>
      </c>
      <c r="F1102" s="32"/>
      <c r="G1102" s="31"/>
      <c r="H1102" s="31">
        <f>IF(AND(H1074&gt;A1102, H1074&lt;=E1102),H1074,0)</f>
        <v>0</v>
      </c>
      <c r="I1102" s="31">
        <f>(12500/100*20)+(12500/100*25)+(50000/100*35)+(100000/100*50)+((65/100)*(-A1102+H1102))</f>
        <v>-40625</v>
      </c>
    </row>
    <row r="1103" spans="1:9" hidden="1" x14ac:dyDescent="0.2">
      <c r="A1103" s="45" t="s">
        <v>4</v>
      </c>
      <c r="B1103" s="45"/>
      <c r="C1103" s="45"/>
      <c r="D1103" s="45"/>
      <c r="E1103" s="31"/>
      <c r="F1103" s="32"/>
      <c r="G1103" s="31"/>
      <c r="H1103" s="31"/>
      <c r="I1103" s="31">
        <f>VLOOKUP(H1074,H1098:I1102,2,FALSE)</f>
        <v>0</v>
      </c>
    </row>
    <row r="1104" spans="1:9" hidden="1" x14ac:dyDescent="0.2"/>
    <row r="1105" spans="1:15" hidden="1" x14ac:dyDescent="0.2">
      <c r="E1105" s="28">
        <f>E986</f>
        <v>0</v>
      </c>
      <c r="F1105" s="29"/>
      <c r="G1105" s="28"/>
      <c r="H1105" s="28"/>
      <c r="I1105" s="28"/>
    </row>
    <row r="1106" spans="1:15" hidden="1" x14ac:dyDescent="0.2">
      <c r="E1106" s="28"/>
      <c r="F1106" s="29"/>
      <c r="G1106" s="28"/>
      <c r="H1106" s="28"/>
      <c r="I1106" s="28"/>
      <c r="N1106" s="31"/>
      <c r="O1106" s="44" t="s">
        <v>8</v>
      </c>
    </row>
    <row r="1107" spans="1:15" hidden="1" x14ac:dyDescent="0.2">
      <c r="E1107" s="28"/>
      <c r="F1107" s="29"/>
      <c r="G1107" s="28"/>
      <c r="H1107" s="28"/>
      <c r="I1107" s="28"/>
      <c r="N1107" s="31">
        <f>IF(AND(H1074&gt;K1109, H1074&lt;=M1109),H1074,0)</f>
        <v>0</v>
      </c>
      <c r="O1107" s="31">
        <f>0+(30/100)*(-K1109+N1107)</f>
        <v>0</v>
      </c>
    </row>
    <row r="1108" spans="1:15" hidden="1" x14ac:dyDescent="0.2">
      <c r="A1108" s="43" t="s">
        <v>22</v>
      </c>
      <c r="B1108" s="43"/>
      <c r="C1108" s="43"/>
      <c r="D1108" s="43"/>
      <c r="E1108" s="31"/>
      <c r="F1108" s="32"/>
      <c r="G1108" s="31"/>
      <c r="H1108" s="31"/>
      <c r="I1108" s="44" t="s">
        <v>7</v>
      </c>
      <c r="K1108" s="43" t="s">
        <v>23</v>
      </c>
      <c r="L1108" s="43"/>
      <c r="M1108" s="31"/>
      <c r="N1108" s="31">
        <f>IF(AND(H1074&gt;K1110, H1074&lt;=M1110),H1074,0)</f>
        <v>0</v>
      </c>
      <c r="O1108" s="31">
        <f>(12500/100*30)+((35/100)*(-K1110+N1108))</f>
        <v>-625</v>
      </c>
    </row>
    <row r="1109" spans="1:15" hidden="1" x14ac:dyDescent="0.2">
      <c r="A1109" s="31">
        <v>0</v>
      </c>
      <c r="B1109" s="31"/>
      <c r="C1109" s="31"/>
      <c r="D1109" s="31"/>
      <c r="E1109" s="31">
        <v>12500</v>
      </c>
      <c r="F1109" s="32"/>
      <c r="G1109" s="31"/>
      <c r="H1109" s="31">
        <f>IF(AND(H1074&gt;A1109, H1074&lt;=E1109),H1074,0)</f>
        <v>0</v>
      </c>
      <c r="I1109" s="31">
        <f>0+(25/100)*(-A1109+H1109)</f>
        <v>0</v>
      </c>
      <c r="K1109" s="31">
        <v>0</v>
      </c>
      <c r="L1109" s="31"/>
      <c r="M1109" s="31">
        <v>12500</v>
      </c>
      <c r="N1109" s="31">
        <f>IF(AND(H1074&gt;K1111, H1074&lt;=M1111),H1074,0)</f>
        <v>0</v>
      </c>
      <c r="O1109" s="31">
        <f>(12500/100*30)+(12500/100*35)+((60/100)*(-K1111+N1109))</f>
        <v>-6875</v>
      </c>
    </row>
    <row r="1110" spans="1:15" hidden="1" x14ac:dyDescent="0.2">
      <c r="A1110" s="31">
        <f>E1109</f>
        <v>12500</v>
      </c>
      <c r="B1110" s="31"/>
      <c r="C1110" s="31"/>
      <c r="D1110" s="31"/>
      <c r="E1110" s="31">
        <v>25000</v>
      </c>
      <c r="F1110" s="32"/>
      <c r="G1110" s="31"/>
      <c r="H1110" s="31">
        <f>IF(AND(H1074&gt;A1110, H1074&lt;=E1110),H1074,0)</f>
        <v>0</v>
      </c>
      <c r="I1110" s="31">
        <f>(12500/100*25)+((30/100)*(-A1110+H1110))</f>
        <v>-625</v>
      </c>
      <c r="K1110" s="31">
        <f>M1109</f>
        <v>12500</v>
      </c>
      <c r="L1110" s="31"/>
      <c r="M1110" s="31">
        <v>25000</v>
      </c>
      <c r="N1110" s="31">
        <f>IF(AND(H1074&gt;K1112, H1074&lt;=M1112),H1074,0)</f>
        <v>0</v>
      </c>
      <c r="O1110" s="31">
        <f>(12500/100*30)+(12500/100*35)+(50000/100*60)+((80/100)*(-K1112+N1110))</f>
        <v>-21875</v>
      </c>
    </row>
    <row r="1111" spans="1:15" hidden="1" x14ac:dyDescent="0.2">
      <c r="A1111" s="31">
        <f>E1110</f>
        <v>25000</v>
      </c>
      <c r="B1111" s="31"/>
      <c r="C1111" s="31"/>
      <c r="D1111" s="31"/>
      <c r="E1111" s="31">
        <v>75000</v>
      </c>
      <c r="F1111" s="32"/>
      <c r="G1111" s="31"/>
      <c r="H1111" s="31">
        <f>IF(AND(H1074&gt;A1111, H1074&lt;=E1111),H1074,0)</f>
        <v>0</v>
      </c>
      <c r="I1111" s="31">
        <f>(12500/100*25)+(12500/100*30)+((40/100)*(-A1111+H1111))</f>
        <v>-3125</v>
      </c>
      <c r="K1111" s="31">
        <f>M1110</f>
        <v>25000</v>
      </c>
      <c r="L1111" s="31"/>
      <c r="M1111" s="31">
        <v>75000</v>
      </c>
      <c r="N1111" s="31">
        <f>IF(AND(H1074&gt;K1113, H1074&lt;=M1113),H1074,0)</f>
        <v>0</v>
      </c>
      <c r="O1111" s="31">
        <f>(12500/100*30)+(12500/100*35)+(50000/100*60)+(100000/100*80)+((80/100)*(-K1113+N1111))</f>
        <v>-21875</v>
      </c>
    </row>
    <row r="1112" spans="1:15" hidden="1" x14ac:dyDescent="0.2">
      <c r="A1112" s="31">
        <f>E1111</f>
        <v>75000</v>
      </c>
      <c r="B1112" s="31"/>
      <c r="C1112" s="31"/>
      <c r="D1112" s="31"/>
      <c r="E1112" s="31">
        <v>175000</v>
      </c>
      <c r="F1112" s="32"/>
      <c r="G1112" s="31"/>
      <c r="H1112" s="31">
        <f>IF(AND(H1074&gt;A1112, H1074&lt;=E1112),H1074,0)</f>
        <v>0</v>
      </c>
      <c r="I1112" s="31">
        <f>(12500/100*25)+(12500/100*30)+(50000/100*40)+((55/100)*(-A1112+H1112))</f>
        <v>-14375</v>
      </c>
      <c r="K1112" s="31">
        <f>M1111</f>
        <v>75000</v>
      </c>
      <c r="L1112" s="31"/>
      <c r="M1112" s="31">
        <v>175000</v>
      </c>
      <c r="N1112" s="31"/>
      <c r="O1112" s="31">
        <f>VLOOKUP(H1074,N1107:O1111,2,FALSE)</f>
        <v>0</v>
      </c>
    </row>
    <row r="1113" spans="1:15" hidden="1" x14ac:dyDescent="0.2">
      <c r="A1113" s="31">
        <f>E1112</f>
        <v>175000</v>
      </c>
      <c r="B1113" s="31"/>
      <c r="C1113" s="31"/>
      <c r="D1113" s="31"/>
      <c r="E1113" s="31">
        <v>999999999</v>
      </c>
      <c r="F1113" s="32"/>
      <c r="G1113" s="31"/>
      <c r="H1113" s="31">
        <f>IF(AND(H1074&gt;A1113, H1074&lt;=E1113),H1074,0)</f>
        <v>0</v>
      </c>
      <c r="I1113" s="31">
        <f>(12500/100*25)+(12500/100*30)+(50000/100*40)+(100000/100*55)+((70/100)*(-A1113+H1113))</f>
        <v>-40624.999999999985</v>
      </c>
      <c r="K1113" s="31">
        <f>M1112</f>
        <v>175000</v>
      </c>
      <c r="L1113" s="31"/>
      <c r="M1113" s="31">
        <v>999999999</v>
      </c>
    </row>
    <row r="1114" spans="1:15" hidden="1" x14ac:dyDescent="0.2">
      <c r="A1114" s="45" t="s">
        <v>4</v>
      </c>
      <c r="B1114" s="45"/>
      <c r="C1114" s="45"/>
      <c r="D1114" s="45"/>
      <c r="E1114" s="31"/>
      <c r="F1114" s="32"/>
      <c r="G1114" s="31"/>
      <c r="H1114" s="31"/>
      <c r="I1114" s="31">
        <f>VLOOKUP(H1074,H1109:I1113,2,FALSE)</f>
        <v>0</v>
      </c>
      <c r="K1114" s="45" t="s">
        <v>4</v>
      </c>
      <c r="L1114" s="45"/>
      <c r="M1114" s="31"/>
    </row>
    <row r="1115" spans="1:15" hidden="1" x14ac:dyDescent="0.2"/>
    <row r="1116" spans="1:15" hidden="1" x14ac:dyDescent="0.2">
      <c r="E1116" s="5">
        <f>IF(A1117&gt;0,A1117-F1121,0)</f>
        <v>0</v>
      </c>
    </row>
    <row r="1117" spans="1:15" hidden="1" x14ac:dyDescent="0.2">
      <c r="A1117" s="5">
        <f>IF(AND(E17="oui",F62="ligne directe"),I1095,0)</f>
        <v>0</v>
      </c>
      <c r="E1117" s="5">
        <f>IF(E1116&gt;0,E1116,0)</f>
        <v>0</v>
      </c>
      <c r="F1117" s="5">
        <f>IF(AND(F62="ligne directe",H1074&lt;=125000,E17="oui"),250,0)</f>
        <v>0</v>
      </c>
      <c r="G1117" s="5">
        <f>IF(AND(F1117&gt;0,(I1095-F1117&gt;=0)),I1095-F1117,0)</f>
        <v>0</v>
      </c>
    </row>
    <row r="1118" spans="1:15" hidden="1" x14ac:dyDescent="0.2">
      <c r="A1118" s="5">
        <f>IF(AND(E17="oui",F62="épou(x)(se)"),I1095,0)</f>
        <v>0</v>
      </c>
      <c r="E1118" s="5">
        <f>IF(A1118&gt;0,A1118-F1121,0)</f>
        <v>0</v>
      </c>
      <c r="F1118" s="5">
        <f>IF(AND(F62="ligne directe",H1074&gt;125000,E17="oui"),125,0)</f>
        <v>0</v>
      </c>
      <c r="G1118" s="5">
        <f>IF(AND(F1118&gt;0,(I1095-F1118&gt;=0)),I1095-F1118,0)</f>
        <v>0</v>
      </c>
    </row>
    <row r="1119" spans="1:15" hidden="1" x14ac:dyDescent="0.2">
      <c r="A1119" s="5">
        <f>IF(AND(E17="non",F62="ligne directe"),I1086,0)</f>
        <v>0</v>
      </c>
      <c r="E1119" s="5">
        <f>IF(AND(E17="non",F62="ligne directe"),I1086,0)</f>
        <v>0</v>
      </c>
      <c r="F1119" s="5">
        <f>IF(AND(F62="épou(x)(se)",H1074&lt;=125000,E17="oui"),250,0)</f>
        <v>0</v>
      </c>
      <c r="G1119" s="5">
        <f>IF(AND(F1119&gt;0,(I1095-F1119&gt;=0)),I1095-F1119,0)</f>
        <v>0</v>
      </c>
    </row>
    <row r="1120" spans="1:15" hidden="1" x14ac:dyDescent="0.2">
      <c r="A1120" s="5">
        <f>IF(AND(E17="non",F62="épou(x)(se)"),I1086,0)</f>
        <v>0</v>
      </c>
      <c r="E1120" s="5">
        <f>IF(AND(E17="non",F62="épou(x)(se)"),I1086,0)</f>
        <v>0</v>
      </c>
      <c r="F1120" s="5">
        <f>IF(AND(F62="épou(x)(se)",H1074&gt;125000,E17="oui"),125,0)</f>
        <v>0</v>
      </c>
      <c r="G1120" s="5">
        <f>IF(AND(F1120&gt;0,(I1095-F1120&gt;=0)),I1095-F1120,0)</f>
        <v>0</v>
      </c>
    </row>
    <row r="1121" spans="1:11" hidden="1" x14ac:dyDescent="0.2">
      <c r="A1121" s="5">
        <f>IF(F62="frère/soeur",I1103,0)</f>
        <v>0</v>
      </c>
      <c r="E1121" s="5">
        <f>IF(F62="frère/soeur",I1103,0)</f>
        <v>0</v>
      </c>
      <c r="F1121" s="5">
        <f>SUM(F1117:F1120)</f>
        <v>0</v>
      </c>
      <c r="G1121" s="5">
        <f>SUM(G1117:G1120)</f>
        <v>0</v>
      </c>
    </row>
    <row r="1122" spans="1:11" hidden="1" x14ac:dyDescent="0.2">
      <c r="A1122" s="5">
        <f>IF(F62="oncle-tante/neveu-nièce",I1114,0)</f>
        <v>0</v>
      </c>
      <c r="E1122" s="5">
        <f>IF(F62="oncle-tante/neveu-nièce",I1114,0)</f>
        <v>0</v>
      </c>
      <c r="F1122" s="5"/>
    </row>
    <row r="1123" spans="1:11" hidden="1" x14ac:dyDescent="0.2">
      <c r="A1123" s="5">
        <f>IF(F62="étrangers",O1112,0)</f>
        <v>0</v>
      </c>
      <c r="E1123" s="5">
        <f>IF(F62="étrangers",O1112,0)</f>
        <v>0</v>
      </c>
      <c r="F1123" s="5"/>
    </row>
    <row r="1124" spans="1:11" hidden="1" x14ac:dyDescent="0.2">
      <c r="F1124" s="5"/>
    </row>
    <row r="1125" spans="1:11" hidden="1" x14ac:dyDescent="0.2">
      <c r="A1125" s="5">
        <f>SUM(A1117:A1124)</f>
        <v>0</v>
      </c>
      <c r="E1125" s="5">
        <f>SUM(E1117:E1124)</f>
        <v>0</v>
      </c>
      <c r="F1125" s="5"/>
    </row>
    <row r="1126" spans="1:11" hidden="1" x14ac:dyDescent="0.2">
      <c r="F1126" s="5"/>
    </row>
    <row r="1127" spans="1:11" hidden="1" x14ac:dyDescent="0.2">
      <c r="F1127" s="5"/>
    </row>
    <row r="1128" spans="1:11" hidden="1" x14ac:dyDescent="0.2">
      <c r="A1128" s="5" t="s">
        <v>93</v>
      </c>
      <c r="E1128" s="5" t="s">
        <v>100</v>
      </c>
      <c r="F1128" s="5"/>
    </row>
    <row r="1129" spans="1:11" hidden="1" x14ac:dyDescent="0.2">
      <c r="F1129" s="5"/>
    </row>
    <row r="1130" spans="1:11" hidden="1" x14ac:dyDescent="0.2">
      <c r="A1130" s="5" t="s">
        <v>93</v>
      </c>
      <c r="E1130" s="5">
        <f>IF(I62=3,E1125*12%,0)</f>
        <v>0</v>
      </c>
      <c r="F1130" s="5">
        <f>IF(E1130&gt;372,372,E1130)</f>
        <v>0</v>
      </c>
      <c r="H1130" s="5" t="s">
        <v>26</v>
      </c>
      <c r="I1130" s="5">
        <f>6%*E1125</f>
        <v>0</v>
      </c>
      <c r="J1130" s="5">
        <f>IF(I1130&gt;186,186,I1130)</f>
        <v>0</v>
      </c>
      <c r="K1130" s="5">
        <f>IF(I62=3,J1130,0)</f>
        <v>0</v>
      </c>
    </row>
    <row r="1131" spans="1:11" hidden="1" x14ac:dyDescent="0.2">
      <c r="E1131" s="5">
        <f>IF(I62=4,E1125*16%,0)</f>
        <v>0</v>
      </c>
      <c r="F1131" s="5">
        <f>IF(E1131&gt;496,496,E1131)</f>
        <v>0</v>
      </c>
      <c r="H1131" s="5" t="s">
        <v>27</v>
      </c>
      <c r="I1131" s="5">
        <f>8%*E1125</f>
        <v>0</v>
      </c>
      <c r="J1131" s="5">
        <f>IF(I1131&gt;248,248,I1131)</f>
        <v>0</v>
      </c>
      <c r="K1131" s="5">
        <f>IF(I62=4,J1131,0)</f>
        <v>0</v>
      </c>
    </row>
    <row r="1132" spans="1:11" hidden="1" x14ac:dyDescent="0.2">
      <c r="E1132" s="5">
        <f>IF(I62=5,E1125*20%,0)</f>
        <v>0</v>
      </c>
      <c r="F1132" s="5">
        <f>IF(E1132&gt;620,620,E1132)</f>
        <v>0</v>
      </c>
      <c r="I1132" s="5">
        <f>10%*E1125</f>
        <v>0</v>
      </c>
      <c r="J1132" s="5">
        <f>IF(I1132&gt;310,310,I1132)</f>
        <v>0</v>
      </c>
      <c r="K1132" s="5">
        <f>IF(I62=5,J1132,0)</f>
        <v>0</v>
      </c>
    </row>
    <row r="1133" spans="1:11" hidden="1" x14ac:dyDescent="0.2">
      <c r="E1133" s="5">
        <f>IF(I62=6,E1125*24%,0)</f>
        <v>0</v>
      </c>
      <c r="F1133" s="5">
        <f>IF(E1133&gt;744,744,E1133)</f>
        <v>0</v>
      </c>
      <c r="I1133" s="5">
        <f>12%*E1125</f>
        <v>0</v>
      </c>
      <c r="J1133" s="5">
        <f>IF(I1133&gt;372,372,I1133)</f>
        <v>0</v>
      </c>
      <c r="K1133" s="5">
        <f>IF(I62=6,J1133,0)</f>
        <v>0</v>
      </c>
    </row>
    <row r="1134" spans="1:11" hidden="1" x14ac:dyDescent="0.2">
      <c r="E1134" s="5">
        <f>IF(I62=7,E1125*28%,0)</f>
        <v>0</v>
      </c>
      <c r="F1134" s="5">
        <f>IF(E1134&gt;868,868,E1134)</f>
        <v>0</v>
      </c>
      <c r="I1134" s="5">
        <f>14%*E1125</f>
        <v>0</v>
      </c>
      <c r="J1134" s="5">
        <f>IF(I1134&gt;434,434,I1134)</f>
        <v>0</v>
      </c>
      <c r="K1134" s="5">
        <f>IF(I62=7,J1134,0)</f>
        <v>0</v>
      </c>
    </row>
    <row r="1135" spans="1:11" hidden="1" x14ac:dyDescent="0.2">
      <c r="E1135" s="5">
        <f>IF(I62=8,E1125*32%,0)</f>
        <v>0</v>
      </c>
      <c r="F1135" s="5">
        <f>IF(E1135&gt;992,992,E1135)</f>
        <v>0</v>
      </c>
      <c r="I1135" s="5">
        <f>16%*E1125</f>
        <v>0</v>
      </c>
      <c r="J1135" s="5">
        <f>IF(I1135&gt;496,496,I1135)</f>
        <v>0</v>
      </c>
      <c r="K1135" s="5">
        <f>IF(I62=8,J1135,0)</f>
        <v>0</v>
      </c>
    </row>
    <row r="1136" spans="1:11" hidden="1" x14ac:dyDescent="0.2">
      <c r="E1136" s="5">
        <f>IF(I62=9,E1125*36%,0)</f>
        <v>0</v>
      </c>
      <c r="F1136" s="5">
        <f>IF(E1136&gt;1116,1116,E1136)</f>
        <v>0</v>
      </c>
      <c r="I1136" s="5">
        <f>18%*E1125</f>
        <v>0</v>
      </c>
      <c r="J1136" s="5">
        <f>IF(I1136&gt;558,558,I1136)</f>
        <v>0</v>
      </c>
      <c r="K1136" s="5">
        <f>IF(I62=9,J1136,0)</f>
        <v>0</v>
      </c>
    </row>
    <row r="1137" spans="1:11" hidden="1" x14ac:dyDescent="0.2">
      <c r="E1137" s="5">
        <f>IF(I62=10,E1125*40%,0)</f>
        <v>0</v>
      </c>
      <c r="F1137" s="5">
        <f>IF(E1137&gt;1240,1240,E1137)</f>
        <v>0</v>
      </c>
      <c r="I1137" s="5">
        <f>20%*E1125</f>
        <v>0</v>
      </c>
      <c r="J1137" s="5">
        <f>IF(I1137&gt;620,620,I1137)</f>
        <v>0</v>
      </c>
      <c r="K1137" s="5">
        <f>IF(I62=10,J1137,0)</f>
        <v>0</v>
      </c>
    </row>
    <row r="1138" spans="1:11" hidden="1" x14ac:dyDescent="0.2">
      <c r="F1138" s="5"/>
    </row>
    <row r="1139" spans="1:11" hidden="1" x14ac:dyDescent="0.2">
      <c r="F1139" s="5">
        <f>SUM(F1130:F1138)</f>
        <v>0</v>
      </c>
      <c r="K1139" s="5">
        <f>SUM(K1130:K1138)</f>
        <v>0</v>
      </c>
    </row>
    <row r="1140" spans="1:11" hidden="1" x14ac:dyDescent="0.2"/>
    <row r="1141" spans="1:11" hidden="1" x14ac:dyDescent="0.2"/>
    <row r="1142" spans="1:11" hidden="1" x14ac:dyDescent="0.2"/>
    <row r="1143" spans="1:11" hidden="1" x14ac:dyDescent="0.2">
      <c r="A1143" s="5" t="s">
        <v>33</v>
      </c>
      <c r="E1143" s="20">
        <f>E1125-F1139</f>
        <v>0</v>
      </c>
      <c r="G1143" s="5" t="s">
        <v>34</v>
      </c>
      <c r="H1143" s="47">
        <f>E1125-K1139</f>
        <v>0</v>
      </c>
    </row>
    <row r="1144" spans="1:11" hidden="1" x14ac:dyDescent="0.2"/>
    <row r="1145" spans="1:11" hidden="1" x14ac:dyDescent="0.2"/>
    <row r="1146" spans="1:11" hidden="1" x14ac:dyDescent="0.2"/>
    <row r="1147" spans="1:11" hidden="1" x14ac:dyDescent="0.2"/>
    <row r="1148" spans="1:11" hidden="1" x14ac:dyDescent="0.2"/>
    <row r="1149" spans="1:11" hidden="1" x14ac:dyDescent="0.2"/>
    <row r="1150" spans="1:11" hidden="1" x14ac:dyDescent="0.2"/>
    <row r="1151" spans="1:11" hidden="1" x14ac:dyDescent="0.2"/>
    <row r="1152" spans="1:11" hidden="1" x14ac:dyDescent="0.2"/>
    <row r="1153" hidden="1" x14ac:dyDescent="0.2"/>
    <row r="1154" hidden="1" x14ac:dyDescent="0.2"/>
    <row r="1155" hidden="1" x14ac:dyDescent="0.2"/>
    <row r="1156" hidden="1" x14ac:dyDescent="0.2"/>
    <row r="1157" hidden="1" x14ac:dyDescent="0.2"/>
    <row r="1158" hidden="1" x14ac:dyDescent="0.2"/>
    <row r="1159" hidden="1" x14ac:dyDescent="0.2"/>
    <row r="1160" hidden="1" x14ac:dyDescent="0.2"/>
    <row r="1161" hidden="1" x14ac:dyDescent="0.2"/>
    <row r="1162" hidden="1" x14ac:dyDescent="0.2"/>
    <row r="1163" hidden="1" x14ac:dyDescent="0.2"/>
    <row r="1164" hidden="1" x14ac:dyDescent="0.2"/>
    <row r="1165" hidden="1" x14ac:dyDescent="0.2"/>
    <row r="1166" hidden="1" x14ac:dyDescent="0.2"/>
    <row r="1167" hidden="1" x14ac:dyDescent="0.2"/>
    <row r="1168" hidden="1" x14ac:dyDescent="0.2"/>
    <row r="1169" hidden="1" x14ac:dyDescent="0.2"/>
    <row r="1170" hidden="1" x14ac:dyDescent="0.2"/>
    <row r="1171" hidden="1" x14ac:dyDescent="0.2"/>
    <row r="1172" hidden="1" x14ac:dyDescent="0.2"/>
    <row r="1173" hidden="1" x14ac:dyDescent="0.2"/>
    <row r="1174" hidden="1" x14ac:dyDescent="0.2"/>
    <row r="1175" hidden="1" x14ac:dyDescent="0.2"/>
    <row r="1176" hidden="1" x14ac:dyDescent="0.2"/>
    <row r="1177" hidden="1" x14ac:dyDescent="0.2"/>
    <row r="1178" hidden="1" x14ac:dyDescent="0.2"/>
    <row r="1179" hidden="1" x14ac:dyDescent="0.2"/>
    <row r="1180" hidden="1" x14ac:dyDescent="0.2"/>
    <row r="1181" hidden="1" x14ac:dyDescent="0.2"/>
    <row r="1182" hidden="1" x14ac:dyDescent="0.2"/>
    <row r="1183" hidden="1" x14ac:dyDescent="0.2"/>
    <row r="1184" hidden="1" x14ac:dyDescent="0.2"/>
    <row r="1185" hidden="1" x14ac:dyDescent="0.2"/>
    <row r="1186" hidden="1" x14ac:dyDescent="0.2"/>
    <row r="1187" hidden="1" x14ac:dyDescent="0.2"/>
    <row r="1188" hidden="1" x14ac:dyDescent="0.2"/>
    <row r="1189" hidden="1" x14ac:dyDescent="0.2"/>
    <row r="1190" hidden="1" x14ac:dyDescent="0.2"/>
    <row r="1191" hidden="1" x14ac:dyDescent="0.2"/>
    <row r="1192" hidden="1" x14ac:dyDescent="0.2"/>
    <row r="1193" hidden="1" x14ac:dyDescent="0.2"/>
    <row r="1194" hidden="1" x14ac:dyDescent="0.2"/>
    <row r="1195" hidden="1" x14ac:dyDescent="0.2"/>
    <row r="1196" hidden="1" x14ac:dyDescent="0.2"/>
    <row r="1197" hidden="1" x14ac:dyDescent="0.2"/>
    <row r="1198" hidden="1" x14ac:dyDescent="0.2"/>
    <row r="1199" hidden="1" x14ac:dyDescent="0.2"/>
    <row r="1200" hidden="1" x14ac:dyDescent="0.2"/>
    <row r="1201" hidden="1" x14ac:dyDescent="0.2"/>
    <row r="1202" hidden="1" x14ac:dyDescent="0.2"/>
    <row r="1203" hidden="1" x14ac:dyDescent="0.2"/>
    <row r="1204" hidden="1" x14ac:dyDescent="0.2"/>
    <row r="1205" hidden="1" x14ac:dyDescent="0.2"/>
    <row r="1206" hidden="1" x14ac:dyDescent="0.2"/>
    <row r="1207" hidden="1" x14ac:dyDescent="0.2"/>
    <row r="1208" hidden="1" x14ac:dyDescent="0.2"/>
    <row r="1209" hidden="1" x14ac:dyDescent="0.2"/>
    <row r="1210" hidden="1" x14ac:dyDescent="0.2"/>
    <row r="1211" hidden="1" x14ac:dyDescent="0.2"/>
    <row r="1212" hidden="1" x14ac:dyDescent="0.2"/>
    <row r="1213" hidden="1" x14ac:dyDescent="0.2"/>
    <row r="1214" hidden="1" x14ac:dyDescent="0.2"/>
    <row r="1215" hidden="1" x14ac:dyDescent="0.2"/>
    <row r="1216" hidden="1" x14ac:dyDescent="0.2"/>
    <row r="1217" hidden="1" x14ac:dyDescent="0.2"/>
    <row r="1218" hidden="1" x14ac:dyDescent="0.2"/>
    <row r="1219" hidden="1" x14ac:dyDescent="0.2"/>
    <row r="1220" hidden="1" x14ac:dyDescent="0.2"/>
    <row r="1221" hidden="1" x14ac:dyDescent="0.2"/>
    <row r="1222" hidden="1" x14ac:dyDescent="0.2"/>
    <row r="1223" hidden="1" x14ac:dyDescent="0.2"/>
    <row r="1224" hidden="1" x14ac:dyDescent="0.2"/>
    <row r="1225" hidden="1" x14ac:dyDescent="0.2"/>
    <row r="1226" hidden="1" x14ac:dyDescent="0.2"/>
    <row r="1227" hidden="1" x14ac:dyDescent="0.2"/>
    <row r="1228" hidden="1" x14ac:dyDescent="0.2"/>
    <row r="1229" hidden="1" x14ac:dyDescent="0.2"/>
    <row r="1230" hidden="1" x14ac:dyDescent="0.2"/>
    <row r="1231" hidden="1" x14ac:dyDescent="0.2"/>
    <row r="1232" hidden="1" x14ac:dyDescent="0.2"/>
    <row r="1233" hidden="1" x14ac:dyDescent="0.2"/>
    <row r="1234" hidden="1" x14ac:dyDescent="0.2"/>
    <row r="1235" hidden="1" x14ac:dyDescent="0.2"/>
    <row r="1236" hidden="1" x14ac:dyDescent="0.2"/>
    <row r="1237" hidden="1" x14ac:dyDescent="0.2"/>
    <row r="1238" hidden="1" x14ac:dyDescent="0.2"/>
    <row r="1239" hidden="1" x14ac:dyDescent="0.2"/>
    <row r="1240" hidden="1" x14ac:dyDescent="0.2"/>
    <row r="1241" hidden="1" x14ac:dyDescent="0.2"/>
    <row r="1242" hidden="1" x14ac:dyDescent="0.2"/>
    <row r="1243" hidden="1" x14ac:dyDescent="0.2"/>
    <row r="1244" hidden="1" x14ac:dyDescent="0.2"/>
    <row r="1245" hidden="1" x14ac:dyDescent="0.2"/>
    <row r="1246" hidden="1" x14ac:dyDescent="0.2"/>
    <row r="1247" hidden="1" x14ac:dyDescent="0.2"/>
    <row r="1248" hidden="1" x14ac:dyDescent="0.2"/>
    <row r="1249" hidden="1" x14ac:dyDescent="0.2"/>
    <row r="1250" hidden="1" x14ac:dyDescent="0.2"/>
    <row r="1251" hidden="1" x14ac:dyDescent="0.2"/>
    <row r="1252" hidden="1" x14ac:dyDescent="0.2"/>
    <row r="1253" hidden="1" x14ac:dyDescent="0.2"/>
    <row r="1254" hidden="1" x14ac:dyDescent="0.2"/>
    <row r="1255" hidden="1" x14ac:dyDescent="0.2"/>
    <row r="1256" hidden="1" x14ac:dyDescent="0.2"/>
    <row r="1257" hidden="1" x14ac:dyDescent="0.2"/>
    <row r="1258" hidden="1" x14ac:dyDescent="0.2"/>
    <row r="1259" hidden="1" x14ac:dyDescent="0.2"/>
    <row r="1260" hidden="1" x14ac:dyDescent="0.2"/>
    <row r="1261" hidden="1" x14ac:dyDescent="0.2"/>
    <row r="1262" hidden="1" x14ac:dyDescent="0.2"/>
    <row r="1263" hidden="1" x14ac:dyDescent="0.2"/>
    <row r="1264" hidden="1" x14ac:dyDescent="0.2"/>
    <row r="1265" hidden="1" x14ac:dyDescent="0.2"/>
    <row r="1266" hidden="1" x14ac:dyDescent="0.2"/>
    <row r="1267" hidden="1" x14ac:dyDescent="0.2"/>
    <row r="1268" hidden="1" x14ac:dyDescent="0.2"/>
    <row r="1269" hidden="1" x14ac:dyDescent="0.2"/>
    <row r="1270" hidden="1" x14ac:dyDescent="0.2"/>
    <row r="1271" hidden="1" x14ac:dyDescent="0.2"/>
    <row r="1272" hidden="1" x14ac:dyDescent="0.2"/>
    <row r="1273" hidden="1" x14ac:dyDescent="0.2"/>
    <row r="1274" hidden="1" x14ac:dyDescent="0.2"/>
    <row r="1275" hidden="1" x14ac:dyDescent="0.2"/>
    <row r="1276" hidden="1" x14ac:dyDescent="0.2"/>
    <row r="1277" hidden="1" x14ac:dyDescent="0.2"/>
    <row r="1278" hidden="1" x14ac:dyDescent="0.2"/>
    <row r="1279" hidden="1" x14ac:dyDescent="0.2"/>
    <row r="1280" hidden="1" x14ac:dyDescent="0.2"/>
    <row r="1281" hidden="1" x14ac:dyDescent="0.2"/>
    <row r="1282" hidden="1" x14ac:dyDescent="0.2"/>
    <row r="1283" hidden="1" x14ac:dyDescent="0.2"/>
    <row r="1284" hidden="1" x14ac:dyDescent="0.2"/>
    <row r="1285" hidden="1" x14ac:dyDescent="0.2"/>
    <row r="1286" hidden="1" x14ac:dyDescent="0.2"/>
    <row r="1287" hidden="1" x14ac:dyDescent="0.2"/>
    <row r="1288" hidden="1" x14ac:dyDescent="0.2"/>
    <row r="1289" hidden="1" x14ac:dyDescent="0.2"/>
    <row r="1290" hidden="1" x14ac:dyDescent="0.2"/>
    <row r="1291" hidden="1" x14ac:dyDescent="0.2"/>
    <row r="1292" hidden="1" x14ac:dyDescent="0.2"/>
    <row r="1293" hidden="1" x14ac:dyDescent="0.2"/>
    <row r="1294" hidden="1" x14ac:dyDescent="0.2"/>
    <row r="1295" hidden="1" x14ac:dyDescent="0.2"/>
    <row r="1296" hidden="1" x14ac:dyDescent="0.2"/>
    <row r="1297" hidden="1" x14ac:dyDescent="0.2"/>
    <row r="1298" hidden="1" x14ac:dyDescent="0.2"/>
    <row r="1299" hidden="1" x14ac:dyDescent="0.2"/>
    <row r="1300" hidden="1" x14ac:dyDescent="0.2"/>
    <row r="1301" hidden="1" x14ac:dyDescent="0.2"/>
    <row r="1302" hidden="1" x14ac:dyDescent="0.2"/>
    <row r="1303" hidden="1" x14ac:dyDescent="0.2"/>
    <row r="1304" hidden="1" x14ac:dyDescent="0.2"/>
    <row r="1305" hidden="1" x14ac:dyDescent="0.2"/>
    <row r="1306" hidden="1" x14ac:dyDescent="0.2"/>
    <row r="1307" hidden="1" x14ac:dyDescent="0.2"/>
    <row r="1308" hidden="1" x14ac:dyDescent="0.2"/>
    <row r="1309" hidden="1" x14ac:dyDescent="0.2"/>
    <row r="1310" hidden="1" x14ac:dyDescent="0.2"/>
    <row r="1311" hidden="1" x14ac:dyDescent="0.2"/>
    <row r="1312" hidden="1" x14ac:dyDescent="0.2"/>
    <row r="1313" hidden="1" x14ac:dyDescent="0.2"/>
    <row r="1314" hidden="1" x14ac:dyDescent="0.2"/>
    <row r="1315" hidden="1" x14ac:dyDescent="0.2"/>
    <row r="1316" hidden="1" x14ac:dyDescent="0.2"/>
    <row r="1317" hidden="1" x14ac:dyDescent="0.2"/>
    <row r="1318" hidden="1" x14ac:dyDescent="0.2"/>
    <row r="1319" hidden="1" x14ac:dyDescent="0.2"/>
    <row r="1320" hidden="1" x14ac:dyDescent="0.2"/>
    <row r="1321" hidden="1" x14ac:dyDescent="0.2"/>
    <row r="1322" hidden="1" x14ac:dyDescent="0.2"/>
    <row r="1323" hidden="1" x14ac:dyDescent="0.2"/>
    <row r="1324" hidden="1" x14ac:dyDescent="0.2"/>
    <row r="1325" hidden="1" x14ac:dyDescent="0.2"/>
    <row r="1326" hidden="1" x14ac:dyDescent="0.2"/>
    <row r="1327" hidden="1" x14ac:dyDescent="0.2"/>
    <row r="1328" hidden="1" x14ac:dyDescent="0.2"/>
    <row r="1329" hidden="1" x14ac:dyDescent="0.2"/>
    <row r="1330" hidden="1" x14ac:dyDescent="0.2"/>
    <row r="1331" hidden="1" x14ac:dyDescent="0.2"/>
    <row r="1332" hidden="1" x14ac:dyDescent="0.2"/>
    <row r="1333" hidden="1" x14ac:dyDescent="0.2"/>
    <row r="1334" hidden="1" x14ac:dyDescent="0.2"/>
    <row r="1335" hidden="1" x14ac:dyDescent="0.2"/>
    <row r="1336" hidden="1" x14ac:dyDescent="0.2"/>
    <row r="1337" hidden="1" x14ac:dyDescent="0.2"/>
    <row r="1338" hidden="1" x14ac:dyDescent="0.2"/>
    <row r="1339" hidden="1" x14ac:dyDescent="0.2"/>
    <row r="1340" hidden="1" x14ac:dyDescent="0.2"/>
    <row r="1341" hidden="1" x14ac:dyDescent="0.2"/>
    <row r="1342" hidden="1" x14ac:dyDescent="0.2"/>
    <row r="1343" hidden="1" x14ac:dyDescent="0.2"/>
    <row r="1344" hidden="1" x14ac:dyDescent="0.2"/>
    <row r="1345" hidden="1" x14ac:dyDescent="0.2"/>
    <row r="1346" hidden="1" x14ac:dyDescent="0.2"/>
    <row r="1347" hidden="1" x14ac:dyDescent="0.2"/>
    <row r="1348" hidden="1" x14ac:dyDescent="0.2"/>
    <row r="1349" hidden="1" x14ac:dyDescent="0.2"/>
    <row r="1350" hidden="1" x14ac:dyDescent="0.2"/>
    <row r="1351" hidden="1" x14ac:dyDescent="0.2"/>
    <row r="1352" hidden="1" x14ac:dyDescent="0.2"/>
    <row r="1353" hidden="1" x14ac:dyDescent="0.2"/>
    <row r="1354" hidden="1" x14ac:dyDescent="0.2"/>
    <row r="1355" hidden="1" x14ac:dyDescent="0.2"/>
    <row r="1356" hidden="1" x14ac:dyDescent="0.2"/>
    <row r="1357" hidden="1" x14ac:dyDescent="0.2"/>
    <row r="1358" hidden="1" x14ac:dyDescent="0.2"/>
    <row r="1359" hidden="1" x14ac:dyDescent="0.2"/>
    <row r="1360" hidden="1" x14ac:dyDescent="0.2"/>
    <row r="1361" hidden="1" x14ac:dyDescent="0.2"/>
    <row r="1362" hidden="1" x14ac:dyDescent="0.2"/>
    <row r="1363" hidden="1" x14ac:dyDescent="0.2"/>
    <row r="1364" hidden="1" x14ac:dyDescent="0.2"/>
    <row r="1365" hidden="1" x14ac:dyDescent="0.2"/>
    <row r="1366" hidden="1" x14ac:dyDescent="0.2"/>
    <row r="1367" hidden="1" x14ac:dyDescent="0.2"/>
    <row r="1368" hidden="1" x14ac:dyDescent="0.2"/>
    <row r="1369" hidden="1" x14ac:dyDescent="0.2"/>
    <row r="1370" hidden="1" x14ac:dyDescent="0.2"/>
    <row r="1371" hidden="1" x14ac:dyDescent="0.2"/>
    <row r="1372" hidden="1" x14ac:dyDescent="0.2"/>
    <row r="1373" hidden="1" x14ac:dyDescent="0.2"/>
    <row r="1374" hidden="1" x14ac:dyDescent="0.2"/>
    <row r="1375" hidden="1" x14ac:dyDescent="0.2"/>
    <row r="1376" hidden="1" x14ac:dyDescent="0.2"/>
    <row r="1377" hidden="1" x14ac:dyDescent="0.2"/>
    <row r="1378" hidden="1" x14ac:dyDescent="0.2"/>
    <row r="1379" hidden="1" x14ac:dyDescent="0.2"/>
    <row r="1380" hidden="1" x14ac:dyDescent="0.2"/>
    <row r="1381" hidden="1" x14ac:dyDescent="0.2"/>
    <row r="1382" hidden="1" x14ac:dyDescent="0.2"/>
    <row r="1383" hidden="1" x14ac:dyDescent="0.2"/>
    <row r="1384" hidden="1" x14ac:dyDescent="0.2"/>
    <row r="1385" hidden="1" x14ac:dyDescent="0.2"/>
    <row r="1386" hidden="1" x14ac:dyDescent="0.2"/>
    <row r="1387" hidden="1" x14ac:dyDescent="0.2"/>
    <row r="1388" hidden="1" x14ac:dyDescent="0.2"/>
    <row r="1389" hidden="1" x14ac:dyDescent="0.2"/>
    <row r="1390" hidden="1" x14ac:dyDescent="0.2"/>
    <row r="1391" hidden="1" x14ac:dyDescent="0.2"/>
    <row r="1392" hidden="1" x14ac:dyDescent="0.2"/>
    <row r="1393" hidden="1" x14ac:dyDescent="0.2"/>
    <row r="1394" hidden="1" x14ac:dyDescent="0.2"/>
    <row r="1395" hidden="1" x14ac:dyDescent="0.2"/>
    <row r="1396" hidden="1" x14ac:dyDescent="0.2"/>
    <row r="1397" hidden="1" x14ac:dyDescent="0.2"/>
    <row r="1398" hidden="1" x14ac:dyDescent="0.2"/>
    <row r="1399" hidden="1" x14ac:dyDescent="0.2"/>
    <row r="1400" hidden="1" x14ac:dyDescent="0.2"/>
    <row r="1401" hidden="1" x14ac:dyDescent="0.2"/>
    <row r="1402" hidden="1" x14ac:dyDescent="0.2"/>
    <row r="1403" hidden="1" x14ac:dyDescent="0.2"/>
    <row r="1404" hidden="1" x14ac:dyDescent="0.2"/>
    <row r="1405" hidden="1" x14ac:dyDescent="0.2"/>
    <row r="1406" hidden="1" x14ac:dyDescent="0.2"/>
    <row r="1407" hidden="1" x14ac:dyDescent="0.2"/>
    <row r="1408" hidden="1" x14ac:dyDescent="0.2"/>
    <row r="1409" hidden="1" x14ac:dyDescent="0.2"/>
    <row r="1410" hidden="1" x14ac:dyDescent="0.2"/>
    <row r="1411" hidden="1" x14ac:dyDescent="0.2"/>
    <row r="1412" hidden="1" x14ac:dyDescent="0.2"/>
    <row r="1413" hidden="1" x14ac:dyDescent="0.2"/>
    <row r="1414" hidden="1" x14ac:dyDescent="0.2"/>
    <row r="1415" hidden="1" x14ac:dyDescent="0.2"/>
    <row r="1416" hidden="1" x14ac:dyDescent="0.2"/>
    <row r="1417" hidden="1" x14ac:dyDescent="0.2"/>
    <row r="1418" hidden="1" x14ac:dyDescent="0.2"/>
    <row r="1419" hidden="1" x14ac:dyDescent="0.2"/>
    <row r="1420" hidden="1" x14ac:dyDescent="0.2"/>
    <row r="1421" hidden="1" x14ac:dyDescent="0.2"/>
    <row r="1422" hidden="1" x14ac:dyDescent="0.2"/>
    <row r="1423" hidden="1" x14ac:dyDescent="0.2"/>
    <row r="1424" hidden="1" x14ac:dyDescent="0.2"/>
    <row r="1425" hidden="1" x14ac:dyDescent="0.2"/>
    <row r="1426" hidden="1" x14ac:dyDescent="0.2"/>
    <row r="1427" hidden="1" x14ac:dyDescent="0.2"/>
    <row r="1428" hidden="1" x14ac:dyDescent="0.2"/>
    <row r="1429" hidden="1" x14ac:dyDescent="0.2"/>
    <row r="1430" hidden="1" x14ac:dyDescent="0.2"/>
    <row r="1431" hidden="1" x14ac:dyDescent="0.2"/>
    <row r="1432" hidden="1" x14ac:dyDescent="0.2"/>
    <row r="1433" hidden="1" x14ac:dyDescent="0.2"/>
    <row r="1434" hidden="1" x14ac:dyDescent="0.2"/>
    <row r="1435" hidden="1" x14ac:dyDescent="0.2"/>
    <row r="1436" hidden="1" x14ac:dyDescent="0.2"/>
    <row r="1437" hidden="1" x14ac:dyDescent="0.2"/>
    <row r="1438" hidden="1" x14ac:dyDescent="0.2"/>
    <row r="1439" hidden="1" x14ac:dyDescent="0.2"/>
    <row r="1440" hidden="1" x14ac:dyDescent="0.2"/>
    <row r="1441" hidden="1" x14ac:dyDescent="0.2"/>
    <row r="1442" hidden="1" x14ac:dyDescent="0.2"/>
    <row r="1443" hidden="1" x14ac:dyDescent="0.2"/>
    <row r="1444" hidden="1" x14ac:dyDescent="0.2"/>
    <row r="1445" hidden="1" x14ac:dyDescent="0.2"/>
    <row r="1446" hidden="1" x14ac:dyDescent="0.2"/>
    <row r="1447" hidden="1" x14ac:dyDescent="0.2"/>
    <row r="1448" hidden="1" x14ac:dyDescent="0.2"/>
    <row r="1449" hidden="1" x14ac:dyDescent="0.2"/>
    <row r="1450" hidden="1" x14ac:dyDescent="0.2"/>
    <row r="1451" hidden="1" x14ac:dyDescent="0.2"/>
    <row r="1452" hidden="1" x14ac:dyDescent="0.2"/>
    <row r="1453" hidden="1" x14ac:dyDescent="0.2"/>
    <row r="1454" hidden="1" x14ac:dyDescent="0.2"/>
    <row r="1455" hidden="1" x14ac:dyDescent="0.2"/>
    <row r="1456" hidden="1" x14ac:dyDescent="0.2"/>
    <row r="1457" hidden="1" x14ac:dyDescent="0.2"/>
    <row r="1458" hidden="1" x14ac:dyDescent="0.2"/>
    <row r="1459" hidden="1" x14ac:dyDescent="0.2"/>
    <row r="1460" hidden="1" x14ac:dyDescent="0.2"/>
    <row r="1461" hidden="1" x14ac:dyDescent="0.2"/>
    <row r="1462" hidden="1" x14ac:dyDescent="0.2"/>
    <row r="1463" hidden="1" x14ac:dyDescent="0.2"/>
    <row r="1464" hidden="1" x14ac:dyDescent="0.2"/>
    <row r="1465" hidden="1" x14ac:dyDescent="0.2"/>
    <row r="1466" hidden="1" x14ac:dyDescent="0.2"/>
    <row r="1467" hidden="1" x14ac:dyDescent="0.2"/>
    <row r="1468" hidden="1" x14ac:dyDescent="0.2"/>
    <row r="1469" hidden="1" x14ac:dyDescent="0.2"/>
    <row r="1470" hidden="1" x14ac:dyDescent="0.2"/>
    <row r="1471" hidden="1" x14ac:dyDescent="0.2"/>
    <row r="1472" hidden="1" x14ac:dyDescent="0.2"/>
    <row r="1473" hidden="1" x14ac:dyDescent="0.2"/>
    <row r="1474" hidden="1" x14ac:dyDescent="0.2"/>
    <row r="1475" hidden="1" x14ac:dyDescent="0.2"/>
    <row r="1476" hidden="1" x14ac:dyDescent="0.2"/>
    <row r="1477" hidden="1" x14ac:dyDescent="0.2"/>
    <row r="1478" hidden="1" x14ac:dyDescent="0.2"/>
    <row r="1479" hidden="1" x14ac:dyDescent="0.2"/>
    <row r="1480" hidden="1" x14ac:dyDescent="0.2"/>
    <row r="1481" hidden="1" x14ac:dyDescent="0.2"/>
    <row r="1482" hidden="1" x14ac:dyDescent="0.2"/>
    <row r="1483" hidden="1" x14ac:dyDescent="0.2"/>
    <row r="1484" hidden="1" x14ac:dyDescent="0.2"/>
    <row r="1485" hidden="1" x14ac:dyDescent="0.2"/>
    <row r="1486" hidden="1" x14ac:dyDescent="0.2"/>
    <row r="1487" hidden="1" x14ac:dyDescent="0.2"/>
    <row r="1488" hidden="1" x14ac:dyDescent="0.2"/>
    <row r="1489" hidden="1" x14ac:dyDescent="0.2"/>
    <row r="1490" hidden="1" x14ac:dyDescent="0.2"/>
    <row r="1491" hidden="1" x14ac:dyDescent="0.2"/>
    <row r="1492" hidden="1" x14ac:dyDescent="0.2"/>
    <row r="1493" hidden="1" x14ac:dyDescent="0.2"/>
    <row r="1494" hidden="1" x14ac:dyDescent="0.2"/>
    <row r="1495" hidden="1" x14ac:dyDescent="0.2"/>
    <row r="1496" hidden="1" x14ac:dyDescent="0.2"/>
    <row r="1497" hidden="1" x14ac:dyDescent="0.2"/>
    <row r="1498" hidden="1" x14ac:dyDescent="0.2"/>
    <row r="1499" hidden="1" x14ac:dyDescent="0.2"/>
    <row r="1500" hidden="1" x14ac:dyDescent="0.2"/>
    <row r="1501" hidden="1" x14ac:dyDescent="0.2"/>
    <row r="1502" hidden="1" x14ac:dyDescent="0.2"/>
    <row r="1503" hidden="1" x14ac:dyDescent="0.2"/>
    <row r="1504" hidden="1" x14ac:dyDescent="0.2"/>
    <row r="1505" hidden="1" x14ac:dyDescent="0.2"/>
    <row r="1506" hidden="1" x14ac:dyDescent="0.2"/>
    <row r="1507" hidden="1" x14ac:dyDescent="0.2"/>
    <row r="1508" hidden="1" x14ac:dyDescent="0.2"/>
    <row r="1509" hidden="1" x14ac:dyDescent="0.2"/>
    <row r="1510" hidden="1" x14ac:dyDescent="0.2"/>
    <row r="1511" hidden="1" x14ac:dyDescent="0.2"/>
    <row r="1512" hidden="1" x14ac:dyDescent="0.2"/>
    <row r="1513" hidden="1" x14ac:dyDescent="0.2"/>
    <row r="1514" hidden="1" x14ac:dyDescent="0.2"/>
    <row r="1515" hidden="1" x14ac:dyDescent="0.2"/>
    <row r="1516" hidden="1" x14ac:dyDescent="0.2"/>
    <row r="1517" hidden="1" x14ac:dyDescent="0.2"/>
    <row r="1518" hidden="1" x14ac:dyDescent="0.2"/>
    <row r="1519" hidden="1" x14ac:dyDescent="0.2"/>
    <row r="1520" hidden="1" x14ac:dyDescent="0.2"/>
    <row r="1521" hidden="1" x14ac:dyDescent="0.2"/>
    <row r="1522" hidden="1" x14ac:dyDescent="0.2"/>
    <row r="1523" hidden="1" x14ac:dyDescent="0.2"/>
    <row r="1524" hidden="1" x14ac:dyDescent="0.2"/>
    <row r="1525" hidden="1" x14ac:dyDescent="0.2"/>
    <row r="1526" hidden="1" x14ac:dyDescent="0.2"/>
    <row r="1527" hidden="1" x14ac:dyDescent="0.2"/>
    <row r="1528" hidden="1" x14ac:dyDescent="0.2"/>
    <row r="1529" hidden="1" x14ac:dyDescent="0.2"/>
    <row r="1530" hidden="1" x14ac:dyDescent="0.2"/>
    <row r="1531" hidden="1" x14ac:dyDescent="0.2"/>
    <row r="1532" hidden="1" x14ac:dyDescent="0.2"/>
    <row r="1533" hidden="1" x14ac:dyDescent="0.2"/>
    <row r="1534" hidden="1" x14ac:dyDescent="0.2"/>
    <row r="1535" hidden="1" x14ac:dyDescent="0.2"/>
    <row r="1536" hidden="1" x14ac:dyDescent="0.2"/>
    <row r="1537" hidden="1" x14ac:dyDescent="0.2"/>
    <row r="1538" hidden="1" x14ac:dyDescent="0.2"/>
    <row r="1539" hidden="1" x14ac:dyDescent="0.2"/>
    <row r="1540" hidden="1" x14ac:dyDescent="0.2"/>
    <row r="1541" hidden="1" x14ac:dyDescent="0.2"/>
    <row r="1542" hidden="1" x14ac:dyDescent="0.2"/>
    <row r="1543" hidden="1" x14ac:dyDescent="0.2"/>
    <row r="1544" hidden="1" x14ac:dyDescent="0.2"/>
    <row r="1545" hidden="1" x14ac:dyDescent="0.2"/>
    <row r="1546" hidden="1" x14ac:dyDescent="0.2"/>
    <row r="1547" hidden="1" x14ac:dyDescent="0.2"/>
    <row r="1548" hidden="1" x14ac:dyDescent="0.2"/>
    <row r="1549" hidden="1" x14ac:dyDescent="0.2"/>
    <row r="1550" hidden="1" x14ac:dyDescent="0.2"/>
    <row r="1551" hidden="1" x14ac:dyDescent="0.2"/>
    <row r="1552" hidden="1" x14ac:dyDescent="0.2"/>
    <row r="1553" hidden="1" x14ac:dyDescent="0.2"/>
    <row r="1554" hidden="1" x14ac:dyDescent="0.2"/>
    <row r="1555" hidden="1" x14ac:dyDescent="0.2"/>
  </sheetData>
  <sheetProtection algorithmName="SHA-512" hashValue="YHZt/71tV4NXBE7VA3Ez1oBefj4bVhfK4tnpJGyiMTXpegQuCABt8n1L4Ja66awSf6ZZLQrHFZ1xKJMa+fqQGA==" saltValue="3E+hGKRj0ndq6rK9Gx3GXA==" spinCount="100000" sheet="1" objects="1" scenarios="1"/>
  <mergeCells count="13">
    <mergeCell ref="AE104:AF104"/>
    <mergeCell ref="Q104:R104"/>
    <mergeCell ref="S104:T104"/>
    <mergeCell ref="U104:V104"/>
    <mergeCell ref="W104:X104"/>
    <mergeCell ref="Y104:Z104"/>
    <mergeCell ref="AA104:AB104"/>
    <mergeCell ref="AC104:AD104"/>
    <mergeCell ref="O104:P104"/>
    <mergeCell ref="J116:K116"/>
    <mergeCell ref="M116:N116"/>
    <mergeCell ref="J104:K104"/>
    <mergeCell ref="M104:N104"/>
  </mergeCells>
  <phoneticPr fontId="0" type="noConversion"/>
  <dataValidations count="4">
    <dataValidation type="list" allowBlank="1" showInputMessage="1" showErrorMessage="1" sqref="E9 E17">
      <formula1>$K$99:$K$100</formula1>
    </dataValidation>
    <dataValidation type="list" allowBlank="1" showInputMessage="1" showErrorMessage="1" sqref="F22 F62 F57 F52 F47 F42 F37 F32 F27">
      <formula1>$H$130:$H$134</formula1>
    </dataValidation>
    <dataValidation type="list" allowBlank="1" showInputMessage="1" showErrorMessage="1" sqref="E22 E27 E32 E37 E42 E47 E52 E57 E62 E24 E29 E34 E39 E44 E49 E54 E59 E64">
      <formula1>$M$135:$M$138</formula1>
    </dataValidation>
    <dataValidation type="list" allowBlank="1" showInputMessage="1" showErrorMessage="1" sqref="E19">
      <formula1>$O$99:$O$100</formula1>
    </dataValidation>
  </dataValidations>
  <hyperlinks>
    <hyperlink ref="H97" r:id="rId1"/>
    <hyperlink ref="E91" r:id="rId2"/>
    <hyperlink ref="E92" r:id="rId3"/>
    <hyperlink ref="E93" r:id="rId4"/>
    <hyperlink ref="E94" r:id="rId5"/>
    <hyperlink ref="E95" r:id="rId6"/>
    <hyperlink ref="G91" r:id="rId7"/>
    <hyperlink ref="G92" r:id="rId8"/>
    <hyperlink ref="G93" r:id="rId9"/>
    <hyperlink ref="G94" r:id="rId10"/>
    <hyperlink ref="G95" r:id="rId11"/>
  </hyperlinks>
  <pageMargins left="0.75" right="0.75" top="1" bottom="1" header="0.5" footer="0.5"/>
  <pageSetup paperSize="9" orientation="landscape" horizontalDpi="4294967293" r:id="rId12"/>
  <headerFooter alignWithMargins="0"/>
  <legacy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6:AX1270"/>
  <sheetViews>
    <sheetView topLeftCell="A148" workbookViewId="0">
      <selection activeCell="P181" sqref="P181"/>
    </sheetView>
  </sheetViews>
  <sheetFormatPr defaultRowHeight="12.75" x14ac:dyDescent="0.2"/>
  <sheetData>
    <row r="126" spans="1:50" x14ac:dyDescent="0.2">
      <c r="A126" t="s">
        <v>38</v>
      </c>
    </row>
    <row r="128" spans="1:50" x14ac:dyDescent="0.2">
      <c r="A128">
        <f>IF(AND(DONBIW!B23&lt;20,DONBIW!B23&gt;0),DONBIW!E7*18,0)</f>
        <v>0</v>
      </c>
      <c r="E128">
        <f>IF(AND(DONBIW!B28&lt;20,DONBIW!B28&gt;0),DONBIW!E7*18,0)</f>
        <v>0</v>
      </c>
      <c r="F128">
        <f>IF(AND(DONBIW!B33&lt;20,DONBIW!B33&gt;0),DONBIW!E7*18,0)</f>
        <v>0</v>
      </c>
      <c r="G128">
        <f>IF(AND(DONBIW!B38&lt;20,DONBIW!B38&gt;0),DONBIW!E7*18,0)</f>
        <v>0</v>
      </c>
      <c r="H128">
        <f>IF(AND(DONBIW!B43&lt;20,DONBIW!B43&gt;0),DONBIW!E7*18,0)</f>
        <v>0</v>
      </c>
      <c r="I128">
        <f>IF(AND(DONBIW!B48&lt;20,DONBIW!B48&gt;0),DONBIW!E7*18,0)</f>
        <v>0</v>
      </c>
      <c r="J128">
        <f>IF(AND(DONBIW!B53&lt;20,DONBIW!B53&gt;0),DONBIW!E7*18,0)</f>
        <v>0</v>
      </c>
      <c r="K128">
        <f>IF(AND(DONBIW!B58&lt;20,DONBIW!B58&gt;0),DONBIW!E7*18,0)</f>
        <v>0</v>
      </c>
      <c r="N128">
        <f>IF(AND(DONBIW!B63&lt;20,DONBIW!B63&gt;0),DONBIW!E7*18,0)</f>
        <v>0</v>
      </c>
      <c r="P128">
        <f>IF(DONBIW!E7*18&gt;DONBIW!E5*80%,DONBIW!E5*80%,A128)</f>
        <v>0</v>
      </c>
      <c r="Q128">
        <f>IF(DONBIW!E7*18&gt;DONBIW!E5*80%,DONBIW!E5*80%,E128)</f>
        <v>0</v>
      </c>
      <c r="R128">
        <f>IF(DONBIW!E7*18&gt;DONBIW!E5*80%,DONBIW!E5*80%,F128)</f>
        <v>0</v>
      </c>
      <c r="S128">
        <f>IF(DONBIW!E7*18&gt;DONBIW!E5*80%,DONBIW!E5*80%,G128)</f>
        <v>0</v>
      </c>
      <c r="T128">
        <f>IF(DONBIW!E7*18&gt;DONBIW!E5*80%,DONBIW!E5*80%,H128)</f>
        <v>0</v>
      </c>
      <c r="U128">
        <f>IF(DONBIW!E7*18&gt;DONBIW!E5*80%,DONBIW!E5*80%,I128)</f>
        <v>0</v>
      </c>
      <c r="V128">
        <f>IF(DONBIW!E7*18&gt;DONBIW!E5*80%,DONBIW!E5*80%,J128)</f>
        <v>0</v>
      </c>
      <c r="W128">
        <f>IF(DONBIW!E7*18&gt;DONBIW!E5*80%,DONBIW!E5*80%,K128)</f>
        <v>0</v>
      </c>
      <c r="X128">
        <f>IF(DONBIW!E7*18&gt;DONBIW!E5*80%,DONBIW!E5*80%,N128)</f>
        <v>0</v>
      </c>
      <c r="AA128">
        <f>IF(AND(DONBIW!B25&lt;20,DONBIW!B25&gt;0),DONBIW!E7*18,0)</f>
        <v>0</v>
      </c>
      <c r="AE128">
        <f>IF(AND(DONBIW!B30&lt;20,DONBIW!B30&gt;0),DONBIW!E7*18,0)</f>
        <v>0</v>
      </c>
      <c r="AF128">
        <f>IF(AND(DONBIW!B35&lt;20,DONBIW!B35&gt;0),DONBIW!E7*18,0)</f>
        <v>0</v>
      </c>
      <c r="AG128">
        <f>IF(AND(DONBIW!B40&lt;20,DONBIW!B40&gt;0),DONBIW!E7*18,0)</f>
        <v>0</v>
      </c>
      <c r="AH128">
        <f>IF(AND(DONBIW!B45&lt;20,DONBIW!B45&gt;0),DONBIW!E7*18,0)</f>
        <v>0</v>
      </c>
      <c r="AI128">
        <f>IF(AND(DONBIW!B50&lt;20,DONBIW!B50&gt;0),DONBIW!E7*18,0)</f>
        <v>0</v>
      </c>
      <c r="AJ128">
        <f>IF(AND(DONBIW!B55&lt;20,DONBIW!B55&gt;0),DONBIW!E7*18,0)</f>
        <v>0</v>
      </c>
      <c r="AK128">
        <f>IF(AND(DONBIW!B60&lt;20,DONBIW!B60&gt;0),DONBIW!E7*18,0)</f>
        <v>0</v>
      </c>
      <c r="AN128">
        <f>IF(AND(DONBIW!B65&lt;20,DONBIW!B65&gt;0),DONBIW!E7*18,0)</f>
        <v>0</v>
      </c>
      <c r="AP128">
        <f>IF(DONBIW!E7*18&gt;DONBIW!E5*80%,DONBIW!E5*80%,AA128)</f>
        <v>0</v>
      </c>
      <c r="AQ128">
        <f>IF(DONBIW!E7*18&gt;DONBIW!E5*80%,DONBIW!E5*80%,AE128)</f>
        <v>0</v>
      </c>
      <c r="AR128">
        <f>IF(DONBIW!E7*18&gt;DONBIW!E5*80%,DONBIW!E5*80%,AF128)</f>
        <v>0</v>
      </c>
      <c r="AS128">
        <f>IF(DONBIW!E7*18&gt;DONBIW!E5*80%,DONBIW!E5*80%,AG128)</f>
        <v>0</v>
      </c>
      <c r="AT128">
        <f>IF(DONBIW!E7*18&gt;DONBIW!E5*80%,DONBIW!E5*80%,AH128)</f>
        <v>0</v>
      </c>
      <c r="AU128">
        <f>IF(DONBIW!E7*18&gt;DONBIW!E5*80%,DONBIW!E5*80%,AI128)</f>
        <v>0</v>
      </c>
      <c r="AV128">
        <f>IF(DONBIW!E7*18&gt;DONBIW!E5*80%,DONBIW!E5*80%,AJ128)</f>
        <v>0</v>
      </c>
      <c r="AW128">
        <f>IF(DONBIW!E7*18&gt;DONBIW!E5*80%,DONBIW!E5*80%,AK128)</f>
        <v>0</v>
      </c>
      <c r="AX128">
        <f>IF(DONBIW!E7*18&gt;DONBIW!E5*80%,DONBIW!E5*80%,AN128)</f>
        <v>0</v>
      </c>
    </row>
    <row r="130" spans="1:50" x14ac:dyDescent="0.2">
      <c r="A130">
        <f>IF(AND(DONBIW!B23&gt;=20,DONBIW!B23&lt;=29),DONBIW!E7*17,0)</f>
        <v>0</v>
      </c>
      <c r="E130">
        <f>IF(AND(DONBIW!B28&gt;=20,DONBIW!B28&lt;=29),DONBIW!E7*17,0)</f>
        <v>0</v>
      </c>
      <c r="F130">
        <f>IF(AND(DONBIW!B33&gt;=20,DONBIW!B33&lt;=29),DONBIW!E7*17,0)</f>
        <v>0</v>
      </c>
      <c r="G130">
        <f>IF(AND(DONBIW!B38&gt;=20,DONBIW!B38&lt;=29),DONBIW!E7*17,0)</f>
        <v>0</v>
      </c>
      <c r="H130">
        <f>IF(AND(DONBIW!B43&gt;=20,DONBIW!B43&lt;=29),DONBIW!E7*17,0)</f>
        <v>0</v>
      </c>
      <c r="I130">
        <f>IF(AND(DONBIW!B48&gt;=20,DONBIW!B48&lt;=29),DONBIW!E7*17,0)</f>
        <v>0</v>
      </c>
      <c r="J130">
        <f>IF(AND(DONBIW!B53&gt;=20,DONBIW!B53&lt;=29),DONBIW!E7*17,0)</f>
        <v>0</v>
      </c>
      <c r="K130">
        <f>IF(AND(DONBIW!B58&gt;=20,DONBIW!B58&lt;=29),DONBIW!E7*17,0)</f>
        <v>0</v>
      </c>
      <c r="N130">
        <f>IF(AND(DONBIW!B63&gt;=20,DONBIW!B63&lt;=29),DONBIW!E7*17,0)</f>
        <v>0</v>
      </c>
      <c r="P130">
        <f>IF(DONBIW!E7*17&gt;DONBIW!E5*80%,DONBIW!E5*80%,A130)</f>
        <v>0</v>
      </c>
      <c r="Q130">
        <f>IF(DONBIW!E7*17&gt;DONBIW!E5*80%,DONBIW!E5*80%,E130)</f>
        <v>0</v>
      </c>
      <c r="R130">
        <f>IF(DONBIW!E7*17&gt;DONBIW!E5*80%,DONBIW!E5*80%,F130)</f>
        <v>0</v>
      </c>
      <c r="S130">
        <f>IF(DONBIW!E7*17&gt;DONBIW!E5*80%,DONBIW!E5*80%,G130)</f>
        <v>0</v>
      </c>
      <c r="T130">
        <f>IF(DONBIW!E7*17&gt;DONBIW!E5*80%,DONBIW!E5*80%,H130)</f>
        <v>0</v>
      </c>
      <c r="U130">
        <f>IF(DONBIW!E7*17&gt;DONBIW!E5*80%,DONBIW!E5*80%,I130)</f>
        <v>0</v>
      </c>
      <c r="V130">
        <f>IF(DONBIW!E7*17&gt;DONBIW!E5*80%,DONBIW!E5*80%,J130)</f>
        <v>0</v>
      </c>
      <c r="W130">
        <f>IF(DONBIW!E7*17&gt;DONBIW!E5*80%,DONBIW!E5*80%,K130)</f>
        <v>0</v>
      </c>
      <c r="X130">
        <f>IF(DONBIW!E7*18&gt;DONBIW!E5*80%,DONBIW!E5*80%,N130)</f>
        <v>0</v>
      </c>
      <c r="AA130">
        <f>IF(AND(DONBIW!B25&gt;=20,DONBIW!B25&lt;=29),DONBIW!E7*17,0)</f>
        <v>0</v>
      </c>
      <c r="AE130">
        <f>IF(AND(DONBIW!B30&gt;=20,DONBIW!B30&lt;=29),DONBIW!E7*17,0)</f>
        <v>0</v>
      </c>
      <c r="AF130">
        <f>IF(AND(DONBIW!B35&gt;=20,DONBIW!B35&lt;=29),DONBIW!E7*17,0)</f>
        <v>0</v>
      </c>
      <c r="AG130">
        <f>IF(AND(DONBIW!B40&gt;=20,DONBIW!B40&lt;=29),DONBIW!E7*17,0)</f>
        <v>0</v>
      </c>
      <c r="AH130">
        <f>IF(AND(DONBIW!B45&gt;=20,DONBIW!B45&lt;=29),DONBIW!E7*17,0)</f>
        <v>0</v>
      </c>
      <c r="AI130">
        <f>IF(AND(DONBIW!B50&gt;=20,DONBIW!B50&lt;=29),DONBIW!E7*17,0)</f>
        <v>0</v>
      </c>
      <c r="AJ130">
        <f>IF(AND(DONBIW!B55&gt;=20,DONBIW!B55&lt;=29),DONBIW!E7*17,0)</f>
        <v>0</v>
      </c>
      <c r="AK130">
        <f>IF(AND(DONBIW!B60&gt;=20,DONBIW!B60&lt;=29),DONBIW!E7*17,0)</f>
        <v>0</v>
      </c>
      <c r="AN130">
        <f>IF(AND(DONBIW!B65&gt;=20,DONBIW!B65&lt;=29),DONBIW!E7*17,0)</f>
        <v>0</v>
      </c>
      <c r="AP130">
        <f>IF(DONBIW!E7*17&gt;DONBIW!E5*80%,DONBIW!E5*80%,AA130)</f>
        <v>0</v>
      </c>
      <c r="AQ130">
        <f>IF(DONBIW!E7*17&gt;DONBIW!E5*80%,DONBIW!E5*80%,AE130)</f>
        <v>0</v>
      </c>
      <c r="AR130">
        <f>IF(DONBIW!E7*17&gt;DONBIW!E5*80%,DONBIW!E5*80%,AF130)</f>
        <v>0</v>
      </c>
      <c r="AS130">
        <f>IF(DONBIW!E7*17&gt;DONBIW!E5*80%,DONBIW!E5*80%,AG130)</f>
        <v>0</v>
      </c>
      <c r="AT130">
        <f>IF(DONBIW!E7*17&gt;DONBIW!E5*80%,DONBIW!E5*80%,AH130)</f>
        <v>0</v>
      </c>
      <c r="AU130">
        <f>IF(DONBIW!E7*17&gt;DONBIW!E5*80%,DONBIW!E5*80%,AI130)</f>
        <v>0</v>
      </c>
      <c r="AV130">
        <f>IF(DONBIW!E7*17&gt;DONBIW!E5*80%,DONBIW!E5*80%,AJ130)</f>
        <v>0</v>
      </c>
      <c r="AW130">
        <f>IF(DONBIW!E7*17&gt;DONBIW!E5*80%,DONBIW!E5*80%,AK130)</f>
        <v>0</v>
      </c>
      <c r="AX130">
        <f>IF(DONBIW!E7*18&gt;DONBIW!E5*80%,DONBIW!E5*80%,AN130)</f>
        <v>0</v>
      </c>
    </row>
    <row r="132" spans="1:50" x14ac:dyDescent="0.2">
      <c r="A132">
        <f>IF(AND(DONBIW!B23&gt;=30,DONBIW!B23&lt;=39),DONBIW!E7*16,0)</f>
        <v>0</v>
      </c>
      <c r="E132">
        <f>IF(AND(DONBIW!B28&gt;=30,DONBIW!B28&lt;=39),DONBIW!E7*16,0)</f>
        <v>0</v>
      </c>
      <c r="F132">
        <f>IF(AND(DONBIW!B33&gt;=30,DONBIW!B33&lt;=39),DONBIW!E7*16,0)</f>
        <v>0</v>
      </c>
      <c r="G132">
        <f>IF(AND(DONBIW!B38&gt;=30,DONBIW!B38&lt;=39),DONBIW!E7*16,0)</f>
        <v>0</v>
      </c>
      <c r="H132">
        <f>IF(AND(DONBIW!B43&gt;=30,DONBIW!B43&lt;=39),DONBIW!E7*16,0)</f>
        <v>0</v>
      </c>
      <c r="I132">
        <f>IF(AND(DONBIW!B48&gt;=30,DONBIW!B48&lt;=39),DONBIW!E7*16,0)</f>
        <v>0</v>
      </c>
      <c r="J132">
        <f>IF(AND(DONBIW!B53&gt;=30,DONBIW!B53&lt;=39),DONBIW!E7*16,0)</f>
        <v>0</v>
      </c>
      <c r="K132">
        <f>IF(AND(DONBIW!B58&gt;=30,DONBIW!B58&lt;=39),DONBIW!E7*16,0)</f>
        <v>0</v>
      </c>
      <c r="N132">
        <f>IF(AND(DONBIW!B63&gt;=30,DONBIW!B63&lt;=39),DONBIW!E7*16,0)</f>
        <v>0</v>
      </c>
      <c r="P132">
        <f>IF(DONBIW!E7*16&gt;DONBIW!E5*80%,DONBIW!E5*80%,A132)</f>
        <v>0</v>
      </c>
      <c r="Q132">
        <f>IF(DONBIW!E7*16&gt;DONBIW!E5*80%,DONBIW!E5*80%,E132)</f>
        <v>0</v>
      </c>
      <c r="R132">
        <f>IF(DONBIW!E7*16&gt;DONBIW!E5*80%,DONBIW!E5*80%,F132)</f>
        <v>0</v>
      </c>
      <c r="S132">
        <f>IF(DONBIW!E7*16&gt;DONBIW!E5*80%,DONBIW!E5*80%,G132)</f>
        <v>0</v>
      </c>
      <c r="T132">
        <f>IF(DONBIW!E7*16&gt;DONBIW!E5*80%,DONBIW!E5*80%,H132)</f>
        <v>0</v>
      </c>
      <c r="U132">
        <f>IF(DONBIW!E7*16&gt;DONBIW!E5*80%,DONBIW!E5*80%,I132)</f>
        <v>0</v>
      </c>
      <c r="V132">
        <f>IF(DONBIW!E7*16&gt;DONBIW!E5*80%,DONBIW!E5*80%,J132)</f>
        <v>0</v>
      </c>
      <c r="W132">
        <f>IF(DONBIW!E7*16&gt;DONBIW!E5*80%,DONBIW!E5*80%,K132)</f>
        <v>0</v>
      </c>
      <c r="X132">
        <f>IF(DONBIW!E7*16&gt;DONBIW!E5*80%,DONBIW!E5*80%,N132)</f>
        <v>0</v>
      </c>
      <c r="AA132">
        <f>IF(AND(DONBIW!B25&gt;=30,DONBIW!B25&lt;=39),DONBIW!E7*16,0)</f>
        <v>0</v>
      </c>
      <c r="AE132">
        <f>IF(AND(DONBIW!B30&gt;=30,DONBIW!B30&lt;=39),DONBIW!E7*16,0)</f>
        <v>0</v>
      </c>
      <c r="AF132">
        <f>IF(AND(DONBIW!B35&gt;=30,DONBIW!B35&lt;=39),DONBIW!E7*16,0)</f>
        <v>0</v>
      </c>
      <c r="AG132">
        <f>IF(AND(DONBIW!B40&gt;=30,DONBIW!B40&lt;=39),DONBIW!E7*16,0)</f>
        <v>0</v>
      </c>
      <c r="AH132">
        <f>IF(AND(DONBIW!B45&gt;=30,DONBIW!B45&lt;=39),DONBIW!E7*16,0)</f>
        <v>0</v>
      </c>
      <c r="AI132">
        <f>IF(AND(DONBIW!B50&gt;=30,DONBIW!B50&lt;=39),DONBIW!E7*16,0)</f>
        <v>0</v>
      </c>
      <c r="AJ132">
        <f>IF(AND(DONBIW!B55&gt;=30,DONBIW!B55&lt;=39),DONBIW!E7*16,0)</f>
        <v>0</v>
      </c>
      <c r="AK132">
        <f>IF(AND(DONBIW!B60&gt;=30,DONBIW!B60&lt;=39),DONBIW!E7*16,0)</f>
        <v>0</v>
      </c>
      <c r="AN132">
        <f>IF(AND(DONBIW!B65&gt;=30,DONBIW!B65&lt;=39),DONBIW!E7*16,0)</f>
        <v>0</v>
      </c>
      <c r="AP132">
        <f>IF(DONBIW!E7*16&gt;DONBIW!E5*80%,DONBIW!E5*80%,AA132)</f>
        <v>0</v>
      </c>
      <c r="AQ132">
        <f>IF(DONBIW!E7*16&gt;DONBIW!E5*80%,DONBIW!E5*80%,AE132)</f>
        <v>0</v>
      </c>
      <c r="AR132">
        <f>IF(DONBIW!E7*16&gt;DONBIW!E5*80%,DONBIW!E5*80%,AF132)</f>
        <v>0</v>
      </c>
      <c r="AS132">
        <f>IF(DONBIW!E7*16&gt;DONBIW!E5*80%,DONBIW!E5*80%,AG132)</f>
        <v>0</v>
      </c>
      <c r="AT132">
        <f>IF(DONBIW!E7*16&gt;DONBIW!E5*80%,DONBIW!E5*80%,AH132)</f>
        <v>0</v>
      </c>
      <c r="AU132">
        <f>IF(DONBIW!E7*16&gt;DONBIW!E5*80%,DONBIW!E5*80%,AI132)</f>
        <v>0</v>
      </c>
      <c r="AV132">
        <f>IF(DONBIW!E7*16&gt;DONBIW!E5*80%,DONBIW!E5*80%,AJ132)</f>
        <v>0</v>
      </c>
      <c r="AW132">
        <f>IF(DONBIW!E7*16&gt;DONBIW!E5*80%,DONBIW!E5*80%,AK132)</f>
        <v>0</v>
      </c>
      <c r="AX132">
        <f>IF(DONBIW!E7*16&gt;DONBIW!E5*80%,DONBIW!E5*80%,AN132)</f>
        <v>0</v>
      </c>
    </row>
    <row r="134" spans="1:50" x14ac:dyDescent="0.2">
      <c r="A134">
        <f>IF(AND(DONBIW!B23&gt;=40,DONBIW!B23&lt;=49),DONBIW!E7*14,0)</f>
        <v>0</v>
      </c>
      <c r="E134">
        <f>IF(AND(DONBIW!B28&gt;=40,DONBIW!B28&lt;=49),DONBIW!E7*14,0)</f>
        <v>0</v>
      </c>
      <c r="F134">
        <f>IF(AND(DONBIW!B33&gt;=40,DONBIW!B33&lt;=49),DONBIW!E7*14,0)</f>
        <v>0</v>
      </c>
      <c r="G134">
        <f>IF(AND(DONBIW!B38&gt;=40,DONBIW!B38&lt;=49),DONBIW!E7*14,0)</f>
        <v>0</v>
      </c>
      <c r="H134">
        <f>IF(AND(DONBIW!B43&gt;=40,DONBIW!B43&lt;=49),DONBIW!E7*14,0)</f>
        <v>0</v>
      </c>
      <c r="I134">
        <f>IF(AND(DONBIW!B48&gt;=40,DONBIW!B48&lt;=49),DONBIW!E7*14,0)</f>
        <v>0</v>
      </c>
      <c r="J134">
        <f>IF(AND(DONBIW!B53&gt;=40,DONBIW!B53&lt;=49),DONBIW!E7*14,0)</f>
        <v>0</v>
      </c>
      <c r="K134">
        <f>IF(AND(DONBIW!B58&gt;=40,DONBIW!B58&lt;=49),DONBIW!E7*14,0)</f>
        <v>0</v>
      </c>
      <c r="N134">
        <f>IF(AND(DONBIW!B63&gt;=40,DONBIW!B63&lt;=49),DONBIW!E7*14,0)</f>
        <v>0</v>
      </c>
      <c r="P134">
        <f>IF(DONBIW!E7*14&gt;DONBIW!E5*80%,DONBIW!E5*80%,A134)</f>
        <v>0</v>
      </c>
      <c r="Q134">
        <f>IF(DONBIW!E7*14&gt;DONBIW!E5*80%,DONBIW!E5*80%,E134)</f>
        <v>0</v>
      </c>
      <c r="R134">
        <f>IF(DONBIW!E7*14&gt;DONBIW!E5*80%,DONBIW!E5*80%,F134)</f>
        <v>0</v>
      </c>
      <c r="S134">
        <f>IF(DONBIW!E7*14&gt;DONBIW!E5*80%,DONBIW!E5*80%,G134)</f>
        <v>0</v>
      </c>
      <c r="T134">
        <f>IF(DONBIW!E7*14&gt;DONBIW!E5*80%,DONBIW!E5*80%,H134)</f>
        <v>0</v>
      </c>
      <c r="U134">
        <f>IF(DONBIW!E7*14&gt;DONBIW!E5*80%,DONBIW!E5*80%,I134)</f>
        <v>0</v>
      </c>
      <c r="V134">
        <f>IF(DONBIW!E7*14&gt;DONBIW!E5*80%,DONBIW!E5*80%,J134)</f>
        <v>0</v>
      </c>
      <c r="W134">
        <f>IF(DONBIW!E7*14&gt;DONBIW!E5*80%,DONBIW!E5*80%,K134)</f>
        <v>0</v>
      </c>
      <c r="X134">
        <f>IF(DONBIW!E7*14&gt;DONBIW!E5*80%,DONBIW!E5*80%,N134)</f>
        <v>0</v>
      </c>
      <c r="AA134">
        <f>IF(AND(DONBIW!B25&gt;=40,DONBIW!B25&lt;=49),DONBIW!E7*14,0)</f>
        <v>0</v>
      </c>
      <c r="AE134">
        <f>IF(AND(DONBIW!B30&gt;=40,DONBIW!B30&lt;=49),DONBIW!E7*14,0)</f>
        <v>0</v>
      </c>
      <c r="AF134">
        <f>IF(AND(DONBIW!B35&gt;=40,DONBIW!B35&lt;=49),DONBIW!E7*14,0)</f>
        <v>0</v>
      </c>
      <c r="AG134">
        <f>IF(AND(DONBIW!B40&gt;=40,DONBIW!B40&lt;=49),DONBIW!E7*14,0)</f>
        <v>0</v>
      </c>
      <c r="AH134">
        <f>IF(AND(DONBIW!B45&gt;=40,DONBIW!B45&lt;=49),DONBIW!E7*14,0)</f>
        <v>0</v>
      </c>
      <c r="AI134">
        <f>IF(AND(DONBIW!B50&gt;=40,DONBIW!B50&lt;=49),DONBIW!E7*14,0)</f>
        <v>0</v>
      </c>
      <c r="AJ134">
        <f>IF(AND(DONBIW!B55&gt;=40,DONBIW!B55&lt;=49),DONBIW!E7*14,0)</f>
        <v>0</v>
      </c>
      <c r="AK134">
        <f>IF(AND(DONBIW!B60&gt;=40,DONBIW!B60&lt;=49),DONBIW!E7*14,0)</f>
        <v>0</v>
      </c>
      <c r="AN134">
        <f>IF(AND(DONBIW!B65&gt;=40,DONBIW!B65&lt;=49),DONBIW!E7*14,0)</f>
        <v>0</v>
      </c>
      <c r="AP134">
        <f>IF(DONBIW!E7*14&gt;DONBIW!E5*80%,DONBIW!E5*80%,AA134)</f>
        <v>0</v>
      </c>
      <c r="AQ134">
        <f>IF(DONBIW!E7*14&gt;DONBIW!E5*80%,DONBIW!E5*80%,AE134)</f>
        <v>0</v>
      </c>
      <c r="AR134">
        <f>IF(DONBIW!E7*14&gt;DONBIW!E5*80%,DONBIW!E5*80%,AF134)</f>
        <v>0</v>
      </c>
      <c r="AS134">
        <f>IF(DONBIW!E7*14&gt;DONBIW!E5*80%,DONBIW!E5*80%,AG134)</f>
        <v>0</v>
      </c>
      <c r="AT134">
        <f>IF(DONBIW!E7*14&gt;DONBIW!E5*80%,DONBIW!E5*80%,AH134)</f>
        <v>0</v>
      </c>
      <c r="AU134">
        <f>IF(DONBIW!E7*14&gt;DONBIW!E5*80%,DONBIW!E5*80%,AI134)</f>
        <v>0</v>
      </c>
      <c r="AV134">
        <f>IF(DONBIW!E7*14&gt;DONBIW!E5*80%,DONBIW!E5*80%,AJ134)</f>
        <v>0</v>
      </c>
      <c r="AW134">
        <f>IF(DONBIW!E7*14&gt;DONBIW!E5*80%,DONBIW!E5*80%,AK134)</f>
        <v>0</v>
      </c>
      <c r="AX134">
        <f>IF(DONBIW!E7*14&gt;DONBIW!E5*80%,DONBIW!E5*80%,AN134)</f>
        <v>0</v>
      </c>
    </row>
    <row r="136" spans="1:50" x14ac:dyDescent="0.2">
      <c r="A136">
        <f>IF(AND(DONBIW!B23&gt;=50,DONBIW!B23&lt;=54),DONBIW!E7*13,0)</f>
        <v>0</v>
      </c>
      <c r="E136">
        <f>IF(AND(DONBIW!B28&gt;=50,DONBIW!B28&lt;=54),DONBIW!E7*13,0)</f>
        <v>0</v>
      </c>
      <c r="F136">
        <f>IF(AND(DONBIW!B33&gt;=50,DONBIW!B33&lt;=54),DONBIW!E7*13,0)</f>
        <v>0</v>
      </c>
      <c r="G136">
        <f>IF(AND(DONBIW!B38&gt;=50,DONBIW!B38&lt;=54),DONBIW!E7*13,0)</f>
        <v>0</v>
      </c>
      <c r="H136">
        <f>IF(AND(DONBIW!B43&gt;=50,DONBIW!B43&lt;=54),DONBIW!E7*13,0)</f>
        <v>0</v>
      </c>
      <c r="I136">
        <f>IF(AND(DONBIW!B48&gt;=50,DONBIW!B48&lt;=54),DONBIW!E7*13,0)</f>
        <v>0</v>
      </c>
      <c r="J136">
        <f>IF(AND(DONBIW!B53&gt;=50,DONBIW!B53&lt;=54),DONBIW!E7*13,0)</f>
        <v>0</v>
      </c>
      <c r="K136">
        <f>IF(AND(DONBIW!B58&gt;=50,DONBIW!B58&lt;=54),DONBIW!E7*13,0)</f>
        <v>0</v>
      </c>
      <c r="N136">
        <f>IF(AND(DONBIW!B63&gt;=50,DONBIW!B63&lt;=54),DONBIW!E7*13,0)</f>
        <v>0</v>
      </c>
      <c r="P136">
        <f>IF(DONBIW!E7*13&gt;DONBIW!E5*80%,DONBIW!E5*80%,A136)</f>
        <v>0</v>
      </c>
      <c r="Q136">
        <f>IF(DONBIW!E7*13&gt;DONBIW!E5*80%,DONBIW!E5*80%,E136)</f>
        <v>0</v>
      </c>
      <c r="R136">
        <f>IF(DONBIW!E7*13&gt;DONBIW!E5*80%,DONBIW!E5*80%,F136)</f>
        <v>0</v>
      </c>
      <c r="S136">
        <f>IF(DONBIW!E7*13&gt;DONBIW!E5*80%,DONBIW!E5*80%,G136)</f>
        <v>0</v>
      </c>
      <c r="T136">
        <f>IF(DONBIW!E7*13&gt;DONBIW!E5*80%,DONBIW!E5*80%,H136)</f>
        <v>0</v>
      </c>
      <c r="U136">
        <f>IF(DONBIW!E7*13&gt;DONBIW!E5*80%,DONBIW!E5*80%,I136)</f>
        <v>0</v>
      </c>
      <c r="V136">
        <f>IF(DONBIW!E7*13&gt;DONBIW!E5*80%,DONBIW!E5*80%,J136)</f>
        <v>0</v>
      </c>
      <c r="W136">
        <f>IF(DONBIW!E7*13&gt;DONBIW!E5*80%,DONBIW!E5*80%,K136)</f>
        <v>0</v>
      </c>
      <c r="X136">
        <f>IF(DONBIW!E7*13&gt;DONBIW!E5*80%,DONBIW!E5*80%,N136)</f>
        <v>0</v>
      </c>
      <c r="AA136">
        <f>IF(AND(DONBIW!B25&gt;=50,DONBIW!B25&lt;=54),DONBIW!E7*13,0)</f>
        <v>0</v>
      </c>
      <c r="AE136">
        <f>IF(AND(DONBIW!B30&gt;=50,DONBIW!B30&lt;=54),DONBIW!E7*13,0)</f>
        <v>0</v>
      </c>
      <c r="AF136">
        <f>IF(AND(DONBIW!B35&gt;=50,DONBIW!B35&lt;=54),DONBIW!E7*13,0)</f>
        <v>0</v>
      </c>
      <c r="AG136">
        <f>IF(AND(DONBIW!B40&gt;=50,DONBIW!B40&lt;=54),DONBIW!E7*13,0)</f>
        <v>0</v>
      </c>
      <c r="AH136">
        <f>IF(AND(DONBIW!B45&gt;=50,DONBIW!B45&lt;=54),DONBIW!E7*13,0)</f>
        <v>0</v>
      </c>
      <c r="AI136">
        <f>IF(AND(DONBIW!B50&gt;=50,DONBIW!B50&lt;=54),DONBIW!E7*13,0)</f>
        <v>0</v>
      </c>
      <c r="AJ136">
        <f>IF(AND(DONBIW!B55&gt;=50,DONBIW!B55&lt;=54),DONBIW!E7*13,0)</f>
        <v>0</v>
      </c>
      <c r="AK136">
        <f>IF(AND(DONBIW!B60&gt;=50,DONBIW!B60&lt;=54),DONBIW!E7*13,0)</f>
        <v>0</v>
      </c>
      <c r="AN136">
        <f>IF(AND(DONBIW!B65&gt;=50,DONBIW!B65&lt;=54),DONBIW!E7*13,0)</f>
        <v>0</v>
      </c>
      <c r="AP136">
        <f>IF(DONBIW!E7*13&gt;DONBIW!E5*80%,DONBIW!E5*80%,AA136)</f>
        <v>0</v>
      </c>
      <c r="AQ136">
        <f>IF(DONBIW!E7*13&gt;DONBIW!E5*80%,DONBIW!E5*80%,AE136)</f>
        <v>0</v>
      </c>
      <c r="AR136">
        <f>IF(DONBIW!E7*13&gt;DONBIW!E5*80%,DONBIW!E5*80%,AF136)</f>
        <v>0</v>
      </c>
      <c r="AS136">
        <f>IF(DONBIW!E7*13&gt;DONBIW!E5*80%,DONBIW!E5*80%,AG136)</f>
        <v>0</v>
      </c>
      <c r="AT136">
        <f>IF(DONBIW!E7*13&gt;DONBIW!E5*80%,DONBIW!E5*80%,AH136)</f>
        <v>0</v>
      </c>
      <c r="AU136">
        <f>IF(DONBIW!E7*13&gt;DONBIW!E5*80%,DONBIW!E5*80%,AI136)</f>
        <v>0</v>
      </c>
      <c r="AV136">
        <f>IF(DONBIW!E7*13&gt;DONBIW!E5*80%,DONBIW!E5*80%,AJ136)</f>
        <v>0</v>
      </c>
      <c r="AW136">
        <f>IF(DONBIW!E7*13&gt;DONBIW!E5*80%,DONBIW!E5*80%,AK136)</f>
        <v>0</v>
      </c>
      <c r="AX136">
        <f>IF(DONBIW!E7*13&gt;DONBIW!E5*80%,DONBIW!E5*80%,AN136)</f>
        <v>0</v>
      </c>
    </row>
    <row r="138" spans="1:50" x14ac:dyDescent="0.2">
      <c r="A138">
        <f>IF(AND(DONBIW!B23&gt;=55,DONBIW!B23&lt;=59),DONBIW!E7*11,0)</f>
        <v>0</v>
      </c>
      <c r="E138">
        <f>IF(AND(DONBIW!B28&gt;=55,DONBIW!B28&lt;=59),DONBIW!E7*11,0)</f>
        <v>0</v>
      </c>
      <c r="F138">
        <f>IF(AND(DONBIW!B33&gt;=55,DONBIW!B33&lt;=59),DONBIW!E7*11,0)</f>
        <v>0</v>
      </c>
      <c r="G138">
        <f>IF(AND(DONBIW!B38&gt;=55,DONBIW!B38&lt;=59),DONBIW!E7*11,0)</f>
        <v>0</v>
      </c>
      <c r="H138">
        <f>IF(AND(DONBIW!B43&gt;=55,DONBIW!B43&lt;=59),DONBIW!E7*11,0)</f>
        <v>0</v>
      </c>
      <c r="I138">
        <f>IF(AND(DONBIW!B48&gt;=55,DONBIW!B48&lt;=59),DONBIW!E7*11,0)</f>
        <v>0</v>
      </c>
      <c r="J138">
        <f>IF(AND(DONBIW!B53&gt;=55,DONBIW!B53&lt;=59),DONBIW!E7*11,0)</f>
        <v>0</v>
      </c>
      <c r="K138">
        <f>IF(AND(DONBIW!B58&gt;=55,DONBIW!B58&lt;=59),DONBIW!E7*11,0)</f>
        <v>0</v>
      </c>
      <c r="N138">
        <f>IF(AND(DONBIW!B63&gt;=55,DONBIW!B63&lt;=59),DONBIW!E7*11,0)</f>
        <v>0</v>
      </c>
      <c r="P138">
        <f>IF(DONBIW!E7*11&gt;DONBIW!E5*80%,DONBIW!E5*80%,A138)</f>
        <v>0</v>
      </c>
      <c r="Q138">
        <f>IF(DONBIW!E7*11&gt;DONBIW!E5*80%,DONBIW!E5*80%,E138)</f>
        <v>0</v>
      </c>
      <c r="R138">
        <f>IF(DONBIW!E7*11&gt;DONBIW!E5*80%,DONBIW!E5*80%,F138)</f>
        <v>0</v>
      </c>
      <c r="S138">
        <f>IF(DONBIW!E7*11&gt;DONBIW!E5*80%,DONBIW!E5*80%,G138)</f>
        <v>0</v>
      </c>
      <c r="T138">
        <f>IF(DONBIW!E7*11&gt;DONBIW!E5*80%,DONBIW!E5*80%,H138)</f>
        <v>0</v>
      </c>
      <c r="U138">
        <f>IF(DONBIW!E7*11&gt;DONBIW!E5*80%,DONBIW!E5*80%,I138)</f>
        <v>0</v>
      </c>
      <c r="V138">
        <f>IF(DONBIW!E7*11&gt;DONBIW!E5*80%,DONBIW!E5*80%,J138)</f>
        <v>0</v>
      </c>
      <c r="W138">
        <f>IF(DONBIW!E7*11&gt;DONBIW!E5*80%,DONBIW!E5*80%,K138)</f>
        <v>0</v>
      </c>
      <c r="X138">
        <f>IF(DONBIW!E7*11&gt;DONBIW!E5*80%,DONBIW!E5*80%,N138)</f>
        <v>0</v>
      </c>
      <c r="AA138">
        <f>IF(AND(DONBIW!B25&gt;=55,DONBIW!B25&lt;=59),DONBIW!E7*11,0)</f>
        <v>0</v>
      </c>
      <c r="AE138">
        <f>IF(AND(DONBIW!B30&gt;=55,DONBIW!B30&lt;=59),DONBIW!E7*11,0)</f>
        <v>0</v>
      </c>
      <c r="AF138">
        <f>IF(AND(DONBIW!B35&gt;=55,DONBIW!B35&lt;=59),DONBIW!E7*11,0)</f>
        <v>0</v>
      </c>
      <c r="AG138">
        <f>IF(AND(DONBIW!B40&gt;=55,DONBIW!B40&lt;=59),DONBIW!E7*11,0)</f>
        <v>0</v>
      </c>
      <c r="AH138">
        <f>IF(AND(DONBIW!B45&gt;=55,DONBIW!B45&lt;=59),DONBIW!E7*11,0)</f>
        <v>0</v>
      </c>
      <c r="AI138">
        <f>IF(AND(DONBIW!B50&gt;=55,DONBIW!B50&lt;=59),DONBIW!E7*11,0)</f>
        <v>0</v>
      </c>
      <c r="AJ138">
        <f>IF(AND(DONBIW!B55&gt;=55,DONBIW!B55&lt;=59),DONBIW!E7*11,0)</f>
        <v>0</v>
      </c>
      <c r="AK138">
        <f>IF(AND(DONBIW!B60&gt;=55,DONBIW!B60&lt;=59),DONBIW!E7*11,0)</f>
        <v>0</v>
      </c>
      <c r="AN138">
        <f>IF(AND(DONBIW!B65&gt;=55,DONBIW!B65&lt;=59),DONBIW!E7*11,0)</f>
        <v>0</v>
      </c>
      <c r="AP138">
        <f>IF(DONBIW!E7*11&gt;DONBIW!E5*80%,DONBIW!E5*80%,AA138)</f>
        <v>0</v>
      </c>
      <c r="AQ138">
        <f>IF(DONBIW!E7*11&gt;DONBIW!E5*80%,DONBIW!E5*80%,AE138)</f>
        <v>0</v>
      </c>
      <c r="AR138">
        <f>IF(DONBIW!E7*11&gt;DONBIW!E5*80%,DONBIW!E5*80%,AF138)</f>
        <v>0</v>
      </c>
      <c r="AS138">
        <f>IF(DONBIW!E7*11&gt;DONBIW!E5*80%,DONBIW!E5*80%,AG138)</f>
        <v>0</v>
      </c>
      <c r="AT138">
        <f>IF(DONBIW!E7*11&gt;DONBIW!E5*80%,DONBIW!E5*80%,AH138)</f>
        <v>0</v>
      </c>
      <c r="AU138">
        <f>IF(DONBIW!E7*11&gt;DONBIW!E5*80%,DONBIW!E5*80%,AI138)</f>
        <v>0</v>
      </c>
      <c r="AV138">
        <f>IF(DONBIW!E7*11&gt;DONBIW!E5*80%,DONBIW!E5*80%,AJ138)</f>
        <v>0</v>
      </c>
      <c r="AW138">
        <f>IF(DONBIW!E7*11&gt;DONBIW!E5*80%,DONBIW!E5*80%,AK138)</f>
        <v>0</v>
      </c>
      <c r="AX138">
        <f>IF(DONBIW!E7*11&gt;DONBIW!E5*80%,DONBIW!E5*80%,AN138)</f>
        <v>0</v>
      </c>
    </row>
    <row r="140" spans="1:50" x14ac:dyDescent="0.2">
      <c r="A140">
        <f>IF(AND(DONBIW!B23&gt;=60,DONBIW!B23&lt;=64),DONBIW!E7*9.5,0)</f>
        <v>0</v>
      </c>
      <c r="E140">
        <f>IF(AND(DONBIW!B28&gt;=60,DONBIW!B28&lt;=64),DONBIW!E7*9.5,0)</f>
        <v>0</v>
      </c>
      <c r="F140">
        <f>IF(AND(DONBIW!B33&gt;=60,DONBIW!B33&lt;=64),DONBIW!E7*9.5,0)</f>
        <v>0</v>
      </c>
      <c r="G140">
        <f>IF(AND(DONBIW!B38&gt;=60,DONBIW!B38&lt;=64),DONBIW!E7*9.5,0)</f>
        <v>0</v>
      </c>
      <c r="H140">
        <f>IF(AND(DONBIW!B43&gt;=60,DONBIW!B43&lt;=64),DONBIW!E7*9.5,0)</f>
        <v>0</v>
      </c>
      <c r="I140">
        <f>IF(AND(DONBIW!B48&gt;=60,DONBIW!B48&lt;=64),DONBIW!E7*9.5,0)</f>
        <v>0</v>
      </c>
      <c r="J140">
        <f>IF(AND(DONBIW!B53&gt;=60,DONBIW!B53&lt;=64),DONBIW!E7*9.5,0)</f>
        <v>0</v>
      </c>
      <c r="K140">
        <f>IF(AND(DONBIW!B58&gt;=60,DONBIW!B58&lt;=64),DONBIW!E7*9.5,0)</f>
        <v>0</v>
      </c>
      <c r="N140">
        <f>IF(AND(DONBIW!B63&gt;=60,DONBIW!B63&lt;=64),DONBIW!E7*9.5,0)</f>
        <v>0</v>
      </c>
      <c r="P140">
        <f>IF(DONBIW!E7*9&gt;DONBIW!E5*80%,DONBIW!E5*80%,A140)</f>
        <v>0</v>
      </c>
      <c r="Q140">
        <f>IF(DONBIW!E7*9&gt;DONBIW!E5*80%,DONBIW!E5*80%,E140)</f>
        <v>0</v>
      </c>
      <c r="R140">
        <f>IF(DONBIW!E7*9&gt;DONBIW!E5*80%,DONBIW!E5*80%,F140)</f>
        <v>0</v>
      </c>
      <c r="S140">
        <f>IF(DONBIW!E7*9&gt;DONBIW!E5*80%,DONBIW!E5*80%,G140)</f>
        <v>0</v>
      </c>
      <c r="T140">
        <f>IF(DONBIW!E7*9&gt;DONBIW!E5*80%,DONBIW!E5*80%,H140)</f>
        <v>0</v>
      </c>
      <c r="U140">
        <f>IF(DONBIW!E7*9&gt;DONBIW!E5*80%,DONBIW!E5*80%,I140)</f>
        <v>0</v>
      </c>
      <c r="V140">
        <f>IF(DONBIW!E7*9&gt;DONBIW!E5*80%,DONBIW!E5*80%,J140)</f>
        <v>0</v>
      </c>
      <c r="W140">
        <f>IF(DONBIW!E7*9&gt;DONBIW!E5*80%,DONBIW!E5*80%,K140)</f>
        <v>0</v>
      </c>
      <c r="X140">
        <f>IF(DONBIW!E7*9&gt;DONBIW!E5*80%,DONBIW!E5*80%,N140)</f>
        <v>0</v>
      </c>
      <c r="AA140">
        <f>IF(AND(DONBIW!B25&gt;=60,DONBIW!B25&lt;=64),DONBIW!E7*9.5,0)</f>
        <v>0</v>
      </c>
      <c r="AE140">
        <f>IF(AND(DONBIW!B30&gt;=60,DONBIW!B30&lt;=64),DONBIW!E7*9.5,0)</f>
        <v>0</v>
      </c>
      <c r="AF140">
        <f>IF(AND(DONBIW!B35&gt;=60,DONBIW!B35&lt;=64),DONBIW!E7*9.5,0)</f>
        <v>0</v>
      </c>
      <c r="AG140">
        <f>IF(AND(DONBIW!B40&gt;=60,DONBIW!B40&lt;=64),DONBIW!E7*9.5,0)</f>
        <v>0</v>
      </c>
      <c r="AH140">
        <f>IF(AND(DONBIW!B45&gt;=60,DONBIW!B45&lt;=64),DONBIW!E7*9.5,0)</f>
        <v>0</v>
      </c>
      <c r="AI140">
        <f>IF(AND(DONBIW!B50&gt;=60,DONBIW!B50&lt;=64),DONBIW!E7*9.5,0)</f>
        <v>0</v>
      </c>
      <c r="AJ140">
        <f>IF(AND(DONBIW!B55&gt;=60,DONBIW!B55&lt;=64),DONBIW!E7*9.5,0)</f>
        <v>0</v>
      </c>
      <c r="AK140">
        <f>IF(AND(DONBIW!B60&gt;=60,DONBIW!B60&lt;=64),DONBIW!E7*9.5,0)</f>
        <v>0</v>
      </c>
      <c r="AN140">
        <f>IF(AND(DONBIW!B65&gt;=60,DONBIW!B65&lt;=64),DONBIW!E7*9.5,0)</f>
        <v>0</v>
      </c>
      <c r="AP140">
        <f>IF(DONBIW!E7*9&gt;DONBIW!E5*80%,DONBIW!E5*80%,AA140)</f>
        <v>0</v>
      </c>
      <c r="AQ140">
        <f>IF(DONBIW!E7*9&gt;DONBIW!E5*80%,DONBIW!E5*80%,AE140)</f>
        <v>0</v>
      </c>
      <c r="AR140">
        <f>IF(DONBIW!E7*9&gt;DONBIW!E5*80%,DONBIW!E5*80%,AF140)</f>
        <v>0</v>
      </c>
      <c r="AS140">
        <f>IF(DONBIW!E7*9&gt;DONBIW!E5*80%,DONBIW!E5*80%,AG140)</f>
        <v>0</v>
      </c>
      <c r="AT140">
        <f>IF(DONBIW!E7*9&gt;DONBIW!E5*80%,DONBIW!E5*80%,AH140)</f>
        <v>0</v>
      </c>
      <c r="AU140">
        <f>IF(DONBIW!E7*9&gt;DONBIW!E5*80%,DONBIW!E5*80%,AI140)</f>
        <v>0</v>
      </c>
      <c r="AV140">
        <f>IF(DONBIW!E7*9&gt;DONBIW!E5*80%,DONBIW!E5*80%,AJ140)</f>
        <v>0</v>
      </c>
      <c r="AW140">
        <f>IF(DONBIW!E7*9&gt;DONBIW!E5*80%,DONBIW!E5*80%,AK140)</f>
        <v>0</v>
      </c>
      <c r="AX140">
        <f>IF(DONBIW!E7*9&gt;DONBIW!E5*80%,DONBIW!E5*80%,AN140)</f>
        <v>0</v>
      </c>
    </row>
    <row r="142" spans="1:50" x14ac:dyDescent="0.2">
      <c r="A142">
        <f>IF(AND(DONBIW!B23&gt;=65,DONBIW!B23&lt;=69),DONBIW!E7*8,0)</f>
        <v>0</v>
      </c>
      <c r="E142">
        <f>IF(AND(DONBIW!B28&gt;=65,DONBIW!B28&lt;=69),DONBIW!E7*8,0)</f>
        <v>0</v>
      </c>
      <c r="F142">
        <f>IF(AND(DONBIW!B33&gt;=65,DONBIW!B33&lt;=69),DONBIW!E7*8,0)</f>
        <v>0</v>
      </c>
      <c r="G142">
        <f>IF(AND(DONBIW!B38&gt;=65,DONBIW!B38&lt;=69),DONBIW!E7*8,0)</f>
        <v>0</v>
      </c>
      <c r="H142">
        <f>IF(AND(DONBIW!B43&gt;=65,DONBIW!B43&lt;=69),DONBIW!E7*8,0)</f>
        <v>0</v>
      </c>
      <c r="I142">
        <f>IF(AND(DONBIW!B48&gt;=65,DONBIW!B48&lt;=69),DONBIW!E7*8,0)</f>
        <v>0</v>
      </c>
      <c r="J142">
        <f>IF(AND(DONBIW!B53&gt;=65,DONBIW!B53&lt;=69),DONBIW!E7*8,0)</f>
        <v>0</v>
      </c>
      <c r="K142">
        <f>IF(AND(DONBIW!B58&gt;=65,DONBIW!B58&lt;=69),DONBIW!E7*8,0)</f>
        <v>0</v>
      </c>
      <c r="N142">
        <f>IF(AND(DONBIW!B63&gt;=65,DONBIW!B63&lt;=69),DONBIW!E7*8,0)</f>
        <v>0</v>
      </c>
      <c r="P142">
        <f>IF(DONBIW!E7*8&gt;DONBIW!E5*80%,DONBIW!E5*80%,A142)</f>
        <v>0</v>
      </c>
      <c r="Q142">
        <f>IF(DONBIW!E7*8&gt;DONBIW!E5*80%,DONBIW!E5*80%,E142)</f>
        <v>0</v>
      </c>
      <c r="R142">
        <f>IF(DONBIW!E7*8&gt;DONBIW!E5*80%,DONBIW!E5*80%,F142)</f>
        <v>0</v>
      </c>
      <c r="S142">
        <f>IF(DONBIW!E7*8&gt;DONBIW!E5*80%,DONBIW!E5*80%,G142)</f>
        <v>0</v>
      </c>
      <c r="T142">
        <f>IF(DONBIW!E7*8&gt;DONBIW!E5*80%,DONBIW!E5*80%,H142)</f>
        <v>0</v>
      </c>
      <c r="U142">
        <f>IF(DONBIW!E7*8&gt;DONBIW!E5*80%,DONBIW!E5*80%,I142)</f>
        <v>0</v>
      </c>
      <c r="V142">
        <f>IF(DONBIW!E7*8&gt;DONBIW!E5*80%,DONBIW!E5*80%,J142)</f>
        <v>0</v>
      </c>
      <c r="W142">
        <f>IF(DONBIW!E7*8&gt;DONBIW!E5*80%,DONBIW!E5*80%,K142)</f>
        <v>0</v>
      </c>
      <c r="X142">
        <f>IF(DONBIW!E7*8&gt;DONBIW!E5*80%,DONBIW!E5*80%,N142)</f>
        <v>0</v>
      </c>
      <c r="AA142">
        <f>IF(AND(DONBIW!B25&gt;=65,DONBIW!B25&lt;=69),DONBIW!E7*8,0)</f>
        <v>0</v>
      </c>
      <c r="AE142">
        <f>IF(AND(DONBIW!B30&gt;=65,DONBIW!B30&lt;=69),DONBIW!E7*8,0)</f>
        <v>0</v>
      </c>
      <c r="AF142">
        <f>IF(AND(DONBIW!B35&gt;=65,DONBIW!B35&lt;=69),DONBIW!E7*8,0)</f>
        <v>0</v>
      </c>
      <c r="AG142">
        <f>IF(AND(DONBIW!B40&gt;=65,DONBIW!B40&lt;=69),DONBIW!E7*8,0)</f>
        <v>0</v>
      </c>
      <c r="AH142">
        <f>IF(AND(DONBIW!B45&gt;=65,DONBIW!B45&lt;=69),DONBIW!E7*8,0)</f>
        <v>0</v>
      </c>
      <c r="AI142">
        <f>IF(AND(DONBIW!B50&gt;=65,DONBIW!B50&lt;=69),DONBIW!E7*8,0)</f>
        <v>0</v>
      </c>
      <c r="AJ142">
        <f>IF(AND(DONBIW!B55&gt;=65,DONBIW!B55&lt;=69),DONBIW!E7*8,0)</f>
        <v>0</v>
      </c>
      <c r="AK142">
        <f>IF(AND(DONBIW!B60&gt;=65,DONBIW!B60&lt;=69),DONBIW!E7*8,0)</f>
        <v>0</v>
      </c>
      <c r="AN142">
        <f>IF(AND(DONBIW!B65&gt;=65,DONBIW!B65&lt;=69),DONBIW!E7*8,0)</f>
        <v>0</v>
      </c>
      <c r="AP142">
        <f>IF(DONBIW!E7*8&gt;DONBIW!E5*80%,DONBIW!E5*80%,AA142)</f>
        <v>0</v>
      </c>
      <c r="AQ142">
        <f>IF(DONBIW!E7*8&gt;DONBIW!E5*80%,DONBIW!E5*80%,AE142)</f>
        <v>0</v>
      </c>
      <c r="AR142">
        <f>IF(DONBIW!E7*8&gt;DONBIW!E5*80%,DONBIW!E5*80%,AF142)</f>
        <v>0</v>
      </c>
      <c r="AS142">
        <f>IF(DONBIW!E7*8&gt;DONBIW!E5*80%,DONBIW!E5*80%,AG142)</f>
        <v>0</v>
      </c>
      <c r="AT142">
        <f>IF(DONBIW!E7*8&gt;DONBIW!E5*80%,DONBIW!E5*80%,AH142)</f>
        <v>0</v>
      </c>
      <c r="AU142">
        <f>IF(DONBIW!E7*8&gt;DONBIW!E5*80%,DONBIW!E5*80%,AI142)</f>
        <v>0</v>
      </c>
      <c r="AV142">
        <f>IF(DONBIW!E7*8&gt;DONBIW!E5*80%,DONBIW!E5*80%,AJ142)</f>
        <v>0</v>
      </c>
      <c r="AW142">
        <f>IF(DONBIW!E7*8&gt;DONBIW!E5*80%,DONBIW!E5*80%,AK142)</f>
        <v>0</v>
      </c>
      <c r="AX142">
        <f>IF(DONBIW!E7*8&gt;DONBIW!E5*80%,DONBIW!E5*80%,AN142)</f>
        <v>0</v>
      </c>
    </row>
    <row r="144" spans="1:50" x14ac:dyDescent="0.2">
      <c r="A144">
        <f>IF(AND(DONBIW!B23&gt;=70,DONBIW!B23&lt;=74),DONBIW!E7*6,0)</f>
        <v>0</v>
      </c>
      <c r="E144">
        <f>IF(AND(DONBIW!B28&gt;=70,DONBIW!B28&lt;=74),DONBIW!E7*6,0)</f>
        <v>0</v>
      </c>
      <c r="F144">
        <f>IF(AND(DONBIW!B33&gt;=70,DONBIW!B33&lt;=74),DONBIW!E7*6,0)</f>
        <v>0</v>
      </c>
      <c r="G144">
        <f>IF(AND(DONBIW!B38&gt;=70,DONBIW!B38&lt;=74),DONBIW!E7*6,0)</f>
        <v>0</v>
      </c>
      <c r="H144">
        <f>IF(AND(DONBIW!B43&gt;=70,DONBIW!B43&lt;=74),DONBIW!E7*6,0)</f>
        <v>0</v>
      </c>
      <c r="I144">
        <f>IF(AND(DONBIW!B48&gt;=70,DONBIW!B48&lt;=74),DONBIW!E7*6,0)</f>
        <v>0</v>
      </c>
      <c r="J144">
        <f>IF(AND(DONBIW!B53&gt;=70,DONBIW!B53&lt;=74),DONBIW!E7*6,0)</f>
        <v>0</v>
      </c>
      <c r="K144">
        <f>IF(AND(DONBIW!B58&gt;=70,DONBIW!B58&lt;=74),DONBIW!E7*6,0)</f>
        <v>0</v>
      </c>
      <c r="N144">
        <f>IF(AND(DONBIW!B63&gt;=70,DONBIW!B63&lt;=74),DONBIW!E7*6,0)</f>
        <v>0</v>
      </c>
      <c r="P144">
        <f>IF(DONBIW!E7*6&gt;DONBIW!E5*80%,DONBIW!E5*80%,A144)</f>
        <v>0</v>
      </c>
      <c r="Q144">
        <f>IF(DONBIW!E7*6&gt;DONBIW!E5*80%,DONBIW!E5*80%,E144)</f>
        <v>0</v>
      </c>
      <c r="R144">
        <f>IF(DONBIW!E7*6&gt;DONBIW!E5*80%,DONBIW!E5*80%,F144)</f>
        <v>0</v>
      </c>
      <c r="S144">
        <f>IF(DONBIW!E7*6&gt;DONBIW!E5*80%,DONBIW!E5*80%,G144)</f>
        <v>0</v>
      </c>
      <c r="T144">
        <f>IF(DONBIW!E7*6&gt;DONBIW!E5*80%,DONBIW!E5*80%,H144)</f>
        <v>0</v>
      </c>
      <c r="U144">
        <f>IF(DONBIW!E7*6&gt;DONBIW!E5*80%,DONBIW!E5*80%,I144)</f>
        <v>0</v>
      </c>
      <c r="V144">
        <f>IF(DONBIW!E7*6&gt;DONBIW!E5*80%,DONBIW!E5*80%,J144)</f>
        <v>0</v>
      </c>
      <c r="W144">
        <f>IF(DONBIW!E7*6&gt;DONBIW!E5*80%,DONBIW!E5*80%,K144)</f>
        <v>0</v>
      </c>
      <c r="X144">
        <f>IF(DONBIW!E7*6&gt;DONBIW!E5*80%,DONBIW!E5*80%,N144)</f>
        <v>0</v>
      </c>
      <c r="AA144">
        <f>IF(AND(DONBIW!B25&gt;=70,DONBIW!B25&lt;=74),DONBIW!E7*6,0)</f>
        <v>0</v>
      </c>
      <c r="AE144">
        <f>IF(AND(DONBIW!B30&gt;=70,DONBIW!B30&lt;=74),DONBIW!E7*6,0)</f>
        <v>0</v>
      </c>
      <c r="AF144">
        <f>IF(AND(DONBIW!B35&gt;=70,DONBIW!B35&lt;=74),DONBIW!E7*6,0)</f>
        <v>0</v>
      </c>
      <c r="AG144">
        <f>IF(AND(DONBIW!B40&gt;=70,DONBIW!B40&lt;=74),DONBIW!E7*6,0)</f>
        <v>0</v>
      </c>
      <c r="AH144">
        <f>IF(AND(DONBIW!B45&gt;=70,DONBIW!B45&lt;=74),DONBIW!E7*6,0)</f>
        <v>0</v>
      </c>
      <c r="AI144">
        <f>IF(AND(DONBIW!B50&gt;=70,DONBIW!B50&lt;=74),DONBIW!E7*6,0)</f>
        <v>0</v>
      </c>
      <c r="AJ144">
        <f>IF(AND(DONBIW!B55&gt;=70,DONBIW!B55&lt;=74),DONBIW!E7*6,0)</f>
        <v>0</v>
      </c>
      <c r="AK144">
        <f>IF(AND(DONBIW!B60&gt;=70,DONBIW!B60&lt;=74),DONBIW!E7*6,0)</f>
        <v>0</v>
      </c>
      <c r="AN144">
        <f>IF(AND(DONBIW!B65&gt;=70,DONBIW!B65&lt;=74),DONBIW!E7*6,0)</f>
        <v>0</v>
      </c>
      <c r="AP144">
        <f>IF(DONBIW!E7*6&gt;DONBIW!E5*80%,DONBIW!E5*80%,AA144)</f>
        <v>0</v>
      </c>
      <c r="AQ144">
        <f>IF(DONBIW!E7*6&gt;DONBIW!E5*80%,DONBIW!E5*80%,AE144)</f>
        <v>0</v>
      </c>
      <c r="AR144">
        <f>IF(DONBIW!E7*6&gt;DONBIW!E5*80%,DONBIW!E5*80%,AF144)</f>
        <v>0</v>
      </c>
      <c r="AS144">
        <f>IF(DONBIW!E7*6&gt;DONBIW!E5*80%,DONBIW!E5*80%,AG144)</f>
        <v>0</v>
      </c>
      <c r="AT144">
        <f>IF(DONBIW!E7*6&gt;DONBIW!E5*80%,DONBIW!E5*80%,AH144)</f>
        <v>0</v>
      </c>
      <c r="AU144">
        <f>IF(DONBIW!E7*6&gt;DONBIW!E5*80%,DONBIW!E5*80%,AI144)</f>
        <v>0</v>
      </c>
      <c r="AV144">
        <f>IF(DONBIW!E7*6&gt;DONBIW!E5*80%,DONBIW!E5*80%,AJ144)</f>
        <v>0</v>
      </c>
      <c r="AW144">
        <f>IF(DONBIW!E7*6&gt;DONBIW!E5*80%,DONBIW!E5*80%,AK144)</f>
        <v>0</v>
      </c>
      <c r="AX144">
        <f>IF(DONBIW!E7*6&gt;DONBIW!E5*80%,DONBIW!E5*80%,AN144)</f>
        <v>0</v>
      </c>
    </row>
    <row r="146" spans="1:50" x14ac:dyDescent="0.2">
      <c r="A146">
        <f>IF(AND(DONBIW!B23&gt;=75,DONBIW!B23&lt;=79),DONBIW!E7*4,0)</f>
        <v>0</v>
      </c>
      <c r="E146">
        <f>IF(AND(DONBIW!B28&gt;=75,DONBIW!B28&lt;=79),DONBIW!E7*4,0)</f>
        <v>0</v>
      </c>
      <c r="F146">
        <f>IF(AND(DONBIW!B33&gt;=75,DONBIW!B33&lt;=79),DONBIW!E7*4,0)</f>
        <v>0</v>
      </c>
      <c r="G146">
        <f>IF(AND(DONBIW!B38&gt;=75,DONBIW!B38&lt;=79),DONBIW!E7*4,0)</f>
        <v>0</v>
      </c>
      <c r="H146">
        <f>IF(AND(DONBIW!B43&gt;=75,DONBIW!B43&lt;=79),DONBIW!E7*4,0)</f>
        <v>0</v>
      </c>
      <c r="I146">
        <f>IF(AND(DONBIW!B48&gt;=75,DONBIW!B48&lt;=79),DONBIW!E7*4,0)</f>
        <v>0</v>
      </c>
      <c r="J146">
        <f>IF(AND(DONBIW!B53&gt;=75,DONBIW!B53&lt;=79),DONBIW!E7*4,0)</f>
        <v>0</v>
      </c>
      <c r="K146">
        <f>IF(AND(DONBIW!B58&gt;=75,DONBIW!B58&lt;=79),DONBIW!E7*4,0)</f>
        <v>0</v>
      </c>
      <c r="N146">
        <f>IF(AND(DONBIW!B63&gt;=75,DONBIW!B63&lt;=79),DONBIW!E7*4,0)</f>
        <v>0</v>
      </c>
      <c r="P146">
        <f>IF(DONBIW!E7*4&gt;DONBIW!E5*80%,DONBIW!E5*80%,A146)</f>
        <v>0</v>
      </c>
      <c r="Q146">
        <f>IF(DONBIW!E7*4&gt;DONBIW!E5*80%,DONBIW!E5*80%,E146)</f>
        <v>0</v>
      </c>
      <c r="R146">
        <f>IF(DONBIW!E7*4&gt;DONBIW!E5*80%,DONBIW!E5*80%,F146)</f>
        <v>0</v>
      </c>
      <c r="S146">
        <f>IF(DONBIW!E7*4&gt;DONBIW!E5*80%,DONBIW!E5*80%,G146)</f>
        <v>0</v>
      </c>
      <c r="T146">
        <f>IF(DONBIW!E7*4&gt;DONBIW!E5*80%,DONBIW!E5*80%,H146)</f>
        <v>0</v>
      </c>
      <c r="U146">
        <f>IF(DONBIW!E7*4&gt;DONBIW!E5*80%,DONBIW!E5*80%,I146)</f>
        <v>0</v>
      </c>
      <c r="V146">
        <f>IF(DONBIW!E7*4&gt;DONBIW!E5*80%,DONBIW!E5*80%,J146)</f>
        <v>0</v>
      </c>
      <c r="W146">
        <f>IF(DONBIW!E7*4&gt;DONBIW!E5*80%,DONBIW!E5*80%,K146)</f>
        <v>0</v>
      </c>
      <c r="X146">
        <f>IF(DONBIW!E7*4&gt;DONBIW!E5*80%,DONBIW!E5*80%,N146)</f>
        <v>0</v>
      </c>
      <c r="AA146">
        <f>IF(AND(DONBIW!B25&gt;=75,DONBIW!B25&lt;=79),DONBIW!E7*4,0)</f>
        <v>0</v>
      </c>
      <c r="AE146">
        <f>IF(AND(DONBIW!B30&gt;=75,DONBIW!B30&lt;=79),DONBIW!E7*4,0)</f>
        <v>0</v>
      </c>
      <c r="AF146">
        <f>IF(AND(DONBIW!B35&gt;=75,DONBIW!B35&lt;=79),DONBIW!E7*4,0)</f>
        <v>0</v>
      </c>
      <c r="AG146">
        <f>IF(AND(DONBIW!B40&gt;=75,DONBIW!B40&lt;=79),DONBIW!E7*4,0)</f>
        <v>0</v>
      </c>
      <c r="AH146">
        <f>IF(AND(DONBIW!B45&gt;=75,DONBIW!B45&lt;=79),DONBIW!E7*4,0)</f>
        <v>0</v>
      </c>
      <c r="AI146">
        <f>IF(AND(DONBIW!B50&gt;=75,DONBIW!B50&lt;=79),DONBIW!E7*4,0)</f>
        <v>0</v>
      </c>
      <c r="AJ146">
        <f>IF(AND(DONBIW!B55&gt;=75,DONBIW!B55&lt;=79),DONBIW!E7*4,0)</f>
        <v>0</v>
      </c>
      <c r="AK146">
        <f>IF(AND(DONBIW!B60&gt;=75,DONBIW!B60&lt;=79),DONBIW!E7*4,0)</f>
        <v>0</v>
      </c>
      <c r="AN146">
        <f>IF(AND(DONBIW!B65&gt;=75,DONBIW!B65&lt;=79),DONBIW!E7*4,0)</f>
        <v>0</v>
      </c>
      <c r="AP146">
        <f>IF(DONBIW!E7*4&gt;DONBIW!E5*80%,DONBIW!E5*80%,AA146)</f>
        <v>0</v>
      </c>
      <c r="AQ146">
        <f>IF(DONBIW!E7*4&gt;DONBIW!E5*80%,DONBIW!E5*80%,AE146)</f>
        <v>0</v>
      </c>
      <c r="AR146">
        <f>IF(DONBIW!E7*4&gt;DONBIW!E5*80%,DONBIW!E5*80%,AF146)</f>
        <v>0</v>
      </c>
      <c r="AS146">
        <f>IF(DONBIW!E7*4&gt;DONBIW!E5*80%,DONBIW!E5*80%,AG146)</f>
        <v>0</v>
      </c>
      <c r="AT146">
        <f>IF(DONBIW!E7*4&gt;DONBIW!E5*80%,DONBIW!E5*80%,AH146)</f>
        <v>0</v>
      </c>
      <c r="AU146">
        <f>IF(DONBIW!E7*4&gt;DONBIW!E5*80%,DONBIW!E5*80%,AI146)</f>
        <v>0</v>
      </c>
      <c r="AV146">
        <f>IF(DONBIW!E7*4&gt;DONBIW!E5*80%,DONBIW!E5*80%,AJ146)</f>
        <v>0</v>
      </c>
      <c r="AW146">
        <f>IF(DONBIW!E7*4&gt;DONBIW!E5*80%,DONBIW!E5*80%,AK146)</f>
        <v>0</v>
      </c>
      <c r="AX146">
        <f>IF(DONBIW!E7*4&gt;DONBIW!E5*80%,DONBIW!E5*80%,AN146)</f>
        <v>0</v>
      </c>
    </row>
    <row r="148" spans="1:50" x14ac:dyDescent="0.2">
      <c r="A148">
        <f>IF(DONBIW!B23&gt;=80,DONBIW!E7*2,0)</f>
        <v>0</v>
      </c>
      <c r="E148">
        <f>IF(DONBIW!B28&gt;=80,DONBIW!E7*2,0)</f>
        <v>0</v>
      </c>
      <c r="F148">
        <f>IF(DONBIW!B33&gt;=80,DONBIW!E7*2,0)</f>
        <v>0</v>
      </c>
      <c r="G148">
        <f>IF(DONBIW!B38&gt;=80,DONBIW!E7*2,0)</f>
        <v>0</v>
      </c>
      <c r="H148">
        <f>IF(DONBIW!B43&gt;=80,DONBIW!E7*2,0)</f>
        <v>0</v>
      </c>
      <c r="I148">
        <f>IF(DONBIW!B48&gt;=80,DONBIW!E7*2,0)</f>
        <v>0</v>
      </c>
      <c r="J148">
        <f>IF(DONBIW!B53&gt;=80,DONBIW!E7*2,0)</f>
        <v>0</v>
      </c>
      <c r="K148">
        <f>IF(DONBIW!B58&gt;=80,DONBIW!E7*2,0)</f>
        <v>0</v>
      </c>
      <c r="N148">
        <f>IF(DONBIW!B63&gt;=80,DONBIW!E7*2,0)</f>
        <v>0</v>
      </c>
      <c r="P148">
        <f>IF(DONBIW!E7*2&gt;DONBIW!E5*80%,DONBIW!E5*80%,A148)</f>
        <v>0</v>
      </c>
      <c r="Q148">
        <f>IF(DONBIW!E7*2&gt;DONBIW!E5*80%,DONBIW!E5*80%,E148)</f>
        <v>0</v>
      </c>
      <c r="R148">
        <f>IF(DONBIW!E7*2&gt;DONBIW!E5*80%,DONBIW!E5*80%,F148)</f>
        <v>0</v>
      </c>
      <c r="S148">
        <f>IF(DONBIW!E7*2&gt;DONBIW!E5*80%,DONBIW!E5*80%,G148)</f>
        <v>0</v>
      </c>
      <c r="T148">
        <f>IF(DONBIW!E7*2&gt;DONBIW!E5*80%,DONBIW!E5*80%,H148)</f>
        <v>0</v>
      </c>
      <c r="U148">
        <f>IF(DONBIW!E7*2&gt;DONBIW!E5*80%,DONBIW!E5*80%,I148)</f>
        <v>0</v>
      </c>
      <c r="V148">
        <f>IF(DONBIW!E7*2&gt;DONBIW!E5*80%,DONBIW!E5*80%,J148)</f>
        <v>0</v>
      </c>
      <c r="W148">
        <f>IF(DONBIW!E7*2&gt;DONBIW!E5*80%,DONBIW!E5*80%,K148)</f>
        <v>0</v>
      </c>
      <c r="X148">
        <f>IF(DONBIW!E7*2&gt;DONBIW!E5*80%,DONBIW!E5*80%,N148)</f>
        <v>0</v>
      </c>
      <c r="AA148">
        <f>IF(DONBIW!B25&gt;=80,DONBIW!E7*2,0)</f>
        <v>0</v>
      </c>
      <c r="AE148">
        <f>IF(DONBIW!B30&gt;=80,DONBIW!E7*2,0)</f>
        <v>0</v>
      </c>
      <c r="AF148">
        <f>IF(DONBIW!B35&gt;=80,DONBIW!E7*2,0)</f>
        <v>0</v>
      </c>
      <c r="AG148">
        <f>IF(DONBIW!B40&gt;=80,DONBIW!E7*2,0)</f>
        <v>0</v>
      </c>
      <c r="AH148">
        <f>IF(DONBIW!B45&gt;=80,DONBIW!E7*2,0)</f>
        <v>0</v>
      </c>
      <c r="AI148">
        <f>IF(DONBIW!B50&gt;=80,DONBIW!E7*2,0)</f>
        <v>0</v>
      </c>
      <c r="AJ148">
        <f>IF(DONBIW!B55&gt;=80,DONBIW!E7*2,0)</f>
        <v>0</v>
      </c>
      <c r="AK148">
        <f>IF(DONBIW!B60&gt;=80,DONBIW!E7*2,0)</f>
        <v>0</v>
      </c>
      <c r="AN148">
        <f>IF(DONBIW!B65&gt;=80,DONBIW!E7*2,0)</f>
        <v>0</v>
      </c>
      <c r="AP148">
        <f>IF(DONBIW!E7*2&gt;DONBIW!E5*80%,DONBIW!E5*80%,AA148)</f>
        <v>0</v>
      </c>
      <c r="AQ148">
        <f>IF(DONBIW!E7*2&gt;DONBIW!E5*80%,DONBIW!E5*80%,AE148)</f>
        <v>0</v>
      </c>
      <c r="AR148">
        <f>IF(DONBIW!E7*2&gt;DONBIW!E5*80%,DONBIW!E5*80%,AF148)</f>
        <v>0</v>
      </c>
      <c r="AS148">
        <f>IF(DONBIW!E7*2&gt;DONBIW!E5*80%,DONBIW!E5*80%,AG148)</f>
        <v>0</v>
      </c>
      <c r="AT148">
        <f>IF(DONBIW!E7*2&gt;DONBIW!E5*80%,DONBIW!E5*80%,AH148)</f>
        <v>0</v>
      </c>
      <c r="AU148">
        <f>IF(DONBIW!E7*2&gt;DONBIW!E5*80%,DONBIW!E5*80%,AI148)</f>
        <v>0</v>
      </c>
      <c r="AV148">
        <f>IF(DONBIW!E7*2&gt;DONBIW!E5*80%,DONBIW!E5*80%,AJ148)</f>
        <v>0</v>
      </c>
      <c r="AW148">
        <f>IF(DONBIW!E7*2&gt;DONBIW!E5*80%,DONBIW!E5*80%,AK148)</f>
        <v>0</v>
      </c>
      <c r="AX148">
        <f>IF(DONBIW!E7*2&gt;DONBIW!E5*80%,DONBIW!E5*80%,AN148)</f>
        <v>0</v>
      </c>
    </row>
    <row r="150" spans="1:50" x14ac:dyDescent="0.2">
      <c r="A150">
        <f t="shared" ref="A150:I150" si="0">SUM(A128:A148)</f>
        <v>0</v>
      </c>
      <c r="E150">
        <f t="shared" si="0"/>
        <v>0</v>
      </c>
      <c r="F150">
        <f t="shared" si="0"/>
        <v>0</v>
      </c>
      <c r="G150">
        <f t="shared" si="0"/>
        <v>0</v>
      </c>
      <c r="H150">
        <f t="shared" si="0"/>
        <v>0</v>
      </c>
      <c r="I150">
        <f t="shared" si="0"/>
        <v>0</v>
      </c>
      <c r="J150">
        <f>SUM(I128:I148)</f>
        <v>0</v>
      </c>
      <c r="K150">
        <f>SUM(K128:K148)</f>
        <v>0</v>
      </c>
      <c r="N150">
        <f>SUM(N128:N148)</f>
        <v>0</v>
      </c>
      <c r="AA150">
        <f>SUM(AA128:AA148)</f>
        <v>0</v>
      </c>
      <c r="AE150">
        <f>SUM(AE128:AE148)</f>
        <v>0</v>
      </c>
      <c r="AF150">
        <f>SUM(AF128:AF148)</f>
        <v>0</v>
      </c>
      <c r="AG150">
        <f>SUM(AG128:AG148)</f>
        <v>0</v>
      </c>
      <c r="AH150">
        <f>SUM(AH128:AH148)</f>
        <v>0</v>
      </c>
      <c r="AI150">
        <f>SUM(AI128:AI148)</f>
        <v>0</v>
      </c>
      <c r="AJ150">
        <f>SUM(AI128:AI148)</f>
        <v>0</v>
      </c>
      <c r="AK150">
        <f>SUM(AK128:AK148)</f>
        <v>0</v>
      </c>
      <c r="AN150">
        <f>SUM(AN128:AN148)</f>
        <v>0</v>
      </c>
    </row>
    <row r="152" spans="1:50" x14ac:dyDescent="0.2">
      <c r="A152">
        <f>SUM(A150:N150)</f>
        <v>0</v>
      </c>
    </row>
    <row r="157" spans="1:50" x14ac:dyDescent="0.2">
      <c r="P157">
        <f>IF(DONBIW!B23&lt;20,P128,0)</f>
        <v>0</v>
      </c>
      <c r="Q157">
        <f>IF(DONBIW!B28&lt;20,Q128,0)</f>
        <v>0</v>
      </c>
      <c r="R157">
        <f>IF(DONBIW!B33&lt;20,R128,0)</f>
        <v>0</v>
      </c>
      <c r="S157">
        <f>IF(DONBIW!B38&lt;20,S128,0)</f>
        <v>0</v>
      </c>
      <c r="T157">
        <f>IF(DONBIW!B43&lt;20,T128,0)</f>
        <v>0</v>
      </c>
      <c r="U157">
        <f>IF(DONBIW!B48&lt;20,U128,0)</f>
        <v>0</v>
      </c>
      <c r="V157">
        <f>IF(DONBIW!B53&lt;20,V128,0)</f>
        <v>0</v>
      </c>
      <c r="W157">
        <f>IF(DONBIW!B58&lt;20,W128,0)</f>
        <v>0</v>
      </c>
      <c r="X157">
        <f>IF(DONBIW!B63&lt;20,X128,0)</f>
        <v>0</v>
      </c>
      <c r="AP157">
        <f>IF(DONBIW!B25&lt;20,AP128,0)</f>
        <v>0</v>
      </c>
      <c r="AQ157">
        <f>IF(DONBIW!B30&lt;20,AQ128,0)</f>
        <v>0</v>
      </c>
      <c r="AR157">
        <f>IF(DONBIW!B35&lt;20,AR128,0)</f>
        <v>0</v>
      </c>
      <c r="AS157">
        <f>IF(DONBIW!B40&lt;20,AS128,0)</f>
        <v>0</v>
      </c>
      <c r="AT157">
        <f>IF(DONBIW!B45&lt;20,AT128,0)</f>
        <v>0</v>
      </c>
      <c r="AU157">
        <f>IF(DONBIW!B50&lt;20,AU128,0)</f>
        <v>0</v>
      </c>
      <c r="AV157">
        <f>IF(DONBIW!B55&lt;20,AV128,0)</f>
        <v>0</v>
      </c>
      <c r="AW157">
        <f>IF(DONBIW!B60&lt;20,AW128,0)</f>
        <v>0</v>
      </c>
      <c r="AX157">
        <f>IF(DONBIW!B65&lt;20,AX128,0)</f>
        <v>0</v>
      </c>
    </row>
    <row r="159" spans="1:50" x14ac:dyDescent="0.2">
      <c r="P159">
        <f>IF(AND(DONBIW!B23&gt;=20,DONBIW!B23&lt;=29),P130,0)</f>
        <v>0</v>
      </c>
      <c r="Q159">
        <f>IF(AND(DONBIW!B28&gt;=20,DONBIW!B28&lt;=29),Q130,0)</f>
        <v>0</v>
      </c>
      <c r="R159">
        <f>IF(AND(DONBIW!B33&gt;=20,DONBIW!B33&lt;=29),R130,0)</f>
        <v>0</v>
      </c>
      <c r="S159">
        <f>IF(AND(DONBIW!B38&gt;=20,DONBIW!B38&lt;=29),S130,0)</f>
        <v>0</v>
      </c>
      <c r="T159">
        <f>IF(AND(DONBIW!B43&gt;=20,DONBIW!B43&lt;=29),T130,0)</f>
        <v>0</v>
      </c>
      <c r="U159">
        <f>IF(AND(DONBIW!B48&gt;=20,DONBIW!B48&lt;=29),U130,0)</f>
        <v>0</v>
      </c>
      <c r="V159">
        <f>IF(AND(DONBIW!B53&gt;=20,DONBIW!B53&lt;=29),V130,0)</f>
        <v>0</v>
      </c>
      <c r="W159">
        <f>IF(AND(DONBIW!B58&gt;=20,DONBIW!B58&lt;=29),W130,0)</f>
        <v>0</v>
      </c>
      <c r="X159">
        <f>IF(AND(DONBIW!B63&gt;=20,DONBIW!B63&lt;=29),X130,0)</f>
        <v>0</v>
      </c>
      <c r="AP159">
        <f>IF(AND(DONBIW!B25&gt;=20,DONBIW!B25&lt;=29),AP130,0)</f>
        <v>0</v>
      </c>
      <c r="AQ159">
        <f>IF(AND(DONBIW!B30&gt;=20,DONBIW!B30&lt;=29),AQ130,0)</f>
        <v>0</v>
      </c>
      <c r="AR159">
        <f>IF(AND(DONBIW!B35&gt;=20,DONBIW!B35&lt;=29),AR130,0)</f>
        <v>0</v>
      </c>
      <c r="AS159">
        <f>IF(AND(DONBIW!B40&gt;=20,DONBIW!B40&lt;=29),AS130,0)</f>
        <v>0</v>
      </c>
      <c r="AT159">
        <f>IF(AND(DONBIW!B45&gt;=20,DONBIW!B45&lt;=29),AT130,0)</f>
        <v>0</v>
      </c>
      <c r="AU159">
        <f>IF(AND(DONBIW!B50&gt;=20,DONBIW!B50&lt;=29),AU130,0)</f>
        <v>0</v>
      </c>
      <c r="AV159">
        <f>IF(AND(DONBIW!B55&gt;=20,DONBIW!B55&lt;=29),AV130,0)</f>
        <v>0</v>
      </c>
      <c r="AW159">
        <f>IF(AND(DONBIW!B60&gt;=20,DONBIW!B60&lt;=29),AW130,0)</f>
        <v>0</v>
      </c>
      <c r="AX159">
        <f>IF(AND(DONBIW!B65&gt;=20,DONBIW!B65&lt;=29),AX130,0)</f>
        <v>0</v>
      </c>
    </row>
    <row r="161" spans="1:50" x14ac:dyDescent="0.2">
      <c r="P161">
        <f>IF(AND(DONBIW!B23&gt;=30,DONBIW!B23&lt;=39),P132,0)</f>
        <v>0</v>
      </c>
      <c r="Q161">
        <f>IF(AND(DONBIW!B28&gt;=30,DONBIW!B28&lt;=39),Q132,0)</f>
        <v>0</v>
      </c>
      <c r="R161">
        <f>IF(AND(DONBIW!B33&gt;=30,DONBIW!B33&lt;=39),R132,0)</f>
        <v>0</v>
      </c>
      <c r="S161">
        <f>IF(AND(DONBIW!B38&gt;=30,DONBIW!B38&lt;=39),S132,0)</f>
        <v>0</v>
      </c>
      <c r="T161">
        <f>IF(AND(DONBIW!B43&gt;=30,DONBIW!B43&lt;=39),T132,0)</f>
        <v>0</v>
      </c>
      <c r="U161">
        <f>IF(AND(DONBIW!B48&gt;=30,DONBIW!B48&lt;=39),U132,0)</f>
        <v>0</v>
      </c>
      <c r="V161">
        <f>IF(AND(DONBIW!B53&gt;=30,DONBIW!B53&lt;=39),V132,0)</f>
        <v>0</v>
      </c>
      <c r="W161">
        <f>IF(AND(DONBIW!B58&gt;=30,DONBIW!B58&lt;=39),W132,0)</f>
        <v>0</v>
      </c>
      <c r="X161">
        <f>IF(AND(DONBIW!B63&gt;=30,DONBIW!B63&lt;=39),X132,0)</f>
        <v>0</v>
      </c>
      <c r="AP161">
        <f>IF(AND(DONBIW!B25&gt;=30,DONBIW!B25&lt;=39),AP132,0)</f>
        <v>0</v>
      </c>
      <c r="AQ161">
        <f>IF(AND(DONBIW!B30&gt;=30,DONBIW!B30&lt;=39),AQ132,0)</f>
        <v>0</v>
      </c>
      <c r="AR161">
        <f>IF(AND(DONBIW!B35&gt;=30,DONBIW!B35&lt;=39),AR132,0)</f>
        <v>0</v>
      </c>
      <c r="AS161">
        <f>IF(AND(DONBIW!B40&gt;=30,DONBIW!B40&lt;=39),AS132,0)</f>
        <v>0</v>
      </c>
      <c r="AT161">
        <f>IF(AND(DONBIW!B45&gt;=30,DONBIW!B45&lt;=39),AT132,0)</f>
        <v>0</v>
      </c>
      <c r="AU161">
        <f>IF(AND(DONBIW!B50&gt;=30,DONBIW!B50&lt;=39),AU132,0)</f>
        <v>0</v>
      </c>
      <c r="AV161">
        <f>IF(AND(DONBIW!B55&gt;=30,DONBIW!B55&lt;=39),AV132,0)</f>
        <v>0</v>
      </c>
      <c r="AW161">
        <f>IF(AND(DONBIW!B60&gt;=30,DONBIW!B60&lt;=39),AW132,0)</f>
        <v>0</v>
      </c>
      <c r="AX161">
        <f>IF(AND(DONBIW!B65&gt;=30,DONBIW!B65&lt;=39),AX132,0)</f>
        <v>0</v>
      </c>
    </row>
    <row r="165" spans="1:50" x14ac:dyDescent="0.2">
      <c r="P165">
        <f>IF(AND(DONBIW!B23&gt;=40,DONBIW!B23&lt;=49),P134,0)</f>
        <v>0</v>
      </c>
      <c r="Q165">
        <f>IF(AND(DONBIW!B28&gt;=40,DONBIW!B28&lt;=49),Q134,0)</f>
        <v>0</v>
      </c>
      <c r="R165">
        <f>IF(AND(DONBIW!B33&gt;=40,DONBIW!B33&lt;=49),R134,0)</f>
        <v>0</v>
      </c>
      <c r="S165">
        <f>IF(AND(DONBIW!B38&gt;=40,DONBIW!B38&lt;=49),S134,0)</f>
        <v>0</v>
      </c>
      <c r="T165">
        <f>IF(AND(DONBIW!B43&gt;=40,DONBIW!B43&lt;=49),T134,0)</f>
        <v>0</v>
      </c>
      <c r="U165">
        <f>IF(AND(DONBIW!B48&gt;=40,DONBIW!B48&lt;=49),U134,0)</f>
        <v>0</v>
      </c>
      <c r="V165">
        <f>IF(AND(DONBIW!B53&gt;=40,DONBIW!B53&lt;=49),V134,0)</f>
        <v>0</v>
      </c>
      <c r="W165">
        <f>IF(AND(DONBIW!B58&gt;=40,DONBIW!B58&lt;=49),W134,0)</f>
        <v>0</v>
      </c>
      <c r="X165">
        <f>IF(AND(DONBIW!B63&gt;=40,DONBIW!B63&lt;=49),X134,0)</f>
        <v>0</v>
      </c>
      <c r="AP165">
        <f>IF(AND(DONBIW!B25&gt;=40,DONBIW!B25&lt;=49),AP134,0)</f>
        <v>0</v>
      </c>
      <c r="AQ165">
        <f>IF(AND(DONBIW!B30&gt;=40,DONBIW!B30&lt;=49),AQ134,0)</f>
        <v>0</v>
      </c>
      <c r="AR165">
        <f>IF(AND(DONBIW!B35&gt;=40,DONBIW!B35&lt;=49),AR134,0)</f>
        <v>0</v>
      </c>
      <c r="AS165">
        <f>IF(AND(DONBIW!B40&gt;=40,DONBIW!B40&lt;=49),AS134,0)</f>
        <v>0</v>
      </c>
      <c r="AT165">
        <f>IF(AND(DONBIW!B45&gt;=40,DONBIW!B45&lt;=49),AT134,0)</f>
        <v>0</v>
      </c>
      <c r="AU165">
        <f>IF(AND(DONBIW!B50&gt;=40,DONBIW!B50&lt;=49),AU134,0)</f>
        <v>0</v>
      </c>
      <c r="AV165">
        <f>IF(AND(DONBIW!B55&gt;=40,DONBIW!B55&lt;=49),AV134,0)</f>
        <v>0</v>
      </c>
      <c r="AW165">
        <f>IF(AND(DONBIW!B60&gt;=40,DONBIW!B60&lt;=49),AW134,0)</f>
        <v>0</v>
      </c>
      <c r="AX165">
        <f>IF(AND(DONBIW!B65&gt;=40,DONBIW!B65&lt;=49),AX134,0)</f>
        <v>0</v>
      </c>
    </row>
    <row r="167" spans="1:50" x14ac:dyDescent="0.2">
      <c r="P167">
        <f>IF(AND(DONBIW!B23&gt;=50,DONBIW!B23&lt;=54),P136,0)</f>
        <v>0</v>
      </c>
      <c r="Q167">
        <f>IF(AND(DONBIW!B28&gt;=50,DONBIW!B28&lt;=54),Q136,0)</f>
        <v>0</v>
      </c>
      <c r="R167">
        <f>IF(AND(DONBIW!B33&gt;=50,DONBIW!B33&lt;=54),R136,0)</f>
        <v>0</v>
      </c>
      <c r="S167">
        <f>IF(AND(DONBIW!B38&gt;=50,DONBIW!B38&lt;=54),S136,0)</f>
        <v>0</v>
      </c>
      <c r="T167">
        <f>IF(AND(DONBIW!B43&gt;=50,DONBIW!B43&lt;=54),T136,0)</f>
        <v>0</v>
      </c>
      <c r="U167">
        <f>IF(AND(DONBIW!B48&gt;=50,DONBIW!B48&lt;=54),U136,0)</f>
        <v>0</v>
      </c>
      <c r="V167">
        <f>IF(AND(DONBIW!B53&gt;=50,DONBIW!B53&lt;=54),V136,0)</f>
        <v>0</v>
      </c>
      <c r="W167">
        <f>IF(AND(DONBIW!B58&gt;=50,DONBIW!B58&lt;=54),W136,0)</f>
        <v>0</v>
      </c>
      <c r="X167">
        <f>IF(AND(DONBIW!B63&gt;=50,DONBIW!B63&lt;=54),X136,0)</f>
        <v>0</v>
      </c>
      <c r="AP167">
        <f>IF(AND(DONBIW!B25&gt;=50,DONBIW!B25&lt;=54),AP136,0)</f>
        <v>0</v>
      </c>
      <c r="AQ167">
        <f>IF(AND(DONBIW!B30&gt;=50,DONBIW!B30&lt;=54),AQ136,0)</f>
        <v>0</v>
      </c>
      <c r="AR167">
        <f>IF(AND(DONBIW!B35&gt;=50,DONBIW!B35&lt;=54),AR136,0)</f>
        <v>0</v>
      </c>
      <c r="AS167">
        <f>IF(AND(DONBIW!B40&gt;=50,DONBIW!B40&lt;=54),AS136,0)</f>
        <v>0</v>
      </c>
      <c r="AT167">
        <f>IF(AND(DONBIW!B45&gt;=50,DONBIW!B45&lt;=54),AT136,0)</f>
        <v>0</v>
      </c>
      <c r="AU167">
        <f>IF(AND(DONBIW!B50&gt;=50,DONBIW!B50&lt;=54),AU136,0)</f>
        <v>0</v>
      </c>
      <c r="AV167">
        <f>IF(AND(DONBIW!B55&gt;=50,DONBIW!B55&lt;=54),AV136,0)</f>
        <v>0</v>
      </c>
      <c r="AW167">
        <f>IF(AND(DONBIW!B60&gt;=50,DONBIW!B60&lt;=54),AW136,0)</f>
        <v>0</v>
      </c>
      <c r="AX167">
        <f>IF(AND(DONBIW!B65&gt;=50,DONBIW!B65&lt;=54),AX136,0)</f>
        <v>0</v>
      </c>
    </row>
    <row r="169" spans="1:50" x14ac:dyDescent="0.2">
      <c r="A169" t="s">
        <v>39</v>
      </c>
      <c r="F169">
        <f>DONBIW!G24</f>
        <v>0</v>
      </c>
      <c r="M169" s="148">
        <f>IF(DONBIW!F22="ligne directe",H181,0)</f>
        <v>0</v>
      </c>
      <c r="P169">
        <f>IF(AND(DONBIW!B23&gt;=55,DONBIW!B23&lt;=59),P138,0)</f>
        <v>0</v>
      </c>
      <c r="Q169">
        <f>IF(AND(DONBIW!B28&gt;=55,DONBIW!B28&lt;=59),Q138,0)</f>
        <v>0</v>
      </c>
      <c r="R169">
        <f>IF(AND(DONBIW!B33&gt;=55,DONBIW!B33&lt;=59),R138,0)</f>
        <v>0</v>
      </c>
      <c r="S169">
        <f>IF(AND(DONBIW!B38&gt;=55,DONBIW!B38&lt;=59),S138,0)</f>
        <v>0</v>
      </c>
      <c r="T169">
        <f>IF(AND(DONBIW!B43&gt;=55,DONBIW!B43&lt;=59),T138,0)</f>
        <v>0</v>
      </c>
      <c r="U169">
        <f>IF(AND(DONBIW!B48&gt;=55,DONBIW!B48&lt;=59),U138,0)</f>
        <v>0</v>
      </c>
      <c r="V169">
        <f>IF(AND(DONBIW!B53&gt;=55,DONBIW!B53&lt;=59),V138,0)</f>
        <v>0</v>
      </c>
      <c r="W169">
        <f>IF(AND(DONBIW!B58&gt;=55,DONBIW!B58&lt;=59),W138,0)</f>
        <v>0</v>
      </c>
      <c r="X169">
        <f>IF(AND(DONBIW!B63&gt;=55,DONBIW!B63&lt;=59),X138,0)</f>
        <v>0</v>
      </c>
      <c r="AP169">
        <f>IF(AND(DONBIW!B25&gt;=55,DONBIW!B25&lt;=59),AP138,0)</f>
        <v>0</v>
      </c>
      <c r="AQ169">
        <f>IF(AND(DONBIW!B30&gt;=55,DONBIW!B30&lt;=59),AQ138,0)</f>
        <v>0</v>
      </c>
      <c r="AR169">
        <f>IF(AND(DONBIW!B35&gt;=55,DONBIW!B35&lt;=59),AR138,0)</f>
        <v>0</v>
      </c>
      <c r="AS169">
        <f>IF(AND(DONBIW!B40&gt;=55,DONBIW!B40&lt;=59),AS138,0)</f>
        <v>0</v>
      </c>
      <c r="AT169">
        <f>IF(AND(DONBIW!B45&gt;=55,DONBIW!B45&lt;=59),AT138,0)</f>
        <v>0</v>
      </c>
      <c r="AU169">
        <f>IF(AND(DONBIW!B50&gt;=55,DONBIW!B50&lt;=59),AU138,0)</f>
        <v>0</v>
      </c>
      <c r="AV169">
        <f>IF(AND(DONBIW!B55&gt;=55,DONBIW!B55&lt;=59),AV138,0)</f>
        <v>0</v>
      </c>
      <c r="AW169">
        <f>IF(AND(DONBIW!B60&gt;=55,DONBIW!B60&lt;=59),AW138,0)</f>
        <v>0</v>
      </c>
      <c r="AX169">
        <f>IF(AND(DONBIW!B65&gt;=55,DONBIW!B65&lt;=59),AX138,0)</f>
        <v>0</v>
      </c>
    </row>
    <row r="170" spans="1:50" x14ac:dyDescent="0.2">
      <c r="M170" s="148">
        <f>IF(DONBIW!F22="épou(x)(se)",H181,0)</f>
        <v>0</v>
      </c>
    </row>
    <row r="171" spans="1:50" x14ac:dyDescent="0.2">
      <c r="A171" t="s">
        <v>2</v>
      </c>
      <c r="G171" t="s">
        <v>3</v>
      </c>
      <c r="H171" t="s">
        <v>40</v>
      </c>
      <c r="M171" s="148">
        <f>IF(AND(DONBIW!I22="non",DONBIW!F22="ligne directe"),G181,0)</f>
        <v>0</v>
      </c>
      <c r="P171">
        <f>IF(AND(DONBIW!B23&gt;=60,DONBIW!B23&lt;=64),P140,0)</f>
        <v>0</v>
      </c>
      <c r="Q171">
        <f>IF(AND(DONBIW!B28&gt;=60,DONBIW!B28&lt;=64),Q140,0)</f>
        <v>0</v>
      </c>
      <c r="R171">
        <f>IF(AND(DONBIW!B33&gt;=60,DONBIW!B33&lt;=64),R140,0)</f>
        <v>0</v>
      </c>
      <c r="S171">
        <f>IF(AND(DONBIW!B38&gt;=60,DONBIW!B38&lt;=64),S140,0)</f>
        <v>0</v>
      </c>
      <c r="T171">
        <f>IF(AND(DONBIW!B43&gt;=60,DONBIW!B43&lt;=64),T140,0)</f>
        <v>0</v>
      </c>
      <c r="U171">
        <f>IF(AND(DONBIW!B48&gt;=60,DONBIW!B48&lt;=64),U140,0)</f>
        <v>0</v>
      </c>
      <c r="V171">
        <f>IF(AND(DONBIW!B53&gt;=60,DONBIW!B53&lt;=64),V140,0)</f>
        <v>0</v>
      </c>
      <c r="W171">
        <f>IF(AND(DONBIW!B58&gt;=60,DONBIW!B58&lt;=64),W140,0)</f>
        <v>0</v>
      </c>
      <c r="X171">
        <f>IF(AND(DONBIW!B63&gt;=60,DONBIW!B63&lt;=64),X140,0)</f>
        <v>0</v>
      </c>
      <c r="AP171">
        <f>IF(AND(DONBIW!B25&gt;=60,DONBIW!B25&lt;=64),AP140,0)</f>
        <v>0</v>
      </c>
      <c r="AQ171">
        <f>IF(AND(DONBIW!B30&gt;=60,DONBIW!B30&lt;=64),AQ140,0)</f>
        <v>0</v>
      </c>
      <c r="AR171">
        <f>IF(AND(DONBIW!B35&gt;=60,DONBIW!B35&lt;=64),AR140,0)</f>
        <v>0</v>
      </c>
      <c r="AS171">
        <f>IF(AND(DONBIW!B40&gt;=60,DONBIW!B40&lt;=64),AS140,0)</f>
        <v>0</v>
      </c>
      <c r="AT171">
        <f>IF(AND(DONBIW!B45&gt;=60,DONBIW!B45&lt;=64),AT140,0)</f>
        <v>0</v>
      </c>
      <c r="AU171">
        <f>IF(AND(DONBIW!B50&gt;=60,DONBIW!B50&lt;=64),AU140,0)</f>
        <v>0</v>
      </c>
      <c r="AV171">
        <f>IF(AND(DONBIW!B55&gt;=60,DONBIW!B55&lt;=64),AV140,0)</f>
        <v>0</v>
      </c>
      <c r="AW171">
        <f>IF(AND(DONBIW!B60&gt;=60,DONBIW!B60&lt;=64),AW140,0)</f>
        <v>0</v>
      </c>
      <c r="AX171">
        <f>IF(AND(DONBIW!B65&gt;=60,DONBIW!B65&lt;=64),AX140,0)</f>
        <v>0</v>
      </c>
    </row>
    <row r="172" spans="1:50" x14ac:dyDescent="0.2">
      <c r="A172">
        <v>0</v>
      </c>
      <c r="E172">
        <v>50000</v>
      </c>
      <c r="F172">
        <f>IF(AND(F169&gt;A172, F169&lt;=E172),F169,0)</f>
        <v>0</v>
      </c>
      <c r="G172">
        <f>0+(3/100)*(-A172+F172)</f>
        <v>0</v>
      </c>
      <c r="H172">
        <f>0+(2/100)*(-A172+F172)</f>
        <v>0</v>
      </c>
      <c r="M172" s="148">
        <f>IF(AND(DONBIW!I22="non",DONBIW!F22="épou(x)(se)"),G181,0)</f>
        <v>0</v>
      </c>
    </row>
    <row r="173" spans="1:50" x14ac:dyDescent="0.2">
      <c r="A173">
        <f>E172</f>
        <v>50000</v>
      </c>
      <c r="E173">
        <v>100000</v>
      </c>
      <c r="F173">
        <f>IF(AND(F169&gt;A173, F169&lt;=E173),F169,0)</f>
        <v>0</v>
      </c>
      <c r="G173">
        <f>(50000/100*3)+(8/100)*(-A173+F173)</f>
        <v>-2500</v>
      </c>
      <c r="H173">
        <f>(50000/100*2)+(5.3/100)*(-A173+F173)</f>
        <v>-1650</v>
      </c>
      <c r="M173" s="148">
        <f>IF(DONBIW!F22="frère/soeur",G192,0)</f>
        <v>0</v>
      </c>
      <c r="P173">
        <f>IF(AND(DONBIW!B23&gt;=65,DONBIW!B23&lt;=69),P142,0)</f>
        <v>0</v>
      </c>
      <c r="Q173">
        <f>IF(AND(DONBIW!B28&gt;=65,DONBIW!B28&lt;=69),Q142,0)</f>
        <v>0</v>
      </c>
      <c r="R173">
        <f>IF(AND(DONBIW!B33&gt;=65,DONBIW!B33&lt;=69),R142,0)</f>
        <v>0</v>
      </c>
      <c r="S173">
        <f>IF(AND(DONBIW!B38&gt;=65,DONBIW!B38&lt;=69),S142,0)</f>
        <v>0</v>
      </c>
      <c r="T173">
        <f>IF(AND(DONBIW!B43&gt;=65,DONBIW!B43&lt;=69),T142,0)</f>
        <v>0</v>
      </c>
      <c r="U173">
        <f>IF(AND(DONBIW!B48&gt;=65,DONBIW!B48&lt;=69),U142,0)</f>
        <v>0</v>
      </c>
      <c r="V173">
        <f>IF(AND(DONBIW!B53&gt;=65,DONBIW!B53&lt;=69),V142,0)</f>
        <v>0</v>
      </c>
      <c r="W173">
        <f>IF(AND(DONBIW!B58&gt;=65,DONBIW!B58&lt;=69),W142,0)</f>
        <v>0</v>
      </c>
      <c r="X173">
        <f>IF(AND(DONBIW!B63&gt;=65,DONBIW!B63&lt;=69),X142,0)</f>
        <v>0</v>
      </c>
      <c r="AP173">
        <f>IF(AND(DONBIW!B25&gt;=65,DONBIW!B25&lt;=69),AP142,0)</f>
        <v>0</v>
      </c>
      <c r="AQ173">
        <f>IF(AND(DONBIW!B30&gt;=65,DONBIW!B30&lt;=69),AQ142,0)</f>
        <v>0</v>
      </c>
      <c r="AR173">
        <f>IF(AND(DONBIW!B35&gt;=65,DONBIW!B35&lt;=69),AR142,0)</f>
        <v>0</v>
      </c>
      <c r="AS173">
        <f>IF(AND(DONBIW!B40&gt;=65,DONBIW!B40&lt;=69),AS142,0)</f>
        <v>0</v>
      </c>
      <c r="AT173">
        <f>IF(AND(DONBIW!B45&gt;=65,DONBIW!B45&lt;=69),AT142,0)</f>
        <v>0</v>
      </c>
      <c r="AU173">
        <f>IF(AND(DONBIW!B50&gt;=65,DONBIW!B50&lt;=69),AU142,0)</f>
        <v>0</v>
      </c>
      <c r="AV173">
        <f>IF(AND(DONBIW!B55&gt;=65,DONBIW!B55&lt;=69),AV142,0)</f>
        <v>0</v>
      </c>
      <c r="AW173">
        <f>IF(AND(DONBIW!B60&gt;=65,DONBIW!B60&lt;=69),AW142,0)</f>
        <v>0</v>
      </c>
      <c r="AX173">
        <f>IF(AND(DONBIW!B65&gt;=65,DONBIW!B65&lt;=69),AX142,0)</f>
        <v>0</v>
      </c>
    </row>
    <row r="174" spans="1:50" x14ac:dyDescent="0.2">
      <c r="A174">
        <f>E173</f>
        <v>100000</v>
      </c>
      <c r="E174">
        <v>175000</v>
      </c>
      <c r="F174">
        <f>IF(AND(F169&gt;A174, F169&lt;=E174),F169,0)</f>
        <v>0</v>
      </c>
      <c r="G174">
        <f>(50000/100*3)+(50000/100*8)+((9/100)*(-A174+F174))</f>
        <v>-3500</v>
      </c>
      <c r="H174">
        <f>(50000/100*2)+(50000/100*5.3)+((6/100)*(-A174+F174))</f>
        <v>-2350</v>
      </c>
      <c r="M174" s="148">
        <f>IF(DONBIW!F22="oncle-tante/neveu-nièce",G205,0)</f>
        <v>0</v>
      </c>
    </row>
    <row r="175" spans="1:50" x14ac:dyDescent="0.2">
      <c r="A175">
        <f>E174</f>
        <v>175000</v>
      </c>
      <c r="E175">
        <v>250000</v>
      </c>
      <c r="F175">
        <f>IF(AND(F169&gt;A175, F169&lt;=E175),F169,0)</f>
        <v>0</v>
      </c>
      <c r="G175">
        <f>(50000/100*3)+(50000/100*8)+(75000/100*9)+((18/100)*(-A175+F175))</f>
        <v>-19250</v>
      </c>
      <c r="H175">
        <f>(50000/100*2)+(50000/100*5.3)+(75000/100*6)+((12/100)*(-A175+F175))</f>
        <v>-12850</v>
      </c>
      <c r="M175" s="148">
        <f>IF(DONBIW!F22="étrangers",M205,0)</f>
        <v>0</v>
      </c>
      <c r="P175">
        <f>IF(AND(DONBIW!B23&gt;=70,DONBIW!B23&lt;=74),P144,0)</f>
        <v>0</v>
      </c>
      <c r="Q175">
        <f>IF(AND(DONBIW!B28&gt;=70,DONBIW!B28&lt;=74),Q144,0)</f>
        <v>0</v>
      </c>
      <c r="R175">
        <f>IF(AND(DONBIW!B33&gt;=70,DONBIW!B33&lt;=74),R144,0)</f>
        <v>0</v>
      </c>
      <c r="S175">
        <f>IF(AND(DONBIW!B38&gt;=70,DONBIW!B38&lt;=74),S144,0)</f>
        <v>0</v>
      </c>
      <c r="T175">
        <f>IF(AND(DONBIW!B43&gt;=70,DONBIW!B43&lt;=74),T144,0)</f>
        <v>0</v>
      </c>
      <c r="U175">
        <f>IF(AND(DONBIW!B48&gt;=70,DONBIW!B48&lt;=74),U144,0)</f>
        <v>0</v>
      </c>
      <c r="V175">
        <f>IF(AND(DONBIW!B53&gt;=70,DONBIW!B53&lt;=74),V144,0)</f>
        <v>0</v>
      </c>
      <c r="W175">
        <f>IF(AND(DONBIW!B58&gt;=70,DONBIW!B58&lt;=74),W144,0)</f>
        <v>0</v>
      </c>
      <c r="X175">
        <f>IF(AND(DONBIW!B63&gt;=70,DONBIW!B63&lt;=74),X144,0)</f>
        <v>0</v>
      </c>
      <c r="AP175">
        <f>IF(AND(DONBIW!B25&gt;=70,DONBIW!B25&lt;=74),AP144,0)</f>
        <v>0</v>
      </c>
      <c r="AQ175">
        <f>IF(AND(DONBIW!B30&gt;=70,DONBIW!B30&lt;=74),AQ144,0)</f>
        <v>0</v>
      </c>
      <c r="AR175">
        <f>IF(AND(DONBIW!B35&gt;=70,DONBIW!B35&lt;=74),AR144,0)</f>
        <v>0</v>
      </c>
      <c r="AS175">
        <f>IF(AND(DONBIW!B40&gt;=70,DONBIW!B40&lt;=74),AS144,0)</f>
        <v>0</v>
      </c>
      <c r="AT175">
        <f>IF(AND(DONBIW!B45&gt;=70,DONBIW!B45&lt;=74),AT144,0)</f>
        <v>0</v>
      </c>
      <c r="AU175">
        <f>IF(AND(DONBIW!B50&gt;=70,DONBIW!B50&lt;=74),AU144,0)</f>
        <v>0</v>
      </c>
      <c r="AV175">
        <f>IF(AND(DONBIW!B55&gt;=70,DONBIW!B55&lt;=74),AV144,0)</f>
        <v>0</v>
      </c>
      <c r="AW175">
        <f>IF(AND(DONBIW!B60&gt;=70,DONBIW!B60&lt;=74),AW144,0)</f>
        <v>0</v>
      </c>
      <c r="AX175">
        <f>IF(AND(DONBIW!B65&gt;=70,DONBIW!B65&lt;=74),AX144,0)</f>
        <v>0</v>
      </c>
    </row>
    <row r="176" spans="1:50" x14ac:dyDescent="0.2">
      <c r="A176">
        <f>E175</f>
        <v>250000</v>
      </c>
      <c r="E176">
        <v>500000</v>
      </c>
      <c r="F176">
        <f>IF(AND(F169&gt;A176, F169&lt;=E176),F169,0)</f>
        <v>0</v>
      </c>
      <c r="G176">
        <f>(50000/100*3)+(50000/100*8)+(75000/100*9)+(75000/100*18)+((24/100)*(-A176+F176))</f>
        <v>-34250</v>
      </c>
      <c r="H176">
        <f>(50000/100*2)+(50000/100*5.3)+(75000/100*6)+(75000/100*12)+((24/100)*(-A176+F176))</f>
        <v>-42850</v>
      </c>
      <c r="M176" s="148"/>
    </row>
    <row r="177" spans="1:50" x14ac:dyDescent="0.2">
      <c r="A177">
        <f>E176</f>
        <v>500000</v>
      </c>
      <c r="E177">
        <v>999999999</v>
      </c>
      <c r="F177">
        <f>IF(AND(F169&gt;A177, F169&lt;=E177),F169,0)</f>
        <v>0</v>
      </c>
      <c r="G177">
        <f>(50000/100*3)+(50000/100*8)+(75000/100*9)+(75000/100*18)+(250000/100*24)+((30/100)*(-A177+F177))</f>
        <v>-64250</v>
      </c>
      <c r="H177">
        <f>(50000/100*2)+(50000/100*5.3)+(75000/100*6)+(75000/100*12)+(250000/100*24)+((30/100)*(-A177+F177))</f>
        <v>-72850</v>
      </c>
      <c r="M177" s="148">
        <f>SUM(M169:M176)</f>
        <v>0</v>
      </c>
      <c r="P177">
        <f>IF(AND(DONBIW!B23&gt;=75,DONBIW!B23&lt;=79),P146,0)</f>
        <v>0</v>
      </c>
      <c r="Q177">
        <f>IF(AND(DONBIW!B28&gt;=75,DONBIW!B28&lt;=79),Q146,0)</f>
        <v>0</v>
      </c>
      <c r="R177">
        <f>IF(AND(DONBIW!B33&gt;=75,DONBIW!B33&lt;=79),R146,0)</f>
        <v>0</v>
      </c>
      <c r="S177">
        <f>IF(AND(DONBIW!B38&gt;=75,DONBIW!B38&lt;=79),S146,0)</f>
        <v>0</v>
      </c>
      <c r="T177">
        <f>IF(AND(DONBIW!B43&gt;=75,DONBIW!B43&lt;=79),T146,0)</f>
        <v>0</v>
      </c>
      <c r="U177">
        <f>IF(AND(DONBIW!B48&gt;=75,DONBIW!B48&lt;=79),U146,0)</f>
        <v>0</v>
      </c>
      <c r="V177">
        <f>IF(AND(DONBIW!B53&gt;=75,DONBIW!B53&lt;=79),V146,0)</f>
        <v>0</v>
      </c>
      <c r="W177">
        <f>IF(AND(DONBIW!B58&gt;=75,DONBIW!B58&lt;=79),W146,0)</f>
        <v>0</v>
      </c>
      <c r="X177">
        <f>IF(AND(DONBIW!B63&gt;=75,DONBIW!B63&lt;=79),X146,0)</f>
        <v>0</v>
      </c>
      <c r="AP177">
        <f>IF(AND(DONBIW!B25&gt;=75,DONBIW!B25&lt;=79),AP146,0)</f>
        <v>0</v>
      </c>
      <c r="AQ177">
        <f>IF(AND(DONBIW!B30&gt;=75,DONBIW!B30&lt;=79),AQ146,0)</f>
        <v>0</v>
      </c>
      <c r="AR177">
        <f>IF(AND(DONBIW!B35&gt;=75,DONBIW!B35&lt;=79),AR146,0)</f>
        <v>0</v>
      </c>
      <c r="AS177">
        <f>IF(AND(DONBIW!B40&gt;=75,DONBIW!B40&lt;=79),AS146,0)</f>
        <v>0</v>
      </c>
      <c r="AT177">
        <f>IF(AND(DONBIW!B45&gt;=75,DONBIW!B45&lt;=79),AT146,0)</f>
        <v>0</v>
      </c>
      <c r="AU177">
        <f>IF(AND(DONBIW!B50&gt;=75,DONBIW!B50&lt;=79),AU146,0)</f>
        <v>0</v>
      </c>
      <c r="AV177">
        <f>IF(AND(DONBIW!B55&gt;=75,DONBIW!B55&lt;=79),AV146,0)</f>
        <v>0</v>
      </c>
      <c r="AW177">
        <f>IF(AND(DONBIW!B60&gt;=75,DONBIW!B60&lt;=79),AW146,0)</f>
        <v>0</v>
      </c>
      <c r="AX177">
        <f>IF(AND(DONBIW!B65&gt;=75,DONBIW!B65&lt;=79),AX146,0)</f>
        <v>0</v>
      </c>
    </row>
    <row r="179" spans="1:50" x14ac:dyDescent="0.2">
      <c r="P179">
        <f>IF(DONBIW!B23&gt;=80,P148,0)</f>
        <v>0</v>
      </c>
      <c r="Q179">
        <f>IF(DONBIW!B28&gt;=80,Q148,0)</f>
        <v>0</v>
      </c>
      <c r="R179">
        <f>IF(DONBIW!B33&gt;=80,R148,0)</f>
        <v>0</v>
      </c>
      <c r="S179">
        <f>IF(DONBIW!B38&gt;=80,S148,0)</f>
        <v>0</v>
      </c>
      <c r="T179">
        <f>IF(DONBIW!B43&gt;=80,T148,0)</f>
        <v>0</v>
      </c>
      <c r="U179">
        <f>IF(DONBIW!B48&gt;=80,U148,0)</f>
        <v>0</v>
      </c>
      <c r="V179">
        <f>IF(DONBIW!B53&gt;=80,V148,0)</f>
        <v>0</v>
      </c>
      <c r="W179">
        <f>IF(DONBIW!B58&gt;=80,W148,0)</f>
        <v>0</v>
      </c>
      <c r="X179">
        <f>IF(DONBIW!B63&gt;=80,X148,0)</f>
        <v>0</v>
      </c>
      <c r="AP179">
        <f>IF(DONBIW!B25&gt;=80,AP148,0)</f>
        <v>0</v>
      </c>
      <c r="AQ179">
        <f>IF(DONBIW!B30&gt;=80,AQ148,0)</f>
        <v>0</v>
      </c>
      <c r="AR179">
        <f>IF(DONBIW!B35&gt;=80,AR148,0)</f>
        <v>0</v>
      </c>
      <c r="AS179">
        <f>IF(DONBIW!B40&gt;=80,AS148,0)</f>
        <v>0</v>
      </c>
      <c r="AT179">
        <f>IF(DONBIW!B45&gt;=80,AT148,0)</f>
        <v>0</v>
      </c>
      <c r="AU179">
        <f>IF(DONBIW!B50&gt;=80,AU148,0)</f>
        <v>0</v>
      </c>
      <c r="AV179">
        <f>IF(DONBIW!B55&gt;=80,AV148,0)</f>
        <v>0</v>
      </c>
      <c r="AW179">
        <f>IF(DONBIW!B60&gt;=80,AW148,0)</f>
        <v>0</v>
      </c>
      <c r="AX179">
        <f>IF(DONBIW!B65&gt;=80,AX148,0)</f>
        <v>0</v>
      </c>
    </row>
    <row r="181" spans="1:50" x14ac:dyDescent="0.2">
      <c r="A181" t="s">
        <v>4</v>
      </c>
      <c r="G181">
        <f>VLOOKUP(F169,F172:G177,2,FALSE)</f>
        <v>0</v>
      </c>
      <c r="H181">
        <f>VLOOKUP(F169,F172:H177,3,FALSE)</f>
        <v>0</v>
      </c>
      <c r="P181">
        <f t="shared" ref="P181:U181" si="1">SUM(P157:P179)</f>
        <v>0</v>
      </c>
      <c r="Q181">
        <f t="shared" si="1"/>
        <v>0</v>
      </c>
      <c r="R181">
        <f t="shared" si="1"/>
        <v>0</v>
      </c>
      <c r="S181">
        <f t="shared" si="1"/>
        <v>0</v>
      </c>
      <c r="T181">
        <f t="shared" si="1"/>
        <v>0</v>
      </c>
      <c r="U181">
        <f t="shared" si="1"/>
        <v>0</v>
      </c>
      <c r="V181">
        <f>SUM(U157:U179)</f>
        <v>0</v>
      </c>
      <c r="W181">
        <f>SUM(W157:W179)</f>
        <v>0</v>
      </c>
      <c r="X181">
        <f>SUM(X157:X179)</f>
        <v>0</v>
      </c>
      <c r="AP181">
        <f t="shared" ref="AP181:AU181" si="2">SUM(AP157:AP179)</f>
        <v>0</v>
      </c>
      <c r="AQ181">
        <f t="shared" si="2"/>
        <v>0</v>
      </c>
      <c r="AR181">
        <f t="shared" si="2"/>
        <v>0</v>
      </c>
      <c r="AS181">
        <f t="shared" si="2"/>
        <v>0</v>
      </c>
      <c r="AT181">
        <f t="shared" si="2"/>
        <v>0</v>
      </c>
      <c r="AU181">
        <f t="shared" si="2"/>
        <v>0</v>
      </c>
      <c r="AV181">
        <f>SUM(AU157:AU179)</f>
        <v>0</v>
      </c>
      <c r="AW181">
        <f>SUM(AW157:AW179)</f>
        <v>0</v>
      </c>
      <c r="AX181">
        <f>SUM(AX157:AX179)</f>
        <v>0</v>
      </c>
    </row>
    <row r="183" spans="1:50" x14ac:dyDescent="0.2">
      <c r="P183">
        <f>SUM(P181:X181)</f>
        <v>0</v>
      </c>
      <c r="AP183">
        <f>SUM(AP181:AX181)</f>
        <v>0</v>
      </c>
    </row>
    <row r="184" spans="1:50" x14ac:dyDescent="0.2">
      <c r="A184" t="s">
        <v>5</v>
      </c>
      <c r="G184" t="s">
        <v>6</v>
      </c>
    </row>
    <row r="185" spans="1:50" x14ac:dyDescent="0.2">
      <c r="A185">
        <v>0</v>
      </c>
      <c r="E185">
        <v>12500</v>
      </c>
      <c r="F185">
        <f>IF(AND(F169&gt;A185, F169&lt;=E185),F169,0)</f>
        <v>0</v>
      </c>
      <c r="G185">
        <f>0+(20/100)*(-A185+F185)</f>
        <v>0</v>
      </c>
    </row>
    <row r="186" spans="1:50" x14ac:dyDescent="0.2">
      <c r="A186">
        <f>E185</f>
        <v>12500</v>
      </c>
      <c r="E186">
        <v>25000</v>
      </c>
      <c r="F186">
        <f>IF(AND(F169&gt;A186, F169&lt;=E186),F169,0)</f>
        <v>0</v>
      </c>
      <c r="G186">
        <f>(12500/100*20)+((25/100)*(-A186+F186))</f>
        <v>-625</v>
      </c>
    </row>
    <row r="187" spans="1:50" x14ac:dyDescent="0.2">
      <c r="A187">
        <f>E186</f>
        <v>25000</v>
      </c>
      <c r="E187">
        <v>50000</v>
      </c>
      <c r="F187">
        <f>IF(AND(F169&gt;A187, F169&lt;=E187),F169,0)</f>
        <v>0</v>
      </c>
      <c r="G187">
        <f>(12500/100*20)+(12500/100*25)+((30/100)*(-A187+F187))</f>
        <v>-1875</v>
      </c>
    </row>
    <row r="188" spans="1:50" x14ac:dyDescent="0.2">
      <c r="A188">
        <f>E187</f>
        <v>50000</v>
      </c>
      <c r="E188">
        <v>100000</v>
      </c>
      <c r="F188">
        <f>IF(AND(F169&gt;A188, F169&lt;=E188),F169,0)</f>
        <v>0</v>
      </c>
      <c r="G188">
        <f>(12500/100*20)+(12500/100*25)+(25000/100*30)+((40/100)*(-A188+F188))</f>
        <v>-6875</v>
      </c>
    </row>
    <row r="189" spans="1:50" x14ac:dyDescent="0.2">
      <c r="A189">
        <f>E188</f>
        <v>100000</v>
      </c>
      <c r="E189">
        <v>175000</v>
      </c>
      <c r="F189">
        <f>IF(AND(F169&gt;A189, F169&lt;=E189),F169,0)</f>
        <v>0</v>
      </c>
      <c r="G189">
        <f>(12500/100*20)+(12500/100*25)+(25000/100*30)+(50000/100*40)+((55/100)*(-A189+F189))</f>
        <v>-21875.000000000007</v>
      </c>
    </row>
    <row r="190" spans="1:50" x14ac:dyDescent="0.2">
      <c r="A190">
        <v>175000</v>
      </c>
      <c r="E190">
        <v>250000</v>
      </c>
      <c r="F190">
        <f>IF(AND(F169&gt;A190, F169&lt;=E190),F169,0)</f>
        <v>0</v>
      </c>
      <c r="G190">
        <f>(12500/100*20)+(12500/100*25)+(25000/100*30)+(50000/100*40)+(75000/100*55)+((60/100)*(-A190+F190))</f>
        <v>-30625</v>
      </c>
    </row>
    <row r="191" spans="1:50" x14ac:dyDescent="0.2">
      <c r="A191">
        <f>E190</f>
        <v>250000</v>
      </c>
      <c r="E191">
        <v>999999999</v>
      </c>
      <c r="F191">
        <f>IF(AND(F169&gt;A191, F169&lt;=E191),F169,0)</f>
        <v>0</v>
      </c>
      <c r="G191">
        <f>(12500/100*20)+(12500/100*25)+(25000/100*30)+(50000/100*40)+(75000/100*55)+(75000/100*60)+((65/100)*(-A191+F191))</f>
        <v>-43125</v>
      </c>
    </row>
    <row r="192" spans="1:50" x14ac:dyDescent="0.2">
      <c r="A192" t="s">
        <v>4</v>
      </c>
      <c r="G192">
        <f>VLOOKUP(F169,F185:G191,2,FALSE)</f>
        <v>0</v>
      </c>
    </row>
    <row r="197" spans="1:13" x14ac:dyDescent="0.2">
      <c r="A197" t="s">
        <v>22</v>
      </c>
      <c r="G197" t="s">
        <v>7</v>
      </c>
      <c r="I197" t="s">
        <v>23</v>
      </c>
      <c r="M197" t="s">
        <v>8</v>
      </c>
    </row>
    <row r="198" spans="1:13" x14ac:dyDescent="0.2">
      <c r="A198">
        <v>0</v>
      </c>
      <c r="E198">
        <v>50000</v>
      </c>
      <c r="F198">
        <f>IF(AND(F169&gt;A198, F169&lt;=E198),F169,0)</f>
        <v>0</v>
      </c>
      <c r="G198">
        <f>0+(35/100)*(-A198+F198)</f>
        <v>0</v>
      </c>
      <c r="I198">
        <v>0</v>
      </c>
      <c r="J198">
        <v>50000</v>
      </c>
      <c r="K198">
        <f>IF(AND(F169&gt;I198, F169&lt;=J198),F169,0)</f>
        <v>0</v>
      </c>
      <c r="M198">
        <f>0+(40/100)*(-I198+K198)</f>
        <v>0</v>
      </c>
    </row>
    <row r="199" spans="1:13" x14ac:dyDescent="0.2">
      <c r="A199">
        <f>E198</f>
        <v>50000</v>
      </c>
      <c r="E199">
        <v>100000</v>
      </c>
      <c r="F199">
        <f>IF(AND(F169&gt;A199, F169&lt;=E199),F169,0)</f>
        <v>0</v>
      </c>
      <c r="G199">
        <f>(50000/100*35)+((50/100)*(-A199+F199))</f>
        <v>-7500</v>
      </c>
      <c r="I199">
        <f>J198</f>
        <v>50000</v>
      </c>
      <c r="J199">
        <v>75000</v>
      </c>
      <c r="K199">
        <f>IF(AND(F169&gt;I199, F169&lt;=J199),F169,0)</f>
        <v>0</v>
      </c>
      <c r="M199">
        <f>(50000/100*40)+((55/100)*(-I199+K199))</f>
        <v>-7500.0000000000036</v>
      </c>
    </row>
    <row r="200" spans="1:13" x14ac:dyDescent="0.2">
      <c r="A200">
        <f>E199</f>
        <v>100000</v>
      </c>
      <c r="E200">
        <v>175000</v>
      </c>
      <c r="F200">
        <f>IF(AND(F169&gt;A200, F169&lt;=E200),F169,0)</f>
        <v>0</v>
      </c>
      <c r="G200">
        <f>(50000/100*35)+(50000/100*50)+((60/100)*(-A200+F200))</f>
        <v>-17500</v>
      </c>
      <c r="I200">
        <f>J199</f>
        <v>75000</v>
      </c>
      <c r="J200">
        <v>175000</v>
      </c>
      <c r="K200">
        <f>IF(AND(F169&gt;I200, F169&lt;=J200),F169,0)</f>
        <v>0</v>
      </c>
      <c r="M200">
        <f>(50000/100*40)+(25000/100*55)+((65/100)*(-I200+K200))</f>
        <v>-15000</v>
      </c>
    </row>
    <row r="201" spans="1:13" x14ac:dyDescent="0.2">
      <c r="A201">
        <f>E200</f>
        <v>175000</v>
      </c>
      <c r="E201">
        <v>999999999</v>
      </c>
      <c r="F201">
        <f>IF(AND(F169&gt;A201, F169&lt;=E201),F169,0)</f>
        <v>0</v>
      </c>
      <c r="G201">
        <f>(50000/100*35)+(50000/100*50)+(75000/100*60)+((70/100)*(-A201+F201))</f>
        <v>-34999.999999999985</v>
      </c>
      <c r="I201">
        <f>J200</f>
        <v>175000</v>
      </c>
      <c r="J201">
        <v>999999999</v>
      </c>
      <c r="K201">
        <f>IF(AND(F169&gt;I201, F169&lt;=J201),F169,0)</f>
        <v>0</v>
      </c>
      <c r="M201">
        <f>(50000/100*40)+(25000/100*55)+(100000/100*65)+((80/100)*(-I201+K201))</f>
        <v>-41250</v>
      </c>
    </row>
    <row r="205" spans="1:13" x14ac:dyDescent="0.2">
      <c r="A205" t="s">
        <v>4</v>
      </c>
      <c r="G205">
        <f>VLOOKUP(F169,F198:G201,2,FALSE)</f>
        <v>0</v>
      </c>
      <c r="I205" t="s">
        <v>4</v>
      </c>
      <c r="M205">
        <f>VLOOKUP(F169,K198:M201,3,FALSE)</f>
        <v>0</v>
      </c>
    </row>
    <row r="210" spans="5:12" x14ac:dyDescent="0.2">
      <c r="E210" t="s">
        <v>93</v>
      </c>
      <c r="F210" t="s">
        <v>100</v>
      </c>
    </row>
    <row r="212" spans="5:12" x14ac:dyDescent="0.2">
      <c r="E212" t="s">
        <v>93</v>
      </c>
      <c r="F212">
        <f>IF(DONBIW!I22=3,M177*12%,0)</f>
        <v>0</v>
      </c>
      <c r="G212">
        <f>IF(F212&gt;372,372,F212)</f>
        <v>0</v>
      </c>
      <c r="I212" t="s">
        <v>26</v>
      </c>
      <c r="J212">
        <f>M177*6%</f>
        <v>0</v>
      </c>
      <c r="K212">
        <f>IF(J212&gt;186,186,J212)</f>
        <v>0</v>
      </c>
      <c r="L212">
        <f>IF(DONBIW!I22=3,K212,0)</f>
        <v>0</v>
      </c>
    </row>
    <row r="213" spans="5:12" x14ac:dyDescent="0.2">
      <c r="F213">
        <f>IF(DONBIW!I22=4,M177*16%,0)</f>
        <v>0</v>
      </c>
      <c r="G213">
        <f>IF(F213&gt;496,496,F213)</f>
        <v>0</v>
      </c>
      <c r="I213" t="s">
        <v>27</v>
      </c>
      <c r="J213">
        <f>M177*8%</f>
        <v>0</v>
      </c>
      <c r="K213">
        <f>IF(J213&gt;248,248,J213)</f>
        <v>0</v>
      </c>
      <c r="L213">
        <f>IF(DONBIW!I22=4,K213,0)</f>
        <v>0</v>
      </c>
    </row>
    <row r="214" spans="5:12" x14ac:dyDescent="0.2">
      <c r="F214">
        <f>IF(DONBIW!I22=5,M177*20%,0)</f>
        <v>0</v>
      </c>
      <c r="G214">
        <f>IF(F214&gt;620,620,F214)</f>
        <v>0</v>
      </c>
      <c r="J214">
        <f>M177*10%</f>
        <v>0</v>
      </c>
      <c r="K214">
        <f>IF(J214&gt;310,310,J214)</f>
        <v>0</v>
      </c>
      <c r="L214">
        <f>IF(DONBIW!I22=5,K214,0)</f>
        <v>0</v>
      </c>
    </row>
    <row r="215" spans="5:12" x14ac:dyDescent="0.2">
      <c r="F215">
        <f>IF(DONBIW!I22=6,M177*24%,0)</f>
        <v>0</v>
      </c>
      <c r="G215">
        <f>IF(F215&gt;744,744,F215)</f>
        <v>0</v>
      </c>
      <c r="J215">
        <f>M177*12%</f>
        <v>0</v>
      </c>
      <c r="K215">
        <f>IF(J215&gt;372,372,J215)</f>
        <v>0</v>
      </c>
      <c r="L215">
        <f>IF(DONBIW!I22=6,K215,0)</f>
        <v>0</v>
      </c>
    </row>
    <row r="216" spans="5:12" x14ac:dyDescent="0.2">
      <c r="F216">
        <f>IF(DONBIW!I22=7,M177*28%,0)</f>
        <v>0</v>
      </c>
      <c r="G216">
        <f>IF(F216&gt;868,868,F216)</f>
        <v>0</v>
      </c>
      <c r="J216">
        <f>M177*14%</f>
        <v>0</v>
      </c>
      <c r="K216">
        <f>IF(J216&gt;434,434,J216)</f>
        <v>0</v>
      </c>
      <c r="L216">
        <f>IF(DONBIW!I22=7,K216,0)</f>
        <v>0</v>
      </c>
    </row>
    <row r="217" spans="5:12" x14ac:dyDescent="0.2">
      <c r="F217">
        <f>IF(DONBIW!I22=8,M177*32%,0)</f>
        <v>0</v>
      </c>
      <c r="G217">
        <f>IF(F217&gt;992,992,F217)</f>
        <v>0</v>
      </c>
      <c r="J217">
        <f>M177*16%</f>
        <v>0</v>
      </c>
      <c r="K217">
        <f>IF(J217&gt;496,496,J217)</f>
        <v>0</v>
      </c>
      <c r="L217">
        <f>IF(DONBIW!I22=8,K217,0)</f>
        <v>0</v>
      </c>
    </row>
    <row r="218" spans="5:12" x14ac:dyDescent="0.2">
      <c r="F218">
        <f>IF(DONBIW!I22=9,M177*36%,0)</f>
        <v>0</v>
      </c>
      <c r="G218">
        <f>IF(F218&gt;1116,1116,F218)</f>
        <v>0</v>
      </c>
      <c r="J218">
        <f>M177*18%</f>
        <v>0</v>
      </c>
      <c r="K218">
        <f>IF(J218&gt;558,558,J218)</f>
        <v>0</v>
      </c>
      <c r="L218">
        <f>IF(DONBIW!I22=9,K218,0)</f>
        <v>0</v>
      </c>
    </row>
    <row r="219" spans="5:12" x14ac:dyDescent="0.2">
      <c r="F219">
        <f>IF(DONBIW!I22=10,M177*40%,0)</f>
        <v>0</v>
      </c>
      <c r="G219">
        <f>IF(F219&gt;1240,1240,F219)</f>
        <v>0</v>
      </c>
      <c r="J219">
        <f>M177*20%</f>
        <v>0</v>
      </c>
      <c r="K219">
        <f>IF(J219&gt;620,620,J219)</f>
        <v>0</v>
      </c>
      <c r="L219">
        <f>IF(DONBIW!I22=10,K219,0)</f>
        <v>0</v>
      </c>
    </row>
    <row r="221" spans="5:12" x14ac:dyDescent="0.2">
      <c r="G221">
        <f>SUM(G212:G220)</f>
        <v>0</v>
      </c>
      <c r="L221">
        <f>SUM(L212:L220)</f>
        <v>0</v>
      </c>
    </row>
    <row r="225" spans="5:9" x14ac:dyDescent="0.2">
      <c r="E225" t="s">
        <v>33</v>
      </c>
      <c r="F225">
        <f>M177-G221</f>
        <v>0</v>
      </c>
      <c r="H225" t="s">
        <v>34</v>
      </c>
      <c r="I225">
        <f>M177-L221</f>
        <v>0</v>
      </c>
    </row>
    <row r="272" spans="1:13" x14ac:dyDescent="0.2">
      <c r="A272" t="s">
        <v>39</v>
      </c>
      <c r="F272">
        <f>DONBIW!G29</f>
        <v>0</v>
      </c>
      <c r="M272">
        <f>IF(AND(DONBIW!I27="oui",DONBIW!F27="ligne directe"),H284,0)</f>
        <v>0</v>
      </c>
    </row>
    <row r="273" spans="1:13" x14ac:dyDescent="0.2">
      <c r="M273">
        <f>IF(AND(DONBIW!I27="oui",DONBIW!F27="épou(x)(se)"),H284,0)</f>
        <v>0</v>
      </c>
    </row>
    <row r="274" spans="1:13" x14ac:dyDescent="0.2">
      <c r="A274" t="s">
        <v>2</v>
      </c>
      <c r="G274" t="s">
        <v>3</v>
      </c>
      <c r="H274" t="s">
        <v>40</v>
      </c>
      <c r="M274">
        <f>IF(AND(DONBIW!I27="non",DONBIW!F27="ligne directe"),G284,0)</f>
        <v>0</v>
      </c>
    </row>
    <row r="275" spans="1:13" x14ac:dyDescent="0.2">
      <c r="A275">
        <v>0</v>
      </c>
      <c r="E275">
        <v>50000</v>
      </c>
      <c r="F275">
        <f>IF(AND(F272&gt;A275, F272&lt;=E275),F272,0)</f>
        <v>0</v>
      </c>
      <c r="G275">
        <f>0+(3/100)*(-A275+F275)</f>
        <v>0</v>
      </c>
      <c r="H275">
        <f>0+(2/100)*(-A275+F275)</f>
        <v>0</v>
      </c>
      <c r="M275">
        <f>IF(AND(DONBIW!I27="non",DONBIW!F27="épou(x)(se)"),G284,0)</f>
        <v>0</v>
      </c>
    </row>
    <row r="276" spans="1:13" x14ac:dyDescent="0.2">
      <c r="A276">
        <f>E275</f>
        <v>50000</v>
      </c>
      <c r="E276">
        <v>100000</v>
      </c>
      <c r="F276">
        <f>IF(AND(F272&gt;A276, F272&lt;=E276),F272,0)</f>
        <v>0</v>
      </c>
      <c r="G276">
        <f>(50000/100*3)+(8/100)*(-A276+F276)</f>
        <v>-2500</v>
      </c>
      <c r="H276">
        <f>(50000/100*2)+(5.3/100)*(-A276+F276)</f>
        <v>-1650</v>
      </c>
      <c r="M276">
        <f>IF(DONBIW!F27="frère/soeur",G295,0)</f>
        <v>0</v>
      </c>
    </row>
    <row r="277" spans="1:13" x14ac:dyDescent="0.2">
      <c r="A277">
        <f>E276</f>
        <v>100000</v>
      </c>
      <c r="E277">
        <v>175000</v>
      </c>
      <c r="F277">
        <f>IF(AND(F272&gt;A277, F272&lt;=E277),F272,0)</f>
        <v>0</v>
      </c>
      <c r="G277">
        <f>(50000/100*3)+(50000/100*8)+((9/100)*(-A277+F277))</f>
        <v>-3500</v>
      </c>
      <c r="H277">
        <f>(50000/100*2)+(50000/100*5.3)+((6/100)*(-A277+F277))</f>
        <v>-2350</v>
      </c>
      <c r="M277">
        <f>IF(DONBIW!F27="oncle-tante/neveu-nièce",G308,0)</f>
        <v>0</v>
      </c>
    </row>
    <row r="278" spans="1:13" x14ac:dyDescent="0.2">
      <c r="A278">
        <f>E277</f>
        <v>175000</v>
      </c>
      <c r="E278">
        <v>250000</v>
      </c>
      <c r="F278">
        <f>IF(AND(F272&gt;A278, F272&lt;=E278),F272,0)</f>
        <v>0</v>
      </c>
      <c r="G278">
        <f>(50000/100*3)+(50000/100*8)+(75000/100*9)+((18/100)*(-A278+F278))</f>
        <v>-19250</v>
      </c>
      <c r="H278">
        <f>(50000/100*2)+(50000/100*5.3)+(75000/100*6)+((12/100)*(-A278+F278))</f>
        <v>-12850</v>
      </c>
      <c r="M278">
        <f>IF(DONBIW!F27="étrangers",M308,0)</f>
        <v>0</v>
      </c>
    </row>
    <row r="279" spans="1:13" x14ac:dyDescent="0.2">
      <c r="A279">
        <f>E278</f>
        <v>250000</v>
      </c>
      <c r="E279">
        <v>500000</v>
      </c>
      <c r="F279">
        <f>IF(AND(F272&gt;A279, F272&lt;=E279),F272,0)</f>
        <v>0</v>
      </c>
      <c r="G279">
        <f>(50000/100*3)+(50000/100*8)+(75000/100*9)+(75000/100*18)+((24/100)*(-A279+F279))</f>
        <v>-34250</v>
      </c>
      <c r="H279">
        <f>(50000/100*2)+(50000/100*5.3)+(75000/100*6)+(75000/100*12)+((24/100)*(-A279+F279))</f>
        <v>-42850</v>
      </c>
    </row>
    <row r="280" spans="1:13" x14ac:dyDescent="0.2">
      <c r="A280">
        <f>E279</f>
        <v>500000</v>
      </c>
      <c r="E280">
        <v>999999999</v>
      </c>
      <c r="F280">
        <f>IF(AND(F272&gt;A280, F272&lt;=E280),F272,0)</f>
        <v>0</v>
      </c>
      <c r="G280">
        <f>(50000/100*3)+(50000/100*8)+(75000/100*9)+(75000/100*18)+(250000/100*24)+((30/100)*(-A280+F280))</f>
        <v>-64250</v>
      </c>
      <c r="H280">
        <f>(50000/100*2)+(50000/100*5.3)+(75000/100*6)+(75000/100*12)+(250000/100*24)+((30/100)*(-A280+F280))</f>
        <v>-72850</v>
      </c>
      <c r="M280">
        <f>SUM(M272:M279)</f>
        <v>0</v>
      </c>
    </row>
    <row r="284" spans="1:13" x14ac:dyDescent="0.2">
      <c r="A284" t="s">
        <v>4</v>
      </c>
      <c r="G284">
        <f>VLOOKUP(F272,F275:G280,2,FALSE)</f>
        <v>0</v>
      </c>
      <c r="H284">
        <f>VLOOKUP(F272,F275:H280,3,FALSE)</f>
        <v>0</v>
      </c>
    </row>
    <row r="287" spans="1:13" x14ac:dyDescent="0.2">
      <c r="A287" t="s">
        <v>5</v>
      </c>
      <c r="G287" t="s">
        <v>6</v>
      </c>
    </row>
    <row r="288" spans="1:13" x14ac:dyDescent="0.2">
      <c r="A288">
        <v>0</v>
      </c>
      <c r="E288">
        <v>12500</v>
      </c>
      <c r="F288">
        <f>IF(AND(F272&gt;A288, F272&lt;=E288),F272,0)</f>
        <v>0</v>
      </c>
      <c r="G288">
        <f>0+(20/100)*(-A288+F288)</f>
        <v>0</v>
      </c>
    </row>
    <row r="289" spans="1:13" x14ac:dyDescent="0.2">
      <c r="A289">
        <f>E288</f>
        <v>12500</v>
      </c>
      <c r="E289">
        <v>25000</v>
      </c>
      <c r="F289">
        <f>IF(AND(F272&gt;A289, F272&lt;=E289),F272,0)</f>
        <v>0</v>
      </c>
      <c r="G289">
        <f>(12500/100*20)+((25/100)*(-A289+F289))</f>
        <v>-625</v>
      </c>
    </row>
    <row r="290" spans="1:13" x14ac:dyDescent="0.2">
      <c r="A290">
        <f>E289</f>
        <v>25000</v>
      </c>
      <c r="E290">
        <v>50000</v>
      </c>
      <c r="F290">
        <f>IF(AND(F272&gt;A290, F272&lt;=E290),F272,0)</f>
        <v>0</v>
      </c>
      <c r="G290">
        <f>(12500/100*20)+(12500/100*25)+((30/100)*(-A290+F290))</f>
        <v>-1875</v>
      </c>
    </row>
    <row r="291" spans="1:13" x14ac:dyDescent="0.2">
      <c r="A291">
        <f>E290</f>
        <v>50000</v>
      </c>
      <c r="E291">
        <v>100000</v>
      </c>
      <c r="F291">
        <f>IF(AND(F272&gt;A291, F272&lt;=E291),F272,0)</f>
        <v>0</v>
      </c>
      <c r="G291">
        <f>(12500/100*20)+(12500/100*25)+(25000/100*30)+((40/100)*(-A291+F291))</f>
        <v>-6875</v>
      </c>
    </row>
    <row r="292" spans="1:13" x14ac:dyDescent="0.2">
      <c r="A292">
        <f>E291</f>
        <v>100000</v>
      </c>
      <c r="E292">
        <v>175000</v>
      </c>
      <c r="F292">
        <f>IF(AND(F272&gt;A292, F272&lt;=E292),F272,0)</f>
        <v>0</v>
      </c>
      <c r="G292">
        <f>(12500/100*20)+(12500/100*25)+(25000/100*30)+(50000/100*40)+((55/100)*(-A292+F292))</f>
        <v>-21875.000000000007</v>
      </c>
    </row>
    <row r="293" spans="1:13" x14ac:dyDescent="0.2">
      <c r="A293">
        <v>175000</v>
      </c>
      <c r="E293">
        <v>250000</v>
      </c>
      <c r="F293">
        <f>IF(AND(F272&gt;A293, F272&lt;=E293),F272,0)</f>
        <v>0</v>
      </c>
      <c r="G293">
        <f>(12500/100*20)+(12500/100*25)+(25000/100*30)+(50000/100*40)+(75000/100*55)+((60/100)*(-A293+F293))</f>
        <v>-30625</v>
      </c>
    </row>
    <row r="294" spans="1:13" x14ac:dyDescent="0.2">
      <c r="A294">
        <f>E293</f>
        <v>250000</v>
      </c>
      <c r="E294">
        <v>999999999</v>
      </c>
      <c r="F294">
        <f>IF(AND(F272&gt;A294, F272&lt;=E294),F272,0)</f>
        <v>0</v>
      </c>
      <c r="G294">
        <f>(12500/100*20)+(12500/100*25)+(25000/100*30)+(50000/100*40)+(75000/100*55)+(75000/100*60)+((65/100)*(-A294+F294))</f>
        <v>-43125</v>
      </c>
    </row>
    <row r="295" spans="1:13" x14ac:dyDescent="0.2">
      <c r="A295" t="s">
        <v>4</v>
      </c>
      <c r="G295">
        <f>VLOOKUP(F272,F288:G294,2,FALSE)</f>
        <v>0</v>
      </c>
    </row>
    <row r="300" spans="1:13" x14ac:dyDescent="0.2">
      <c r="A300" t="s">
        <v>22</v>
      </c>
      <c r="G300" t="s">
        <v>7</v>
      </c>
      <c r="I300" t="s">
        <v>23</v>
      </c>
      <c r="M300" t="s">
        <v>8</v>
      </c>
    </row>
    <row r="301" spans="1:13" x14ac:dyDescent="0.2">
      <c r="A301">
        <v>0</v>
      </c>
      <c r="E301">
        <v>50000</v>
      </c>
      <c r="F301">
        <f>IF(AND(F272&gt;A301, F272&lt;=E301),F272,0)</f>
        <v>0</v>
      </c>
      <c r="G301">
        <f>0+(35/100)*(-A301+F301)</f>
        <v>0</v>
      </c>
      <c r="I301">
        <v>0</v>
      </c>
      <c r="J301">
        <v>50000</v>
      </c>
      <c r="K301">
        <f>IF(AND(F272&gt;I301, F272&lt;=J301),F272,0)</f>
        <v>0</v>
      </c>
      <c r="M301">
        <f>0+(40/100)*(-I301+K301)</f>
        <v>0</v>
      </c>
    </row>
    <row r="302" spans="1:13" x14ac:dyDescent="0.2">
      <c r="A302">
        <f>E301</f>
        <v>50000</v>
      </c>
      <c r="E302">
        <v>100000</v>
      </c>
      <c r="F302">
        <f>IF(AND(F272&gt;A302, F272&lt;=E302),F272,0)</f>
        <v>0</v>
      </c>
      <c r="G302">
        <f>(50000/100*35)+((50/100)*(-A302+F302))</f>
        <v>-7500</v>
      </c>
      <c r="I302">
        <f>J301</f>
        <v>50000</v>
      </c>
      <c r="J302">
        <v>75000</v>
      </c>
      <c r="K302">
        <f>IF(AND(F272&gt;I302, F272&lt;=J302),F272,0)</f>
        <v>0</v>
      </c>
      <c r="M302">
        <f>(50000/100*40)+((55/100)*(-I302+K302))</f>
        <v>-7500.0000000000036</v>
      </c>
    </row>
    <row r="303" spans="1:13" x14ac:dyDescent="0.2">
      <c r="A303">
        <f>E302</f>
        <v>100000</v>
      </c>
      <c r="E303">
        <v>175000</v>
      </c>
      <c r="F303">
        <f>IF(AND(F272&gt;A303, F272&lt;=E303),F272,0)</f>
        <v>0</v>
      </c>
      <c r="G303">
        <f>(50000/100*35)+(50000/100*50)+((60/100)*(-A303+F303))</f>
        <v>-17500</v>
      </c>
      <c r="I303">
        <f>J302</f>
        <v>75000</v>
      </c>
      <c r="J303">
        <v>175000</v>
      </c>
      <c r="K303">
        <f>IF(AND(F272&gt;I303, F272&lt;=J303),F272,0)</f>
        <v>0</v>
      </c>
      <c r="M303">
        <f>(50000/100*40)+(25000/100*55)+((65/100)*(-I303+K303))</f>
        <v>-15000</v>
      </c>
    </row>
    <row r="304" spans="1:13" x14ac:dyDescent="0.2">
      <c r="A304">
        <f>E303</f>
        <v>175000</v>
      </c>
      <c r="E304">
        <v>999999999</v>
      </c>
      <c r="F304">
        <f>IF(AND(F272&gt;A304, F272&lt;=E304),F272,0)</f>
        <v>0</v>
      </c>
      <c r="G304">
        <f>(50000/100*35)+(50000/100*50)+(75000/100*60)+((70/100)*(-A304+F304))</f>
        <v>-34999.999999999985</v>
      </c>
      <c r="I304">
        <f>J303</f>
        <v>175000</v>
      </c>
      <c r="J304">
        <v>999999999</v>
      </c>
      <c r="K304">
        <f>IF(AND(F272&gt;I304, F272&lt;=J304),F272,0)</f>
        <v>0</v>
      </c>
      <c r="M304">
        <f>(50000/100*40)+(25000/100*55)+(100000/100*65)+((80/100)*(-I304+K304))</f>
        <v>-41250</v>
      </c>
    </row>
    <row r="308" spans="1:13" x14ac:dyDescent="0.2">
      <c r="A308" t="s">
        <v>4</v>
      </c>
      <c r="G308">
        <f>VLOOKUP(F272,F301:G304,2,FALSE)</f>
        <v>0</v>
      </c>
      <c r="I308" t="s">
        <v>4</v>
      </c>
      <c r="M308">
        <f>VLOOKUP(F272,K301:M304,3,FALSE)</f>
        <v>0</v>
      </c>
    </row>
    <row r="313" spans="1:13" x14ac:dyDescent="0.2">
      <c r="E313" t="s">
        <v>93</v>
      </c>
      <c r="F313" t="s">
        <v>100</v>
      </c>
    </row>
    <row r="315" spans="1:13" x14ac:dyDescent="0.2">
      <c r="E315" t="s">
        <v>93</v>
      </c>
      <c r="F315">
        <f>IF(DONBIW!J27=3,M280*12%,0)</f>
        <v>0</v>
      </c>
      <c r="G315">
        <f>IF(F315&gt;372,372,F315)</f>
        <v>0</v>
      </c>
      <c r="I315" t="s">
        <v>26</v>
      </c>
      <c r="J315">
        <f>M280*6%</f>
        <v>0</v>
      </c>
      <c r="K315">
        <f>IF(J315&gt;186,186,J315)</f>
        <v>0</v>
      </c>
      <c r="L315">
        <f>IF(DONBIW!J27=3,K315,0)</f>
        <v>0</v>
      </c>
    </row>
    <row r="316" spans="1:13" x14ac:dyDescent="0.2">
      <c r="F316">
        <f>IF(DONBIW!J27=4,M280*16%,0)</f>
        <v>0</v>
      </c>
      <c r="G316">
        <f>IF(F316&gt;496,496,F316)</f>
        <v>0</v>
      </c>
      <c r="I316" t="s">
        <v>27</v>
      </c>
      <c r="J316">
        <f>M280*8%</f>
        <v>0</v>
      </c>
      <c r="K316">
        <f>IF(J316&gt;248,248,J316)</f>
        <v>0</v>
      </c>
      <c r="L316">
        <f>IF(DONBIW!J27=4,K316,0)</f>
        <v>0</v>
      </c>
    </row>
    <row r="317" spans="1:13" x14ac:dyDescent="0.2">
      <c r="F317">
        <f>IF(DONBIW!J27=5,M280*20%,0)</f>
        <v>0</v>
      </c>
      <c r="G317">
        <f>IF(F317&gt;620,620,F317)</f>
        <v>0</v>
      </c>
      <c r="J317">
        <f>M280*10%</f>
        <v>0</v>
      </c>
      <c r="K317">
        <f>IF(J317&gt;310,310,J317)</f>
        <v>0</v>
      </c>
      <c r="L317">
        <f>IF(DONBIW!J27=5,K317,0)</f>
        <v>0</v>
      </c>
    </row>
    <row r="318" spans="1:13" x14ac:dyDescent="0.2">
      <c r="F318">
        <f>IF(DONBIW!J27=6,M280*24%,0)</f>
        <v>0</v>
      </c>
      <c r="G318">
        <f>IF(F318&gt;744,744,F318)</f>
        <v>0</v>
      </c>
      <c r="J318">
        <f>M280*12%</f>
        <v>0</v>
      </c>
      <c r="K318">
        <f>IF(J318&gt;372,372,J318)</f>
        <v>0</v>
      </c>
      <c r="L318">
        <f>IF(DONBIW!J27=6,K318,0)</f>
        <v>0</v>
      </c>
    </row>
    <row r="319" spans="1:13" x14ac:dyDescent="0.2">
      <c r="F319">
        <f>IF(DONBIW!J27=7,M280*28%,0)</f>
        <v>0</v>
      </c>
      <c r="G319">
        <f>IF(F319&gt;868,868,F319)</f>
        <v>0</v>
      </c>
      <c r="J319">
        <f>M280*14%</f>
        <v>0</v>
      </c>
      <c r="K319">
        <f>IF(J319&gt;434,434,J319)</f>
        <v>0</v>
      </c>
      <c r="L319">
        <f>IF(DONBIW!J27=7,K319,0)</f>
        <v>0</v>
      </c>
    </row>
    <row r="320" spans="1:13" x14ac:dyDescent="0.2">
      <c r="F320">
        <f>IF(DONBIW!J27=8,M280*32%,0)</f>
        <v>0</v>
      </c>
      <c r="G320">
        <f>IF(F320&gt;992,992,F320)</f>
        <v>0</v>
      </c>
      <c r="J320">
        <f>M280*16%</f>
        <v>0</v>
      </c>
      <c r="K320">
        <f>IF(J320&gt;496,496,J320)</f>
        <v>0</v>
      </c>
      <c r="L320">
        <f>IF(DONBIW!J27=8,K320,0)</f>
        <v>0</v>
      </c>
    </row>
    <row r="321" spans="5:12" x14ac:dyDescent="0.2">
      <c r="F321">
        <f>IF(DONBIW!J27=9,M280*36%,0)</f>
        <v>0</v>
      </c>
      <c r="G321">
        <f>IF(F321&gt;1116,1116,F321)</f>
        <v>0</v>
      </c>
      <c r="J321">
        <f>M280*18%</f>
        <v>0</v>
      </c>
      <c r="K321">
        <f>IF(J321&gt;558,558,J321)</f>
        <v>0</v>
      </c>
      <c r="L321">
        <f>IF(DONBIW!J27=9,K321,0)</f>
        <v>0</v>
      </c>
    </row>
    <row r="322" spans="5:12" x14ac:dyDescent="0.2">
      <c r="F322">
        <f>IF(DONBIW!J27=10,M280*40%,0)</f>
        <v>0</v>
      </c>
      <c r="G322">
        <f>IF(F322&gt;1240,1240,F322)</f>
        <v>0</v>
      </c>
      <c r="J322">
        <f>M280*20%</f>
        <v>0</v>
      </c>
      <c r="K322">
        <f>IF(J322&gt;620,620,J322)</f>
        <v>0</v>
      </c>
      <c r="L322">
        <f>IF(DONBIW!J27=10,K322,0)</f>
        <v>0</v>
      </c>
    </row>
    <row r="324" spans="5:12" x14ac:dyDescent="0.2">
      <c r="G324">
        <f>SUM(G315:G323)</f>
        <v>0</v>
      </c>
      <c r="L324">
        <f>SUM(L315:L323)</f>
        <v>0</v>
      </c>
    </row>
    <row r="328" spans="5:12" x14ac:dyDescent="0.2">
      <c r="E328" t="s">
        <v>33</v>
      </c>
      <c r="F328">
        <f>M280-G324</f>
        <v>0</v>
      </c>
      <c r="H328" t="s">
        <v>34</v>
      </c>
      <c r="I328">
        <f>M280-L324</f>
        <v>0</v>
      </c>
    </row>
    <row r="375" spans="1:13" x14ac:dyDescent="0.2">
      <c r="A375" t="s">
        <v>39</v>
      </c>
      <c r="F375">
        <f>DONBIW!G34</f>
        <v>0</v>
      </c>
      <c r="M375">
        <f>IF(AND(DONBIW!I32="oui",DONBIW!F32="ligne directe"),H387,0)</f>
        <v>0</v>
      </c>
    </row>
    <row r="376" spans="1:13" x14ac:dyDescent="0.2">
      <c r="M376">
        <f>IF(AND(DONBIW!I32="oui",DONBIW!F32="épou(x)(se)"),H387,0)</f>
        <v>0</v>
      </c>
    </row>
    <row r="377" spans="1:13" x14ac:dyDescent="0.2">
      <c r="A377" t="s">
        <v>2</v>
      </c>
      <c r="G377" t="s">
        <v>3</v>
      </c>
      <c r="H377" t="s">
        <v>40</v>
      </c>
      <c r="M377">
        <f>IF(AND(DONBIW!I32="non",DONBIW!F32="ligne directe"),G387,0)</f>
        <v>0</v>
      </c>
    </row>
    <row r="378" spans="1:13" x14ac:dyDescent="0.2">
      <c r="A378">
        <v>0</v>
      </c>
      <c r="E378">
        <v>50000</v>
      </c>
      <c r="F378">
        <f>IF(AND(F375&gt;A378, F375&lt;=E378),F375,0)</f>
        <v>0</v>
      </c>
      <c r="G378">
        <f>0+(3/100)*(-A378+F378)</f>
        <v>0</v>
      </c>
      <c r="H378">
        <f>0+(2/100)*(-A378+F378)</f>
        <v>0</v>
      </c>
      <c r="M378">
        <f>IF(AND(DONBIW!I32="non",DONBIW!F32="épou(x)(se)"),G387,0)</f>
        <v>0</v>
      </c>
    </row>
    <row r="379" spans="1:13" x14ac:dyDescent="0.2">
      <c r="A379">
        <f>E378</f>
        <v>50000</v>
      </c>
      <c r="E379">
        <v>100000</v>
      </c>
      <c r="F379">
        <f>IF(AND(F375&gt;A379, F375&lt;=E379),F375,0)</f>
        <v>0</v>
      </c>
      <c r="G379">
        <f>(50000/100*3)+(8/100)*(-A379+F379)</f>
        <v>-2500</v>
      </c>
      <c r="H379">
        <f>(50000/100*2)+(5.3/100)*(-A379+F379)</f>
        <v>-1650</v>
      </c>
      <c r="M379">
        <f>IF(DONBIW!F32="frère/soeur",G398,0)</f>
        <v>0</v>
      </c>
    </row>
    <row r="380" spans="1:13" x14ac:dyDescent="0.2">
      <c r="A380">
        <f>E379</f>
        <v>100000</v>
      </c>
      <c r="E380">
        <v>175000</v>
      </c>
      <c r="F380">
        <f>IF(AND(F375&gt;A380, F375&lt;=E380),F375,0)</f>
        <v>0</v>
      </c>
      <c r="G380">
        <f>(50000/100*3)+(50000/100*8)+((9/100)*(-A380+F380))</f>
        <v>-3500</v>
      </c>
      <c r="H380">
        <f>(50000/100*2)+(50000/100*5.3)+((6/100)*(-A380+F380))</f>
        <v>-2350</v>
      </c>
      <c r="M380">
        <f>IF(DONBIW!F32="oncle-tante/neveu-nièce",G411,0)</f>
        <v>0</v>
      </c>
    </row>
    <row r="381" spans="1:13" x14ac:dyDescent="0.2">
      <c r="A381">
        <f>E380</f>
        <v>175000</v>
      </c>
      <c r="E381">
        <v>250000</v>
      </c>
      <c r="F381">
        <f>IF(AND(F375&gt;A381, F375&lt;=E381),F375,0)</f>
        <v>0</v>
      </c>
      <c r="G381">
        <f>(50000/100*3)+(50000/100*8)+(75000/100*9)+((18/100)*(-A381+F381))</f>
        <v>-19250</v>
      </c>
      <c r="H381">
        <f>(50000/100*2)+(50000/100*5.3)+(75000/100*6)+((12/100)*(-A381+F381))</f>
        <v>-12850</v>
      </c>
      <c r="M381">
        <f>IF(DONBIW!F32="étrangers",M411,0)</f>
        <v>0</v>
      </c>
    </row>
    <row r="382" spans="1:13" x14ac:dyDescent="0.2">
      <c r="A382">
        <f>E381</f>
        <v>250000</v>
      </c>
      <c r="E382">
        <v>500000</v>
      </c>
      <c r="F382">
        <f>IF(AND(F375&gt;A382, F375&lt;=E382),F375,0)</f>
        <v>0</v>
      </c>
      <c r="G382">
        <f>(50000/100*3)+(50000/100*8)+(75000/100*9)+(75000/100*18)+((24/100)*(-A382+F382))</f>
        <v>-34250</v>
      </c>
      <c r="H382">
        <f>(50000/100*2)+(50000/100*5.3)+(75000/100*6)+(75000/100*12)+((24/100)*(-A382+F382))</f>
        <v>-42850</v>
      </c>
    </row>
    <row r="383" spans="1:13" x14ac:dyDescent="0.2">
      <c r="A383">
        <f>E382</f>
        <v>500000</v>
      </c>
      <c r="E383">
        <v>999999999</v>
      </c>
      <c r="F383">
        <f>IF(AND(F375&gt;A383, F375&lt;=E383),F375,0)</f>
        <v>0</v>
      </c>
      <c r="G383">
        <f>(50000/100*3)+(50000/100*8)+(75000/100*9)+(75000/100*18)+(250000/100*24)+((30/100)*(-A383+F383))</f>
        <v>-64250</v>
      </c>
      <c r="H383">
        <f>(50000/100*2)+(50000/100*5.3)+(75000/100*6)+(75000/100*12)+(250000/100*24)+((30/100)*(-A383+F383))</f>
        <v>-72850</v>
      </c>
      <c r="M383">
        <f>SUM(M375:M382)</f>
        <v>0</v>
      </c>
    </row>
    <row r="387" spans="1:8" x14ac:dyDescent="0.2">
      <c r="A387" t="s">
        <v>4</v>
      </c>
      <c r="G387">
        <f>VLOOKUP(F375,F378:G383,2,FALSE)</f>
        <v>0</v>
      </c>
      <c r="H387">
        <f>VLOOKUP(F375,F378:H383,3,FALSE)</f>
        <v>0</v>
      </c>
    </row>
    <row r="390" spans="1:8" x14ac:dyDescent="0.2">
      <c r="A390" t="s">
        <v>5</v>
      </c>
      <c r="G390" t="s">
        <v>6</v>
      </c>
    </row>
    <row r="391" spans="1:8" x14ac:dyDescent="0.2">
      <c r="A391">
        <v>0</v>
      </c>
      <c r="E391">
        <v>12500</v>
      </c>
      <c r="F391">
        <f>IF(AND(F375&gt;A391, F375&lt;=E391),F375,0)</f>
        <v>0</v>
      </c>
      <c r="G391">
        <f>0+(20/100)*(-A391+F391)</f>
        <v>0</v>
      </c>
    </row>
    <row r="392" spans="1:8" x14ac:dyDescent="0.2">
      <c r="A392">
        <f>E391</f>
        <v>12500</v>
      </c>
      <c r="E392">
        <v>25000</v>
      </c>
      <c r="F392">
        <f>IF(AND(F375&gt;A392, F375&lt;=E392),F375,0)</f>
        <v>0</v>
      </c>
      <c r="G392">
        <f>(12500/100*20)+((25/100)*(-A392+F392))</f>
        <v>-625</v>
      </c>
    </row>
    <row r="393" spans="1:8" x14ac:dyDescent="0.2">
      <c r="A393">
        <f>E392</f>
        <v>25000</v>
      </c>
      <c r="E393">
        <v>50000</v>
      </c>
      <c r="F393">
        <f>IF(AND(F375&gt;A393, F375&lt;=E393),F375,0)</f>
        <v>0</v>
      </c>
      <c r="G393">
        <f>(12500/100*20)+(12500/100*25)+((30/100)*(-A393+F393))</f>
        <v>-1875</v>
      </c>
    </row>
    <row r="394" spans="1:8" x14ac:dyDescent="0.2">
      <c r="A394">
        <f>E393</f>
        <v>50000</v>
      </c>
      <c r="E394">
        <v>100000</v>
      </c>
      <c r="F394">
        <f>IF(AND(F375&gt;A394, F375&lt;=E394),F375,0)</f>
        <v>0</v>
      </c>
      <c r="G394">
        <f>(12500/100*20)+(12500/100*25)+(25000/100*30)+((40/100)*(-A394+F394))</f>
        <v>-6875</v>
      </c>
    </row>
    <row r="395" spans="1:8" x14ac:dyDescent="0.2">
      <c r="A395">
        <f>E394</f>
        <v>100000</v>
      </c>
      <c r="E395">
        <v>175000</v>
      </c>
      <c r="F395">
        <f>IF(AND(F375&gt;A395, F375&lt;=E395),F375,0)</f>
        <v>0</v>
      </c>
      <c r="G395">
        <f>(12500/100*20)+(12500/100*25)+(25000/100*30)+(50000/100*40)+((55/100)*(-A395+F395))</f>
        <v>-21875.000000000007</v>
      </c>
    </row>
    <row r="396" spans="1:8" x14ac:dyDescent="0.2">
      <c r="A396">
        <v>175000</v>
      </c>
      <c r="E396">
        <v>250000</v>
      </c>
      <c r="F396">
        <f>IF(AND(F375&gt;A396, F375&lt;=E396),F375,0)</f>
        <v>0</v>
      </c>
      <c r="G396">
        <f>(12500/100*20)+(12500/100*25)+(25000/100*30)+(50000/100*40)+(75000/100*55)+((60/100)*(-A396+F396))</f>
        <v>-30625</v>
      </c>
    </row>
    <row r="397" spans="1:8" x14ac:dyDescent="0.2">
      <c r="A397">
        <f>E396</f>
        <v>250000</v>
      </c>
      <c r="E397">
        <v>999999999</v>
      </c>
      <c r="F397">
        <f>IF(AND(F375&gt;A397, F375&lt;=E397),F375,0)</f>
        <v>0</v>
      </c>
      <c r="G397">
        <f>(12500/100*20)+(12500/100*25)+(25000/100*30)+(50000/100*40)+(75000/100*55)+(75000/100*60)+((65/100)*(-A397+F397))</f>
        <v>-43125</v>
      </c>
    </row>
    <row r="398" spans="1:8" x14ac:dyDescent="0.2">
      <c r="A398" t="s">
        <v>4</v>
      </c>
      <c r="G398">
        <f>VLOOKUP(F375,F391:G397,2,FALSE)</f>
        <v>0</v>
      </c>
    </row>
    <row r="403" spans="1:13" x14ac:dyDescent="0.2">
      <c r="A403" t="s">
        <v>22</v>
      </c>
      <c r="G403" t="s">
        <v>7</v>
      </c>
      <c r="I403" t="s">
        <v>23</v>
      </c>
      <c r="M403" t="s">
        <v>8</v>
      </c>
    </row>
    <row r="404" spans="1:13" x14ac:dyDescent="0.2">
      <c r="A404">
        <v>0</v>
      </c>
      <c r="E404">
        <v>50000</v>
      </c>
      <c r="F404">
        <f>IF(AND(F375&gt;A404, F375&lt;=E404),F375,0)</f>
        <v>0</v>
      </c>
      <c r="G404">
        <f>0+(35/100)*(-A404+F404)</f>
        <v>0</v>
      </c>
      <c r="I404">
        <v>0</v>
      </c>
      <c r="J404">
        <v>50000</v>
      </c>
      <c r="K404">
        <f>IF(AND(F375&gt;I404, F375&lt;=J404),F375,0)</f>
        <v>0</v>
      </c>
      <c r="M404">
        <f>0+(40/100)*(-I404+K404)</f>
        <v>0</v>
      </c>
    </row>
    <row r="405" spans="1:13" x14ac:dyDescent="0.2">
      <c r="A405">
        <f>E404</f>
        <v>50000</v>
      </c>
      <c r="E405">
        <v>100000</v>
      </c>
      <c r="F405">
        <f>IF(AND(F375&gt;A405, F375&lt;=E405),F375,0)</f>
        <v>0</v>
      </c>
      <c r="G405">
        <f>(50000/100*35)+((50/100)*(-A405+F405))</f>
        <v>-7500</v>
      </c>
      <c r="I405">
        <f>J404</f>
        <v>50000</v>
      </c>
      <c r="J405">
        <v>75000</v>
      </c>
      <c r="K405">
        <f>IF(AND(F375&gt;I405, F375&lt;=J405),F375,0)</f>
        <v>0</v>
      </c>
      <c r="M405">
        <f>(50000/100*40)+((55/100)*(-I405+K405))</f>
        <v>-7500.0000000000036</v>
      </c>
    </row>
    <row r="406" spans="1:13" x14ac:dyDescent="0.2">
      <c r="A406">
        <f>E405</f>
        <v>100000</v>
      </c>
      <c r="E406">
        <v>175000</v>
      </c>
      <c r="F406">
        <f>IF(AND(F375&gt;A406, F375&lt;=E406),F375,0)</f>
        <v>0</v>
      </c>
      <c r="G406">
        <f>(50000/100*35)+(50000/100*50)+((60/100)*(-A406+F406))</f>
        <v>-17500</v>
      </c>
      <c r="I406">
        <f>J405</f>
        <v>75000</v>
      </c>
      <c r="J406">
        <v>175000</v>
      </c>
      <c r="K406">
        <f>IF(AND(F375&gt;I406, F375&lt;=J406),F375,0)</f>
        <v>0</v>
      </c>
      <c r="M406">
        <f>(50000/100*40)+(25000/100*55)+((65/100)*(-I406+K406))</f>
        <v>-15000</v>
      </c>
    </row>
    <row r="407" spans="1:13" x14ac:dyDescent="0.2">
      <c r="A407">
        <f>E406</f>
        <v>175000</v>
      </c>
      <c r="E407">
        <v>999999999</v>
      </c>
      <c r="F407">
        <f>IF(AND(F375&gt;A407, F375&lt;=E407),F375,0)</f>
        <v>0</v>
      </c>
      <c r="G407">
        <f>(50000/100*35)+(50000/100*50)+(75000/100*60)+((70/100)*(-A407+F407))</f>
        <v>-34999.999999999985</v>
      </c>
      <c r="I407">
        <f>J406</f>
        <v>175000</v>
      </c>
      <c r="J407">
        <v>999999999</v>
      </c>
      <c r="K407">
        <f>IF(AND(F375&gt;I407, F375&lt;=J407),F375,0)</f>
        <v>0</v>
      </c>
      <c r="M407">
        <f>(50000/100*40)+(25000/100*55)+(100000/100*65)+((80/100)*(-I407+K407))</f>
        <v>-41250</v>
      </c>
    </row>
    <row r="411" spans="1:13" x14ac:dyDescent="0.2">
      <c r="A411" t="s">
        <v>4</v>
      </c>
      <c r="G411">
        <f>VLOOKUP(F375,F404:G407,2,FALSE)</f>
        <v>0</v>
      </c>
      <c r="I411" t="s">
        <v>4</v>
      </c>
      <c r="M411">
        <f>VLOOKUP(F375,K404:M407,3,FALSE)</f>
        <v>0</v>
      </c>
    </row>
    <row r="416" spans="1:13" x14ac:dyDescent="0.2">
      <c r="E416" t="s">
        <v>93</v>
      </c>
      <c r="F416" t="s">
        <v>100</v>
      </c>
    </row>
    <row r="418" spans="5:12" x14ac:dyDescent="0.2">
      <c r="E418" t="s">
        <v>93</v>
      </c>
      <c r="F418">
        <f>IF(DONBIW!J32=3,M383*12%,0)</f>
        <v>0</v>
      </c>
      <c r="G418">
        <f>IF(F418&gt;372,372,F418)</f>
        <v>0</v>
      </c>
      <c r="I418" t="s">
        <v>26</v>
      </c>
      <c r="J418">
        <f>M383*6%</f>
        <v>0</v>
      </c>
      <c r="K418">
        <f>IF(J418&gt;186,186,J418)</f>
        <v>0</v>
      </c>
      <c r="L418">
        <f>IF(DONBIW!J32=3,K418,0)</f>
        <v>0</v>
      </c>
    </row>
    <row r="419" spans="5:12" x14ac:dyDescent="0.2">
      <c r="F419">
        <f>IF(DONBIW!J32=4,M383*16%,0)</f>
        <v>0</v>
      </c>
      <c r="G419">
        <f>IF(F419&gt;496,496,F419)</f>
        <v>0</v>
      </c>
      <c r="I419" t="s">
        <v>27</v>
      </c>
      <c r="J419">
        <f>M383*8%</f>
        <v>0</v>
      </c>
      <c r="K419">
        <f>IF(J419&gt;248,248,J419)</f>
        <v>0</v>
      </c>
      <c r="L419">
        <f>IF(DONBIW!J32=4,K419,0)</f>
        <v>0</v>
      </c>
    </row>
    <row r="420" spans="5:12" x14ac:dyDescent="0.2">
      <c r="F420">
        <f>IF(DONBIW!J32=5,M383*20%,0)</f>
        <v>0</v>
      </c>
      <c r="G420">
        <f>IF(F420&gt;620,620,F420)</f>
        <v>0</v>
      </c>
      <c r="J420">
        <f>M383*10%</f>
        <v>0</v>
      </c>
      <c r="K420">
        <f>IF(J420&gt;310,310,J420)</f>
        <v>0</v>
      </c>
      <c r="L420">
        <f>IF(DONBIW!J32=5,K420,0)</f>
        <v>0</v>
      </c>
    </row>
    <row r="421" spans="5:12" x14ac:dyDescent="0.2">
      <c r="F421">
        <f>IF(DONBIW!J32=6,M383*24%,0)</f>
        <v>0</v>
      </c>
      <c r="G421">
        <f>IF(F421&gt;744,744,F421)</f>
        <v>0</v>
      </c>
      <c r="J421">
        <f>M383*12%</f>
        <v>0</v>
      </c>
      <c r="K421">
        <f>IF(J421&gt;372,372,J421)</f>
        <v>0</v>
      </c>
      <c r="L421">
        <f>IF(DONBIW!J32=6,K421,0)</f>
        <v>0</v>
      </c>
    </row>
    <row r="422" spans="5:12" x14ac:dyDescent="0.2">
      <c r="F422">
        <f>IF(DONBIW!J32=7,M383*28%,0)</f>
        <v>0</v>
      </c>
      <c r="G422">
        <f>IF(F422&gt;868,868,F422)</f>
        <v>0</v>
      </c>
      <c r="J422">
        <f>M383*14%</f>
        <v>0</v>
      </c>
      <c r="K422">
        <f>IF(J422&gt;434,434,J422)</f>
        <v>0</v>
      </c>
      <c r="L422">
        <f>IF(DONBIW!J32=7,K422,0)</f>
        <v>0</v>
      </c>
    </row>
    <row r="423" spans="5:12" x14ac:dyDescent="0.2">
      <c r="F423">
        <f>IF(DONBIW!J32=8,M383*32%,0)</f>
        <v>0</v>
      </c>
      <c r="G423">
        <f>IF(F423&gt;992,992,F423)</f>
        <v>0</v>
      </c>
      <c r="J423">
        <f>M383*16%</f>
        <v>0</v>
      </c>
      <c r="K423">
        <f>IF(J423&gt;496,496,J423)</f>
        <v>0</v>
      </c>
      <c r="L423">
        <f>IF(DONBIW!J32=8,K423,0)</f>
        <v>0</v>
      </c>
    </row>
    <row r="424" spans="5:12" x14ac:dyDescent="0.2">
      <c r="F424">
        <f>IF(DONBIW!J32=9,M383*36%,0)</f>
        <v>0</v>
      </c>
      <c r="G424">
        <f>IF(F424&gt;1116,1116,F424)</f>
        <v>0</v>
      </c>
      <c r="J424">
        <f>M383*18%</f>
        <v>0</v>
      </c>
      <c r="K424">
        <f>IF(J424&gt;558,558,J424)</f>
        <v>0</v>
      </c>
      <c r="L424">
        <f>IF(DONBIW!J32=9,K424,0)</f>
        <v>0</v>
      </c>
    </row>
    <row r="425" spans="5:12" x14ac:dyDescent="0.2">
      <c r="F425">
        <f>IF(DONBIW!J32=10,M383*40%,0)</f>
        <v>0</v>
      </c>
      <c r="G425">
        <f>IF(F425&gt;1240,1240,F425)</f>
        <v>0</v>
      </c>
      <c r="J425">
        <f>M383*20%</f>
        <v>0</v>
      </c>
      <c r="K425">
        <f>IF(J425&gt;620,620,J425)</f>
        <v>0</v>
      </c>
      <c r="L425">
        <f>IF(J30=10,K425,0)</f>
        <v>0</v>
      </c>
    </row>
    <row r="427" spans="5:12" x14ac:dyDescent="0.2">
      <c r="G427">
        <f>SUM(G418:G426)</f>
        <v>0</v>
      </c>
      <c r="L427">
        <f>SUM(L418:L426)</f>
        <v>0</v>
      </c>
    </row>
    <row r="431" spans="5:12" x14ac:dyDescent="0.2">
      <c r="E431" t="s">
        <v>33</v>
      </c>
      <c r="F431">
        <f>M383-G427</f>
        <v>0</v>
      </c>
      <c r="H431" t="s">
        <v>34</v>
      </c>
      <c r="I431">
        <f>M383-L427</f>
        <v>0</v>
      </c>
    </row>
    <row r="478" spans="1:13" x14ac:dyDescent="0.2">
      <c r="A478" t="s">
        <v>39</v>
      </c>
      <c r="F478">
        <f>DONBIW!G39</f>
        <v>0</v>
      </c>
      <c r="M478">
        <f>IF(AND(DONBIW!I37="oui",DONBIW!F37="ligne directe"),H490,0)</f>
        <v>0</v>
      </c>
    </row>
    <row r="479" spans="1:13" x14ac:dyDescent="0.2">
      <c r="M479">
        <f>IF(AND(DONBIW!I37="oui",DONBIW!F37="épou(x)(se)"),H490,0)</f>
        <v>0</v>
      </c>
    </row>
    <row r="480" spans="1:13" x14ac:dyDescent="0.2">
      <c r="A480" t="s">
        <v>2</v>
      </c>
      <c r="G480" t="s">
        <v>3</v>
      </c>
      <c r="H480" t="s">
        <v>40</v>
      </c>
      <c r="M480">
        <f>IF(AND(DONBIW!I37="non",DONBIW!F37="ligne directe"),G490,0)</f>
        <v>0</v>
      </c>
    </row>
    <row r="481" spans="1:13" x14ac:dyDescent="0.2">
      <c r="A481">
        <v>0</v>
      </c>
      <c r="E481">
        <v>50000</v>
      </c>
      <c r="F481">
        <f>IF(AND(F478&gt;A481, F478&lt;=E481),F478,0)</f>
        <v>0</v>
      </c>
      <c r="G481">
        <f>0+(3/100)*(-A481+F481)</f>
        <v>0</v>
      </c>
      <c r="H481">
        <f>0+(2/100)*(-A481+F481)</f>
        <v>0</v>
      </c>
      <c r="M481">
        <f>IF(AND(DONBIW!I37="non",DONBIW!F37="épou(x)(se)"),G490,0)</f>
        <v>0</v>
      </c>
    </row>
    <row r="482" spans="1:13" x14ac:dyDescent="0.2">
      <c r="A482">
        <f>E481</f>
        <v>50000</v>
      </c>
      <c r="E482">
        <v>100000</v>
      </c>
      <c r="F482">
        <f>IF(AND(F478&gt;A482, F478&lt;=E482),F478,0)</f>
        <v>0</v>
      </c>
      <c r="G482">
        <f>(50000/100*3)+(8/100)*(-A482+F482)</f>
        <v>-2500</v>
      </c>
      <c r="H482">
        <f>(50000/100*2)+(5.3/100)*(-A482+F482)</f>
        <v>-1650</v>
      </c>
      <c r="M482">
        <f>IF(DONBIW!F37="frère/soeur",G501,0)</f>
        <v>0</v>
      </c>
    </row>
    <row r="483" spans="1:13" x14ac:dyDescent="0.2">
      <c r="A483">
        <f>E482</f>
        <v>100000</v>
      </c>
      <c r="E483">
        <v>175000</v>
      </c>
      <c r="F483">
        <f>IF(AND(F478&gt;A483, F478&lt;=E483),F478,0)</f>
        <v>0</v>
      </c>
      <c r="G483">
        <f>(50000/100*3)+(50000/100*8)+((9/100)*(-A483+F483))</f>
        <v>-3500</v>
      </c>
      <c r="H483">
        <f>(50000/100*2)+(50000/100*5.3)+((6/100)*(-A483+F483))</f>
        <v>-2350</v>
      </c>
      <c r="M483">
        <f>IF(DONBIW!F37="oncle-tante/neveu-nièce",G514,0)</f>
        <v>0</v>
      </c>
    </row>
    <row r="484" spans="1:13" x14ac:dyDescent="0.2">
      <c r="A484">
        <f>E483</f>
        <v>175000</v>
      </c>
      <c r="E484">
        <v>250000</v>
      </c>
      <c r="F484">
        <f>IF(AND(F478&gt;A484, F478&lt;=E484),F478,0)</f>
        <v>0</v>
      </c>
      <c r="G484">
        <f>(50000/100*3)+(50000/100*8)+(75000/100*9)+((18/100)*(-A484+F484))</f>
        <v>-19250</v>
      </c>
      <c r="H484">
        <f>(50000/100*2)+(50000/100*5.3)+(75000/100*6)+((12/100)*(-A484+F484))</f>
        <v>-12850</v>
      </c>
      <c r="M484">
        <f>IF(DONBIW!F37="étrangers",M514,0)</f>
        <v>0</v>
      </c>
    </row>
    <row r="485" spans="1:13" x14ac:dyDescent="0.2">
      <c r="A485">
        <f>E484</f>
        <v>250000</v>
      </c>
      <c r="E485">
        <v>500000</v>
      </c>
      <c r="F485">
        <f>IF(AND(F478&gt;A485, F478&lt;=E485),F478,0)</f>
        <v>0</v>
      </c>
      <c r="G485">
        <f>(50000/100*3)+(50000/100*8)+(75000/100*9)+(75000/100*18)+((24/100)*(-A485+F485))</f>
        <v>-34250</v>
      </c>
      <c r="H485">
        <f>(50000/100*2)+(50000/100*5.3)+(75000/100*6)+(75000/100*12)+((24/100)*(-A485+F485))</f>
        <v>-42850</v>
      </c>
    </row>
    <row r="486" spans="1:13" x14ac:dyDescent="0.2">
      <c r="A486">
        <f>E485</f>
        <v>500000</v>
      </c>
      <c r="E486">
        <v>999999999</v>
      </c>
      <c r="F486">
        <f>IF(AND(F478&gt;A486, F478&lt;=E486),F478,0)</f>
        <v>0</v>
      </c>
      <c r="G486">
        <f>(50000/100*3)+(50000/100*8)+(75000/100*9)+(75000/100*18)+(250000/100*24)+((30/100)*(-A486+F486))</f>
        <v>-64250</v>
      </c>
      <c r="H486">
        <f>(50000/100*2)+(50000/100*5.3)+(75000/100*6)+(75000/100*12)+(250000/100*24)+((30/100)*(-A486+F486))</f>
        <v>-72850</v>
      </c>
      <c r="M486">
        <f>SUM(M478:M485)</f>
        <v>0</v>
      </c>
    </row>
    <row r="490" spans="1:13" x14ac:dyDescent="0.2">
      <c r="A490" t="s">
        <v>4</v>
      </c>
      <c r="G490">
        <f>VLOOKUP(F478,F481:G486,2,FALSE)</f>
        <v>0</v>
      </c>
      <c r="H490">
        <f>VLOOKUP(F478,F481:H486,3,FALSE)</f>
        <v>0</v>
      </c>
    </row>
    <row r="493" spans="1:13" x14ac:dyDescent="0.2">
      <c r="A493" t="s">
        <v>5</v>
      </c>
      <c r="G493" t="s">
        <v>6</v>
      </c>
    </row>
    <row r="494" spans="1:13" x14ac:dyDescent="0.2">
      <c r="A494">
        <v>0</v>
      </c>
      <c r="E494">
        <v>12500</v>
      </c>
      <c r="F494">
        <f>IF(AND(F478&gt;A494, F478&lt;=E494),F478,0)</f>
        <v>0</v>
      </c>
      <c r="G494">
        <f>0+(20/100)*(-A494+F494)</f>
        <v>0</v>
      </c>
    </row>
    <row r="495" spans="1:13" x14ac:dyDescent="0.2">
      <c r="A495">
        <f>E494</f>
        <v>12500</v>
      </c>
      <c r="E495">
        <v>25000</v>
      </c>
      <c r="F495">
        <f>IF(AND(F478&gt;A495, F478&lt;=E495),F478,0)</f>
        <v>0</v>
      </c>
      <c r="G495">
        <f>(12500/100*20)+((25/100)*(-A495+F495))</f>
        <v>-625</v>
      </c>
    </row>
    <row r="496" spans="1:13" x14ac:dyDescent="0.2">
      <c r="A496">
        <f>E495</f>
        <v>25000</v>
      </c>
      <c r="E496">
        <v>50000</v>
      </c>
      <c r="F496">
        <f>IF(AND(F478&gt;A496, F478&lt;=E496),F478,0)</f>
        <v>0</v>
      </c>
      <c r="G496">
        <f>(12500/100*20)+(12500/100*25)+((30/100)*(-A496+F496))</f>
        <v>-1875</v>
      </c>
    </row>
    <row r="497" spans="1:13" x14ac:dyDescent="0.2">
      <c r="A497">
        <f>E496</f>
        <v>50000</v>
      </c>
      <c r="E497">
        <v>100000</v>
      </c>
      <c r="F497">
        <f>IF(AND(F478&gt;A497, F478&lt;=E497),F478,0)</f>
        <v>0</v>
      </c>
      <c r="G497">
        <f>(12500/100*20)+(12500/100*25)+(25000/100*30)+((40/100)*(-A497+F497))</f>
        <v>-6875</v>
      </c>
    </row>
    <row r="498" spans="1:13" x14ac:dyDescent="0.2">
      <c r="A498">
        <f>E497</f>
        <v>100000</v>
      </c>
      <c r="E498">
        <v>175000</v>
      </c>
      <c r="F498">
        <f>IF(AND(F478&gt;A498, F478&lt;=E498),F478,0)</f>
        <v>0</v>
      </c>
      <c r="G498">
        <f>(12500/100*20)+(12500/100*25)+(25000/100*30)+(50000/100*40)+((55/100)*(-A498+F498))</f>
        <v>-21875.000000000007</v>
      </c>
    </row>
    <row r="499" spans="1:13" x14ac:dyDescent="0.2">
      <c r="A499">
        <v>175000</v>
      </c>
      <c r="E499">
        <v>250000</v>
      </c>
      <c r="F499">
        <f>IF(AND(F478&gt;A499, F478&lt;=E499),F478,0)</f>
        <v>0</v>
      </c>
      <c r="G499">
        <f>(12500/100*20)+(12500/100*25)+(25000/100*30)+(50000/100*40)+(75000/100*55)+((60/100)*(-A499+F499))</f>
        <v>-30625</v>
      </c>
    </row>
    <row r="500" spans="1:13" x14ac:dyDescent="0.2">
      <c r="A500">
        <f>E499</f>
        <v>250000</v>
      </c>
      <c r="E500">
        <v>999999999</v>
      </c>
      <c r="F500">
        <f>IF(AND(F478&gt;A500, F478&lt;=E500),F478,0)</f>
        <v>0</v>
      </c>
      <c r="G500">
        <f>(12500/100*20)+(12500/100*25)+(25000/100*30)+(50000/100*40)+(75000/100*55)+(75000/100*60)+((65/100)*(-A500+F500))</f>
        <v>-43125</v>
      </c>
    </row>
    <row r="501" spans="1:13" x14ac:dyDescent="0.2">
      <c r="A501" t="s">
        <v>4</v>
      </c>
      <c r="G501">
        <f>VLOOKUP(F478,F494:G500,2,FALSE)</f>
        <v>0</v>
      </c>
    </row>
    <row r="506" spans="1:13" x14ac:dyDescent="0.2">
      <c r="A506" t="s">
        <v>22</v>
      </c>
      <c r="G506" t="s">
        <v>7</v>
      </c>
      <c r="I506" t="s">
        <v>23</v>
      </c>
      <c r="M506" t="s">
        <v>8</v>
      </c>
    </row>
    <row r="507" spans="1:13" x14ac:dyDescent="0.2">
      <c r="A507">
        <v>0</v>
      </c>
      <c r="E507">
        <v>50000</v>
      </c>
      <c r="F507">
        <f>IF(AND(F478&gt;A507, F478&lt;=E507),F478,0)</f>
        <v>0</v>
      </c>
      <c r="G507">
        <f>0+(35/100)*(-A507+F507)</f>
        <v>0</v>
      </c>
      <c r="I507">
        <v>0</v>
      </c>
      <c r="J507">
        <v>50000</v>
      </c>
      <c r="K507">
        <f>IF(AND(F478&gt;I507, F478&lt;=J507),F478,0)</f>
        <v>0</v>
      </c>
      <c r="M507">
        <f>0+(40/100)*(-I507+K507)</f>
        <v>0</v>
      </c>
    </row>
    <row r="508" spans="1:13" x14ac:dyDescent="0.2">
      <c r="A508">
        <f>E507</f>
        <v>50000</v>
      </c>
      <c r="E508">
        <v>100000</v>
      </c>
      <c r="F508">
        <f>IF(AND(F478&gt;A508, F478&lt;=E508),F478,0)</f>
        <v>0</v>
      </c>
      <c r="G508">
        <f>(50000/100*35)+((50/100)*(-A508+F508))</f>
        <v>-7500</v>
      </c>
      <c r="I508">
        <f>J507</f>
        <v>50000</v>
      </c>
      <c r="J508">
        <v>75000</v>
      </c>
      <c r="K508">
        <f>IF(AND(F478&gt;I508, F478&lt;=J508),F478,0)</f>
        <v>0</v>
      </c>
      <c r="M508">
        <f>(50000/100*40)+((55/100)*(-I508+K508))</f>
        <v>-7500.0000000000036</v>
      </c>
    </row>
    <row r="509" spans="1:13" x14ac:dyDescent="0.2">
      <c r="A509">
        <f>E508</f>
        <v>100000</v>
      </c>
      <c r="E509">
        <v>175000</v>
      </c>
      <c r="F509">
        <f>IF(AND(F478&gt;A509, F478&lt;=E509),F478,0)</f>
        <v>0</v>
      </c>
      <c r="G509">
        <f>(50000/100*35)+(50000/100*50)+((60/100)*(-A509+F509))</f>
        <v>-17500</v>
      </c>
      <c r="I509">
        <f>J508</f>
        <v>75000</v>
      </c>
      <c r="J509">
        <v>175000</v>
      </c>
      <c r="K509">
        <f>IF(AND(F478&gt;I509, F478&lt;=J509),F478,0)</f>
        <v>0</v>
      </c>
      <c r="M509">
        <f>(50000/100*40)+(25000/100*55)+((65/100)*(-I509+K509))</f>
        <v>-15000</v>
      </c>
    </row>
    <row r="510" spans="1:13" x14ac:dyDescent="0.2">
      <c r="A510">
        <f>E509</f>
        <v>175000</v>
      </c>
      <c r="E510">
        <v>999999999</v>
      </c>
      <c r="F510">
        <f>IF(AND(F478&gt;A510, F478&lt;=E510),F478,0)</f>
        <v>0</v>
      </c>
      <c r="G510">
        <f>(50000/100*35)+(50000/100*50)+(75000/100*60)+((70/100)*(-A510+F510))</f>
        <v>-34999.999999999985</v>
      </c>
      <c r="I510">
        <f>J509</f>
        <v>175000</v>
      </c>
      <c r="J510">
        <v>999999999</v>
      </c>
      <c r="K510">
        <f>IF(AND(F478&gt;I510, F478&lt;=J510),F478,0)</f>
        <v>0</v>
      </c>
      <c r="M510">
        <f>(50000/100*40)+(25000/100*55)+(100000/100*65)+((80/100)*(-I510+K510))</f>
        <v>-41250</v>
      </c>
    </row>
    <row r="514" spans="1:13" x14ac:dyDescent="0.2">
      <c r="A514" t="s">
        <v>4</v>
      </c>
      <c r="G514">
        <f>VLOOKUP(F478,F507:G510,2,FALSE)</f>
        <v>0</v>
      </c>
      <c r="I514" t="s">
        <v>4</v>
      </c>
      <c r="M514">
        <f>VLOOKUP(F478,K507:M510,3,FALSE)</f>
        <v>0</v>
      </c>
    </row>
    <row r="519" spans="1:13" x14ac:dyDescent="0.2">
      <c r="E519" t="s">
        <v>93</v>
      </c>
      <c r="F519" t="s">
        <v>100</v>
      </c>
    </row>
    <row r="521" spans="1:13" x14ac:dyDescent="0.2">
      <c r="E521" t="s">
        <v>93</v>
      </c>
      <c r="F521">
        <f>IF(DONBIW!J37=3,M486*12%,0)</f>
        <v>0</v>
      </c>
      <c r="G521">
        <f>IF(F521&gt;372,372,F521)</f>
        <v>0</v>
      </c>
      <c r="I521" t="s">
        <v>26</v>
      </c>
      <c r="J521">
        <f>M486*6%</f>
        <v>0</v>
      </c>
      <c r="K521">
        <f>IF(J521&gt;186,186,J521)</f>
        <v>0</v>
      </c>
      <c r="L521">
        <f>IF(DONBIW!J37=3,K521,0)</f>
        <v>0</v>
      </c>
    </row>
    <row r="522" spans="1:13" x14ac:dyDescent="0.2">
      <c r="F522">
        <f>IF(DONBIW!J37=4,M486*16%,0)</f>
        <v>0</v>
      </c>
      <c r="G522">
        <f>IF(F522&gt;496,496,F522)</f>
        <v>0</v>
      </c>
      <c r="I522" t="s">
        <v>27</v>
      </c>
      <c r="J522">
        <f>M486*8%</f>
        <v>0</v>
      </c>
      <c r="K522">
        <f>IF(J522&gt;248,248,J522)</f>
        <v>0</v>
      </c>
      <c r="L522">
        <f>IF(DONBIW!J37=4,K522,0)</f>
        <v>0</v>
      </c>
    </row>
    <row r="523" spans="1:13" x14ac:dyDescent="0.2">
      <c r="F523">
        <f>IF(DONBIW!J37=5,M486*20%,0)</f>
        <v>0</v>
      </c>
      <c r="G523">
        <f>IF(F523&gt;620,620,F523)</f>
        <v>0</v>
      </c>
      <c r="J523">
        <f>M486*10%</f>
        <v>0</v>
      </c>
      <c r="K523">
        <f>IF(J523&gt;310,310,J523)</f>
        <v>0</v>
      </c>
      <c r="L523">
        <f>IF(DONBIW!J37=5,K523,0)</f>
        <v>0</v>
      </c>
    </row>
    <row r="524" spans="1:13" x14ac:dyDescent="0.2">
      <c r="F524">
        <f>IF(DONBIW!J37=6,M486*24%,0)</f>
        <v>0</v>
      </c>
      <c r="G524">
        <f>IF(F524&gt;744,744,F524)</f>
        <v>0</v>
      </c>
      <c r="J524">
        <f>M486*12%</f>
        <v>0</v>
      </c>
      <c r="K524">
        <f>IF(J524&gt;372,372,J524)</f>
        <v>0</v>
      </c>
      <c r="L524">
        <f>IF(DONBIW!J37=6,K524,0)</f>
        <v>0</v>
      </c>
    </row>
    <row r="525" spans="1:13" x14ac:dyDescent="0.2">
      <c r="F525">
        <f>IF(DONBIW!J37=7,M486*28%,0)</f>
        <v>0</v>
      </c>
      <c r="G525">
        <f>IF(F525&gt;868,868,F525)</f>
        <v>0</v>
      </c>
      <c r="J525">
        <f>M486*14%</f>
        <v>0</v>
      </c>
      <c r="K525">
        <f>IF(J525&gt;434,434,J525)</f>
        <v>0</v>
      </c>
      <c r="L525">
        <f>IF(DONBIW!J37=7,K525,0)</f>
        <v>0</v>
      </c>
    </row>
    <row r="526" spans="1:13" x14ac:dyDescent="0.2">
      <c r="F526">
        <f>IF(DONBIW!J37=8,M486*32%,0)</f>
        <v>0</v>
      </c>
      <c r="G526">
        <f>IF(F526&gt;992,992,F526)</f>
        <v>0</v>
      </c>
      <c r="J526">
        <f>M486*16%</f>
        <v>0</v>
      </c>
      <c r="K526">
        <f>IF(J526&gt;496,496,J526)</f>
        <v>0</v>
      </c>
      <c r="L526">
        <f>IF(DONBIW!J37=8,K526,0)</f>
        <v>0</v>
      </c>
    </row>
    <row r="527" spans="1:13" x14ac:dyDescent="0.2">
      <c r="F527">
        <f>IF(DONBIW!J37=9,M486*36%,0)</f>
        <v>0</v>
      </c>
      <c r="G527">
        <f>IF(F527&gt;1116,1116,F527)</f>
        <v>0</v>
      </c>
      <c r="J527">
        <f>M486*18%</f>
        <v>0</v>
      </c>
      <c r="K527">
        <f>IF(J527&gt;558,558,J527)</f>
        <v>0</v>
      </c>
      <c r="L527">
        <f>IF(DONBIW!J37=9,K527,0)</f>
        <v>0</v>
      </c>
    </row>
    <row r="528" spans="1:13" x14ac:dyDescent="0.2">
      <c r="F528">
        <f>IF(DONBIW!J37=10,M486*40%,0)</f>
        <v>0</v>
      </c>
      <c r="G528">
        <f>IF(F528&gt;1240,1240,F528)</f>
        <v>0</v>
      </c>
      <c r="J528">
        <f>M486*20%</f>
        <v>0</v>
      </c>
      <c r="K528">
        <f>IF(J528&gt;620,620,J528)</f>
        <v>0</v>
      </c>
      <c r="L528">
        <f>IF(DONBIW!J37=10,K528,0)</f>
        <v>0</v>
      </c>
    </row>
    <row r="530" spans="5:12" x14ac:dyDescent="0.2">
      <c r="G530">
        <f>SUM(G521:G529)</f>
        <v>0</v>
      </c>
      <c r="L530">
        <f>SUM(L521:L529)</f>
        <v>0</v>
      </c>
    </row>
    <row r="534" spans="5:12" x14ac:dyDescent="0.2">
      <c r="E534" t="s">
        <v>33</v>
      </c>
      <c r="F534">
        <f>M486-G530</f>
        <v>0</v>
      </c>
      <c r="H534" t="s">
        <v>34</v>
      </c>
      <c r="I534">
        <f>M486-L530</f>
        <v>0</v>
      </c>
    </row>
    <row r="581" spans="1:13" x14ac:dyDescent="0.2">
      <c r="A581" t="s">
        <v>39</v>
      </c>
      <c r="F581">
        <f>DONBIW!G44</f>
        <v>0</v>
      </c>
      <c r="M581">
        <f>IF(AND(DONBIW!I42="oui",DONBIW!F42="ligne directe"),H593,0)</f>
        <v>0</v>
      </c>
    </row>
    <row r="582" spans="1:13" x14ac:dyDescent="0.2">
      <c r="M582">
        <f>IF(AND(DONBIW!I42="oui",DONBIW!F42="épou(x)(se)"),H593,0)</f>
        <v>0</v>
      </c>
    </row>
    <row r="583" spans="1:13" x14ac:dyDescent="0.2">
      <c r="A583" t="s">
        <v>2</v>
      </c>
      <c r="G583" t="s">
        <v>3</v>
      </c>
      <c r="H583" t="s">
        <v>40</v>
      </c>
      <c r="M583">
        <f>IF(AND(DONBIW!I42="non",DONBIW!F42="ligne directe"),G593,0)</f>
        <v>0</v>
      </c>
    </row>
    <row r="584" spans="1:13" x14ac:dyDescent="0.2">
      <c r="A584">
        <v>0</v>
      </c>
      <c r="E584">
        <v>50000</v>
      </c>
      <c r="F584">
        <f>IF(AND(F581&gt;A584, F581&lt;=E584),F581,0)</f>
        <v>0</v>
      </c>
      <c r="G584">
        <f>0+(3/100)*(-A584+F584)</f>
        <v>0</v>
      </c>
      <c r="H584">
        <f>0+(2/100)*(-A584+F584)</f>
        <v>0</v>
      </c>
      <c r="M584">
        <f>IF(AND(DONBIW!I42="non",DONBIW!F42="épou(x)(se)"),G593,0)</f>
        <v>0</v>
      </c>
    </row>
    <row r="585" spans="1:13" x14ac:dyDescent="0.2">
      <c r="A585">
        <f>E584</f>
        <v>50000</v>
      </c>
      <c r="E585">
        <v>100000</v>
      </c>
      <c r="F585">
        <f>IF(AND(F581&gt;A585, F581&lt;=E585),F581,0)</f>
        <v>0</v>
      </c>
      <c r="G585">
        <f>(50000/100*3)+(8/100)*(-A585+F585)</f>
        <v>-2500</v>
      </c>
      <c r="H585">
        <f>(50000/100*2)+(5.3/100)*(-A585+F585)</f>
        <v>-1650</v>
      </c>
      <c r="M585">
        <f>IF(DONBIW!F42="frère/soeur",G604,0)</f>
        <v>0</v>
      </c>
    </row>
    <row r="586" spans="1:13" x14ac:dyDescent="0.2">
      <c r="A586">
        <f>E585</f>
        <v>100000</v>
      </c>
      <c r="E586">
        <v>175000</v>
      </c>
      <c r="F586">
        <f>IF(AND(F581&gt;A586, F581&lt;=E586),F581,0)</f>
        <v>0</v>
      </c>
      <c r="G586">
        <f>(50000/100*3)+(50000/100*8)+((9/100)*(-A586+F586))</f>
        <v>-3500</v>
      </c>
      <c r="H586">
        <f>(50000/100*2)+(50000/100*5.3)+((6/100)*(-A586+F586))</f>
        <v>-2350</v>
      </c>
      <c r="M586">
        <f>IF(DONBIW!F42="oncle-tante/neveu-nièce",G617,0)</f>
        <v>0</v>
      </c>
    </row>
    <row r="587" spans="1:13" x14ac:dyDescent="0.2">
      <c r="A587">
        <f>E586</f>
        <v>175000</v>
      </c>
      <c r="E587">
        <v>250000</v>
      </c>
      <c r="F587">
        <f>IF(AND(F581&gt;A587, F581&lt;=E587),F581,0)</f>
        <v>0</v>
      </c>
      <c r="G587">
        <f>(50000/100*3)+(50000/100*8)+(75000/100*9)+((18/100)*(-A587+F587))</f>
        <v>-19250</v>
      </c>
      <c r="H587">
        <f>(50000/100*2)+(50000/100*5.3)+(75000/100*6)+((12/100)*(-A587+F587))</f>
        <v>-12850</v>
      </c>
      <c r="M587">
        <f>IF(DONBIW!F42="étrangers",M617,0)</f>
        <v>0</v>
      </c>
    </row>
    <row r="588" spans="1:13" x14ac:dyDescent="0.2">
      <c r="A588">
        <f>E587</f>
        <v>250000</v>
      </c>
      <c r="E588">
        <v>500000</v>
      </c>
      <c r="F588">
        <f>IF(AND(F581&gt;A588, F581&lt;=E588),F581,0)</f>
        <v>0</v>
      </c>
      <c r="G588">
        <f>(50000/100*3)+(50000/100*8)+(75000/100*9)+(75000/100*18)+((24/100)*(-A588+F588))</f>
        <v>-34250</v>
      </c>
      <c r="H588">
        <f>(50000/100*2)+(50000/100*5.3)+(75000/100*6)+(75000/100*12)+((24/100)*(-A588+F588))</f>
        <v>-42850</v>
      </c>
    </row>
    <row r="589" spans="1:13" x14ac:dyDescent="0.2">
      <c r="A589">
        <f>E588</f>
        <v>500000</v>
      </c>
      <c r="E589">
        <v>999999999</v>
      </c>
      <c r="F589">
        <f>IF(AND(F581&gt;A589, F581&lt;=E589),F581,0)</f>
        <v>0</v>
      </c>
      <c r="G589">
        <f>(50000/100*3)+(50000/100*8)+(75000/100*9)+(75000/100*18)+(250000/100*24)+((30/100)*(-A589+F589))</f>
        <v>-64250</v>
      </c>
      <c r="H589">
        <f>(50000/100*2)+(50000/100*5.3)+(75000/100*6)+(75000/100*12)+(250000/100*24)+((30/100)*(-A589+F589))</f>
        <v>-72850</v>
      </c>
      <c r="M589">
        <f>SUM(M581:M588)</f>
        <v>0</v>
      </c>
    </row>
    <row r="593" spans="1:8" x14ac:dyDescent="0.2">
      <c r="A593" t="s">
        <v>4</v>
      </c>
      <c r="G593">
        <f>VLOOKUP(F581,F584:G589,2,FALSE)</f>
        <v>0</v>
      </c>
      <c r="H593">
        <f>VLOOKUP(F581,F584:H589,3,FALSE)</f>
        <v>0</v>
      </c>
    </row>
    <row r="596" spans="1:8" x14ac:dyDescent="0.2">
      <c r="A596" t="s">
        <v>5</v>
      </c>
      <c r="G596" t="s">
        <v>6</v>
      </c>
    </row>
    <row r="597" spans="1:8" x14ac:dyDescent="0.2">
      <c r="A597">
        <v>0</v>
      </c>
      <c r="E597">
        <v>12500</v>
      </c>
      <c r="F597">
        <f>IF(AND(F581&gt;A597, F581&lt;=E597),F581,0)</f>
        <v>0</v>
      </c>
      <c r="G597">
        <f>0+(20/100)*(-A597+F597)</f>
        <v>0</v>
      </c>
    </row>
    <row r="598" spans="1:8" x14ac:dyDescent="0.2">
      <c r="A598">
        <f>E597</f>
        <v>12500</v>
      </c>
      <c r="E598">
        <v>25000</v>
      </c>
      <c r="F598">
        <f>IF(AND(F581&gt;A598, F581&lt;=E598),F581,0)</f>
        <v>0</v>
      </c>
      <c r="G598">
        <f>(12500/100*20)+((25/100)*(-A598+F598))</f>
        <v>-625</v>
      </c>
    </row>
    <row r="599" spans="1:8" x14ac:dyDescent="0.2">
      <c r="A599">
        <f>E598</f>
        <v>25000</v>
      </c>
      <c r="E599">
        <v>50000</v>
      </c>
      <c r="F599">
        <f>IF(AND(F581&gt;A599, F581&lt;=E599),F581,0)</f>
        <v>0</v>
      </c>
      <c r="G599">
        <f>(12500/100*20)+(12500/100*25)+((30/100)*(-A599+F599))</f>
        <v>-1875</v>
      </c>
    </row>
    <row r="600" spans="1:8" x14ac:dyDescent="0.2">
      <c r="A600">
        <f>E599</f>
        <v>50000</v>
      </c>
      <c r="E600">
        <v>100000</v>
      </c>
      <c r="F600">
        <f>IF(AND(F581&gt;A600, F581&lt;=E600),F581,0)</f>
        <v>0</v>
      </c>
      <c r="G600">
        <f>(12500/100*20)+(12500/100*25)+(25000/100*30)+((40/100)*(-A600+F600))</f>
        <v>-6875</v>
      </c>
    </row>
    <row r="601" spans="1:8" x14ac:dyDescent="0.2">
      <c r="A601">
        <f>E600</f>
        <v>100000</v>
      </c>
      <c r="E601">
        <v>175000</v>
      </c>
      <c r="F601">
        <f>IF(AND(F581&gt;A601, F581&lt;=E601),F581,0)</f>
        <v>0</v>
      </c>
      <c r="G601">
        <f>(12500/100*20)+(12500/100*25)+(25000/100*30)+(50000/100*40)+((55/100)*(-A601+F601))</f>
        <v>-21875.000000000007</v>
      </c>
    </row>
    <row r="602" spans="1:8" x14ac:dyDescent="0.2">
      <c r="A602">
        <v>175000</v>
      </c>
      <c r="E602">
        <v>250000</v>
      </c>
      <c r="F602">
        <f>IF(AND(F581&gt;A602, F581&lt;=E602),F581,0)</f>
        <v>0</v>
      </c>
      <c r="G602">
        <f>(12500/100*20)+(12500/100*25)+(25000/100*30)+(50000/100*40)+(75000/100*55)+((60/100)*(-A602+F602))</f>
        <v>-30625</v>
      </c>
    </row>
    <row r="603" spans="1:8" x14ac:dyDescent="0.2">
      <c r="A603">
        <f>E602</f>
        <v>250000</v>
      </c>
      <c r="E603">
        <v>999999999</v>
      </c>
      <c r="F603">
        <f>IF(AND(F581&gt;A603, F581&lt;=E603),F581,0)</f>
        <v>0</v>
      </c>
      <c r="G603">
        <f>(12500/100*20)+(12500/100*25)+(25000/100*30)+(50000/100*40)+(75000/100*55)+(75000/100*60)+((65/100)*(-A603+F603))</f>
        <v>-43125</v>
      </c>
    </row>
    <row r="604" spans="1:8" x14ac:dyDescent="0.2">
      <c r="A604" t="s">
        <v>4</v>
      </c>
      <c r="G604">
        <f>VLOOKUP(F581,F597:G603,2,FALSE)</f>
        <v>0</v>
      </c>
    </row>
    <row r="609" spans="1:13" x14ac:dyDescent="0.2">
      <c r="A609" t="s">
        <v>22</v>
      </c>
      <c r="G609" t="s">
        <v>7</v>
      </c>
      <c r="I609" t="s">
        <v>23</v>
      </c>
      <c r="M609" t="s">
        <v>8</v>
      </c>
    </row>
    <row r="610" spans="1:13" x14ac:dyDescent="0.2">
      <c r="A610">
        <v>0</v>
      </c>
      <c r="E610">
        <v>50000</v>
      </c>
      <c r="F610">
        <f>IF(AND(F581&gt;A610, F581&lt;=E610),F581,0)</f>
        <v>0</v>
      </c>
      <c r="G610">
        <f>0+(35/100)*(-A610+F610)</f>
        <v>0</v>
      </c>
      <c r="I610">
        <v>0</v>
      </c>
      <c r="J610">
        <v>50000</v>
      </c>
      <c r="K610">
        <f>IF(AND(F581&gt;I610, F581&lt;=J610),F581,0)</f>
        <v>0</v>
      </c>
      <c r="M610">
        <f>0+(40/100)*(-I610+K610)</f>
        <v>0</v>
      </c>
    </row>
    <row r="611" spans="1:13" x14ac:dyDescent="0.2">
      <c r="A611">
        <f>E610</f>
        <v>50000</v>
      </c>
      <c r="E611">
        <v>100000</v>
      </c>
      <c r="F611">
        <f>IF(AND(F581&gt;A611, F581&lt;=E611),F581,0)</f>
        <v>0</v>
      </c>
      <c r="G611">
        <f>(50000/100*35)+((50/100)*(-A611+F611))</f>
        <v>-7500</v>
      </c>
      <c r="I611">
        <f>J610</f>
        <v>50000</v>
      </c>
      <c r="J611">
        <v>75000</v>
      </c>
      <c r="K611">
        <f>IF(AND(F581&gt;I611, F581&lt;=J611),F581,0)</f>
        <v>0</v>
      </c>
      <c r="M611">
        <f>(50000/100*40)+((55/100)*(-I611+K611))</f>
        <v>-7500.0000000000036</v>
      </c>
    </row>
    <row r="612" spans="1:13" x14ac:dyDescent="0.2">
      <c r="A612">
        <f>E611</f>
        <v>100000</v>
      </c>
      <c r="E612">
        <v>175000</v>
      </c>
      <c r="F612">
        <f>IF(AND(F581&gt;A612, F581&lt;=E612),F581,0)</f>
        <v>0</v>
      </c>
      <c r="G612">
        <f>(50000/100*35)+(50000/100*50)+((60/100)*(-A612+F612))</f>
        <v>-17500</v>
      </c>
      <c r="I612">
        <f>J611</f>
        <v>75000</v>
      </c>
      <c r="J612">
        <v>175000</v>
      </c>
      <c r="K612">
        <f>IF(AND(F581&gt;I612, F581&lt;=J612),F581,0)</f>
        <v>0</v>
      </c>
      <c r="M612">
        <f>(50000/100*40)+(25000/100*55)+((65/100)*(-I612+K612))</f>
        <v>-15000</v>
      </c>
    </row>
    <row r="613" spans="1:13" x14ac:dyDescent="0.2">
      <c r="A613">
        <f>E612</f>
        <v>175000</v>
      </c>
      <c r="E613">
        <v>999999999</v>
      </c>
      <c r="F613">
        <f>IF(AND(F581&gt;A613, F581&lt;=E613),F581,0)</f>
        <v>0</v>
      </c>
      <c r="G613">
        <f>(50000/100*35)+(50000/100*50)+(75000/100*60)+((70/100)*(-A613+F613))</f>
        <v>-34999.999999999985</v>
      </c>
      <c r="I613">
        <f>J612</f>
        <v>175000</v>
      </c>
      <c r="J613">
        <v>999999999</v>
      </c>
      <c r="K613">
        <f>IF(AND(F581&gt;I613, F581&lt;=J613),F581,0)</f>
        <v>0</v>
      </c>
      <c r="M613">
        <f>(50000/100*40)+(25000/100*55)+(100000/100*65)+((80/100)*(-I613+K613))</f>
        <v>-41250</v>
      </c>
    </row>
    <row r="617" spans="1:13" x14ac:dyDescent="0.2">
      <c r="A617" t="s">
        <v>4</v>
      </c>
      <c r="G617">
        <f>VLOOKUP(F581,F610:G613,2,FALSE)</f>
        <v>0</v>
      </c>
      <c r="I617" t="s">
        <v>4</v>
      </c>
      <c r="M617">
        <f>VLOOKUP(F581,K610:M613,3,FALSE)</f>
        <v>0</v>
      </c>
    </row>
    <row r="622" spans="1:13" x14ac:dyDescent="0.2">
      <c r="E622" t="s">
        <v>93</v>
      </c>
      <c r="F622" t="s">
        <v>100</v>
      </c>
    </row>
    <row r="624" spans="1:13" x14ac:dyDescent="0.2">
      <c r="E624" t="s">
        <v>93</v>
      </c>
      <c r="F624">
        <f>IF(DONBIW!J42=3,M589*12%,0)</f>
        <v>0</v>
      </c>
      <c r="G624">
        <f>IF(F624&gt;372,372,F624)</f>
        <v>0</v>
      </c>
      <c r="I624" t="s">
        <v>26</v>
      </c>
      <c r="J624">
        <f>M589*6%</f>
        <v>0</v>
      </c>
      <c r="K624">
        <f>IF(J624&gt;186,186,J624)</f>
        <v>0</v>
      </c>
      <c r="L624">
        <f>IF(DONBIW!J42=3,K624,0)</f>
        <v>0</v>
      </c>
    </row>
    <row r="625" spans="5:12" x14ac:dyDescent="0.2">
      <c r="F625">
        <f>IF(DONBIW!J42=4,M589*16%,0)</f>
        <v>0</v>
      </c>
      <c r="G625">
        <f>IF(F625&gt;496,496,F625)</f>
        <v>0</v>
      </c>
      <c r="I625" t="s">
        <v>27</v>
      </c>
      <c r="J625">
        <f>M589*8%</f>
        <v>0</v>
      </c>
      <c r="K625">
        <f>IF(J625&gt;248,248,J625)</f>
        <v>0</v>
      </c>
      <c r="L625">
        <f>IF(DONBIW!J42=4,K625,0)</f>
        <v>0</v>
      </c>
    </row>
    <row r="626" spans="5:12" x14ac:dyDescent="0.2">
      <c r="F626">
        <f>IF(DONBIW!J42=5,M589*20%,0)</f>
        <v>0</v>
      </c>
      <c r="G626">
        <f>IF(F626&gt;620,620,F626)</f>
        <v>0</v>
      </c>
      <c r="J626">
        <f>M589*10%</f>
        <v>0</v>
      </c>
      <c r="K626">
        <f>IF(J626&gt;310,310,J626)</f>
        <v>0</v>
      </c>
      <c r="L626">
        <f>IF(DONBIW!J42=5,K626,0)</f>
        <v>0</v>
      </c>
    </row>
    <row r="627" spans="5:12" x14ac:dyDescent="0.2">
      <c r="F627">
        <f>IF(DONBIW!J42=6,M589*24%,0)</f>
        <v>0</v>
      </c>
      <c r="G627">
        <f>IF(F627&gt;744,744,F627)</f>
        <v>0</v>
      </c>
      <c r="J627">
        <f>M589*12%</f>
        <v>0</v>
      </c>
      <c r="K627">
        <f>IF(J627&gt;372,372,J627)</f>
        <v>0</v>
      </c>
      <c r="L627">
        <f>IF(DONBIW!J42=6,K627,0)</f>
        <v>0</v>
      </c>
    </row>
    <row r="628" spans="5:12" x14ac:dyDescent="0.2">
      <c r="F628">
        <f>IF(DONBIW!J42=7,M589*28%,0)</f>
        <v>0</v>
      </c>
      <c r="G628">
        <f>IF(F628&gt;868,868,F628)</f>
        <v>0</v>
      </c>
      <c r="J628">
        <f>M589*14%</f>
        <v>0</v>
      </c>
      <c r="K628">
        <f>IF(J628&gt;434,434,J628)</f>
        <v>0</v>
      </c>
      <c r="L628">
        <f>IF(DONBIW!J42=7,K628,0)</f>
        <v>0</v>
      </c>
    </row>
    <row r="629" spans="5:12" x14ac:dyDescent="0.2">
      <c r="F629">
        <f>IF(DONBIW!J42=8,M589*32%,0)</f>
        <v>0</v>
      </c>
      <c r="G629">
        <f>IF(F629&gt;992,992,F629)</f>
        <v>0</v>
      </c>
      <c r="J629">
        <f>M589*16%</f>
        <v>0</v>
      </c>
      <c r="K629">
        <f>IF(J629&gt;496,496,J629)</f>
        <v>0</v>
      </c>
      <c r="L629">
        <f>IF(DONBIW!J42=8,K629,0)</f>
        <v>0</v>
      </c>
    </row>
    <row r="630" spans="5:12" x14ac:dyDescent="0.2">
      <c r="F630">
        <f>IF(DONBIW!J42=9,M589*36%,0)</f>
        <v>0</v>
      </c>
      <c r="G630">
        <f>IF(F630&gt;1116,1116,F630)</f>
        <v>0</v>
      </c>
      <c r="J630">
        <f>M589*18%</f>
        <v>0</v>
      </c>
      <c r="K630">
        <f>IF(J630&gt;558,558,J630)</f>
        <v>0</v>
      </c>
      <c r="L630">
        <f>IF(DONBIW!J42=9,K630,0)</f>
        <v>0</v>
      </c>
    </row>
    <row r="631" spans="5:12" x14ac:dyDescent="0.2">
      <c r="F631">
        <f>IF(DONBIW!J42=10,M589*40%,0)</f>
        <v>0</v>
      </c>
      <c r="G631">
        <f>IF(F631&gt;1240,1240,F631)</f>
        <v>0</v>
      </c>
      <c r="J631">
        <f>M589*20%</f>
        <v>0</v>
      </c>
      <c r="K631">
        <f>IF(J631&gt;620,620,J631)</f>
        <v>0</v>
      </c>
      <c r="L631">
        <f>IF(DONBIW!J42=10,K631,0)</f>
        <v>0</v>
      </c>
    </row>
    <row r="633" spans="5:12" x14ac:dyDescent="0.2">
      <c r="G633">
        <f>SUM(G624:G632)</f>
        <v>0</v>
      </c>
      <c r="L633">
        <f>SUM(L624:L632)</f>
        <v>0</v>
      </c>
    </row>
    <row r="637" spans="5:12" x14ac:dyDescent="0.2">
      <c r="E637" t="s">
        <v>33</v>
      </c>
      <c r="F637">
        <f>M589-G633</f>
        <v>0</v>
      </c>
      <c r="H637" t="s">
        <v>34</v>
      </c>
      <c r="I637">
        <f>M589-L633</f>
        <v>0</v>
      </c>
    </row>
    <row r="684" spans="1:13" x14ac:dyDescent="0.2">
      <c r="A684" t="s">
        <v>39</v>
      </c>
      <c r="F684">
        <f>DONBIW!G49</f>
        <v>0</v>
      </c>
      <c r="M684">
        <f>IF(AND(DONBIW!I47="oui",DONBIW!F47="ligne directe"),H696,0)</f>
        <v>0</v>
      </c>
    </row>
    <row r="685" spans="1:13" x14ac:dyDescent="0.2">
      <c r="M685">
        <f>IF(AND(DONBIW!I47="oui",DONBIW!F47="épou(x)(se)"),H696,0)</f>
        <v>0</v>
      </c>
    </row>
    <row r="686" spans="1:13" x14ac:dyDescent="0.2">
      <c r="A686" t="s">
        <v>2</v>
      </c>
      <c r="G686" t="s">
        <v>3</v>
      </c>
      <c r="H686" t="s">
        <v>40</v>
      </c>
      <c r="M686">
        <f>IF(AND(DONBIW!I47="non",DONBIW!F47="ligne directe"),G696,0)</f>
        <v>0</v>
      </c>
    </row>
    <row r="687" spans="1:13" x14ac:dyDescent="0.2">
      <c r="A687">
        <v>0</v>
      </c>
      <c r="E687">
        <v>50000</v>
      </c>
      <c r="F687">
        <f>IF(AND(F684&gt;A687, F684&lt;=E687),F684,0)</f>
        <v>0</v>
      </c>
      <c r="G687">
        <f>0+(3/100)*(-A687+F687)</f>
        <v>0</v>
      </c>
      <c r="H687">
        <f>0+(2/100)*(-A687+F687)</f>
        <v>0</v>
      </c>
      <c r="M687">
        <f>IF(AND(DONBIW!I47="non",DONBIW!F47="épou(x)(se)"),G696,0)</f>
        <v>0</v>
      </c>
    </row>
    <row r="688" spans="1:13" x14ac:dyDescent="0.2">
      <c r="A688">
        <f>E687</f>
        <v>50000</v>
      </c>
      <c r="E688">
        <v>100000</v>
      </c>
      <c r="F688">
        <f>IF(AND(F684&gt;A688, F684&lt;=E688),F684,0)</f>
        <v>0</v>
      </c>
      <c r="G688">
        <f>(50000/100*3)+(8/100)*(-A688+F688)</f>
        <v>-2500</v>
      </c>
      <c r="H688">
        <f>(50000/100*2)+(5.3/100)*(-A688+F688)</f>
        <v>-1650</v>
      </c>
      <c r="M688">
        <f>IF(DONBIW!F47="frère/soeur",G707,0)</f>
        <v>0</v>
      </c>
    </row>
    <row r="689" spans="1:13" x14ac:dyDescent="0.2">
      <c r="A689">
        <f>E688</f>
        <v>100000</v>
      </c>
      <c r="E689">
        <v>175000</v>
      </c>
      <c r="F689">
        <f>IF(AND(F684&gt;A689, F684&lt;=E689),F684,0)</f>
        <v>0</v>
      </c>
      <c r="G689">
        <f>(50000/100*3)+(50000/100*8)+((9/100)*(-A689+F689))</f>
        <v>-3500</v>
      </c>
      <c r="H689">
        <f>(50000/100*2)+(50000/100*5.3)+((6/100)*(-A689+F689))</f>
        <v>-2350</v>
      </c>
      <c r="M689">
        <f>IF(DONBIW!F47="oncle-tante/neveu-nièce",G720,0)</f>
        <v>0</v>
      </c>
    </row>
    <row r="690" spans="1:13" x14ac:dyDescent="0.2">
      <c r="A690">
        <f>E689</f>
        <v>175000</v>
      </c>
      <c r="E690">
        <v>250000</v>
      </c>
      <c r="F690">
        <f>IF(AND(F684&gt;A690, F684&lt;=E690),F684,0)</f>
        <v>0</v>
      </c>
      <c r="G690">
        <f>(50000/100*3)+(50000/100*8)+(75000/100*9)+((18/100)*(-A690+F690))</f>
        <v>-19250</v>
      </c>
      <c r="H690">
        <f>(50000/100*2)+(50000/100*5.3)+(75000/100*6)+((12/100)*(-A690+F690))</f>
        <v>-12850</v>
      </c>
      <c r="M690">
        <f>IF(DONBIW!F47="étrangers",M720,0)</f>
        <v>0</v>
      </c>
    </row>
    <row r="691" spans="1:13" x14ac:dyDescent="0.2">
      <c r="A691">
        <f>E690</f>
        <v>250000</v>
      </c>
      <c r="E691">
        <v>500000</v>
      </c>
      <c r="F691">
        <f>IF(AND(F684&gt;A691, F684&lt;=E691),F684,0)</f>
        <v>0</v>
      </c>
      <c r="G691">
        <f>(50000/100*3)+(50000/100*8)+(75000/100*9)+(75000/100*18)+((24/100)*(-A691+F691))</f>
        <v>-34250</v>
      </c>
      <c r="H691">
        <f>(50000/100*2)+(50000/100*5.3)+(75000/100*6)+(75000/100*12)+((24/100)*(-A691+F691))</f>
        <v>-42850</v>
      </c>
    </row>
    <row r="692" spans="1:13" x14ac:dyDescent="0.2">
      <c r="A692">
        <f>E691</f>
        <v>500000</v>
      </c>
      <c r="E692">
        <v>999999999</v>
      </c>
      <c r="F692">
        <f>IF(AND(F684&gt;A692, F684&lt;=E692),F684,0)</f>
        <v>0</v>
      </c>
      <c r="G692">
        <f>(50000/100*3)+(50000/100*8)+(75000/100*9)+(75000/100*18)+(250000/100*24)+((30/100)*(-A692+F692))</f>
        <v>-64250</v>
      </c>
      <c r="H692">
        <f>(50000/100*2)+(50000/100*5.3)+(75000/100*6)+(75000/100*12)+(250000/100*24)+((30/100)*(-A692+F692))</f>
        <v>-72850</v>
      </c>
      <c r="M692">
        <f>SUM(M684:M691)</f>
        <v>0</v>
      </c>
    </row>
    <row r="696" spans="1:13" x14ac:dyDescent="0.2">
      <c r="A696" t="s">
        <v>4</v>
      </c>
      <c r="G696">
        <f>VLOOKUP(F684,F687:G692,2,FALSE)</f>
        <v>0</v>
      </c>
      <c r="H696">
        <f>VLOOKUP(F684,F687:H692,3,FALSE)</f>
        <v>0</v>
      </c>
    </row>
    <row r="699" spans="1:13" x14ac:dyDescent="0.2">
      <c r="A699" t="s">
        <v>5</v>
      </c>
      <c r="G699" t="s">
        <v>6</v>
      </c>
    </row>
    <row r="700" spans="1:13" x14ac:dyDescent="0.2">
      <c r="A700">
        <v>0</v>
      </c>
      <c r="E700">
        <v>12500</v>
      </c>
      <c r="F700">
        <f>IF(AND(F684&gt;A700, F684&lt;=E700),F684,0)</f>
        <v>0</v>
      </c>
      <c r="G700">
        <f>0+(20/100)*(-A700+F700)</f>
        <v>0</v>
      </c>
    </row>
    <row r="701" spans="1:13" x14ac:dyDescent="0.2">
      <c r="A701">
        <f>E700</f>
        <v>12500</v>
      </c>
      <c r="E701">
        <v>25000</v>
      </c>
      <c r="F701">
        <f>IF(AND(F684&gt;A701, F684&lt;=E701),F684,0)</f>
        <v>0</v>
      </c>
      <c r="G701">
        <f>(12500/100*20)+((25/100)*(-A701+F701))</f>
        <v>-625</v>
      </c>
    </row>
    <row r="702" spans="1:13" x14ac:dyDescent="0.2">
      <c r="A702">
        <f>E701</f>
        <v>25000</v>
      </c>
      <c r="E702">
        <v>50000</v>
      </c>
      <c r="F702">
        <f>IF(AND(F684&gt;A702, F684&lt;=E702),F684,0)</f>
        <v>0</v>
      </c>
      <c r="G702">
        <f>(12500/100*20)+(12500/100*25)+((30/100)*(-A702+F702))</f>
        <v>-1875</v>
      </c>
    </row>
    <row r="703" spans="1:13" x14ac:dyDescent="0.2">
      <c r="A703">
        <f>E702</f>
        <v>50000</v>
      </c>
      <c r="E703">
        <v>100000</v>
      </c>
      <c r="F703">
        <f>IF(AND(F684&gt;A703, F684&lt;=E703),F684,0)</f>
        <v>0</v>
      </c>
      <c r="G703">
        <f>(12500/100*20)+(12500/100*25)+(25000/100*30)+((40/100)*(-A703+F703))</f>
        <v>-6875</v>
      </c>
    </row>
    <row r="704" spans="1:13" x14ac:dyDescent="0.2">
      <c r="A704">
        <f>E703</f>
        <v>100000</v>
      </c>
      <c r="E704">
        <v>175000</v>
      </c>
      <c r="F704">
        <f>IF(AND(F684&gt;A704, F684&lt;=E704),F684,0)</f>
        <v>0</v>
      </c>
      <c r="G704">
        <f>(12500/100*20)+(12500/100*25)+(25000/100*30)+(50000/100*40)+((55/100)*(-A704+F704))</f>
        <v>-21875.000000000007</v>
      </c>
    </row>
    <row r="705" spans="1:13" x14ac:dyDescent="0.2">
      <c r="A705">
        <v>175000</v>
      </c>
      <c r="E705">
        <v>250000</v>
      </c>
      <c r="F705">
        <f>IF(AND(F684&gt;A705, F684&lt;=E705),F684,0)</f>
        <v>0</v>
      </c>
      <c r="G705">
        <f>(12500/100*20)+(12500/100*25)+(25000/100*30)+(50000/100*40)+(75000/100*55)+((60/100)*(-A705+F705))</f>
        <v>-30625</v>
      </c>
    </row>
    <row r="706" spans="1:13" x14ac:dyDescent="0.2">
      <c r="A706">
        <f>E705</f>
        <v>250000</v>
      </c>
      <c r="E706">
        <v>999999999</v>
      </c>
      <c r="F706">
        <f>IF(AND(F684&gt;A706, F684&lt;=E706),F684,0)</f>
        <v>0</v>
      </c>
      <c r="G706">
        <f>(12500/100*20)+(12500/100*25)+(25000/100*30)+(50000/100*40)+(75000/100*55)+(75000/100*60)+((65/100)*(-A706+F706))</f>
        <v>-43125</v>
      </c>
    </row>
    <row r="707" spans="1:13" x14ac:dyDescent="0.2">
      <c r="A707" t="s">
        <v>4</v>
      </c>
      <c r="G707">
        <f>VLOOKUP(F684,F700:G706,2,FALSE)</f>
        <v>0</v>
      </c>
    </row>
    <row r="712" spans="1:13" x14ac:dyDescent="0.2">
      <c r="A712" t="s">
        <v>22</v>
      </c>
      <c r="G712" t="s">
        <v>7</v>
      </c>
      <c r="I712" t="s">
        <v>23</v>
      </c>
      <c r="M712" t="s">
        <v>8</v>
      </c>
    </row>
    <row r="713" spans="1:13" x14ac:dyDescent="0.2">
      <c r="A713">
        <v>0</v>
      </c>
      <c r="E713">
        <v>50000</v>
      </c>
      <c r="F713">
        <f>IF(AND(F684&gt;A713, F684&lt;=E713),F684,0)</f>
        <v>0</v>
      </c>
      <c r="G713">
        <f>0+(35/100)*(-A713+F713)</f>
        <v>0</v>
      </c>
      <c r="I713">
        <v>0</v>
      </c>
      <c r="J713">
        <v>50000</v>
      </c>
      <c r="K713">
        <f>IF(AND(F684&gt;I713, F684&lt;=J713),F684,0)</f>
        <v>0</v>
      </c>
      <c r="M713">
        <f>0+(40/100)*(-I713+K713)</f>
        <v>0</v>
      </c>
    </row>
    <row r="714" spans="1:13" x14ac:dyDescent="0.2">
      <c r="A714">
        <f>E713</f>
        <v>50000</v>
      </c>
      <c r="E714">
        <v>100000</v>
      </c>
      <c r="F714">
        <f>IF(AND(F684&gt;A714, F684&lt;=E714),F684,0)</f>
        <v>0</v>
      </c>
      <c r="G714">
        <f>(50000/100*35)+((50/100)*(-A714+F714))</f>
        <v>-7500</v>
      </c>
      <c r="I714">
        <f>J713</f>
        <v>50000</v>
      </c>
      <c r="J714">
        <v>75000</v>
      </c>
      <c r="K714">
        <f>IF(AND(F684&gt;I714, F684&lt;=J714),F684,0)</f>
        <v>0</v>
      </c>
      <c r="M714">
        <f>(50000/100*40)+((55/100)*(-I714+K714))</f>
        <v>-7500.0000000000036</v>
      </c>
    </row>
    <row r="715" spans="1:13" x14ac:dyDescent="0.2">
      <c r="A715">
        <f>E714</f>
        <v>100000</v>
      </c>
      <c r="E715">
        <v>175000</v>
      </c>
      <c r="F715">
        <f>IF(AND(F684&gt;A715, F684&lt;=E715),F684,0)</f>
        <v>0</v>
      </c>
      <c r="G715">
        <f>(50000/100*35)+(50000/100*50)+((60/100)*(-A715+F715))</f>
        <v>-17500</v>
      </c>
      <c r="I715">
        <f>J714</f>
        <v>75000</v>
      </c>
      <c r="J715">
        <v>175000</v>
      </c>
      <c r="K715">
        <f>IF(AND(F684&gt;I715, F684&lt;=J715),F684,0)</f>
        <v>0</v>
      </c>
      <c r="M715">
        <f>(50000/100*40)+(25000/100*55)+((65/100)*(-I715+K715))</f>
        <v>-15000</v>
      </c>
    </row>
    <row r="716" spans="1:13" x14ac:dyDescent="0.2">
      <c r="A716">
        <f>E715</f>
        <v>175000</v>
      </c>
      <c r="E716">
        <v>999999999</v>
      </c>
      <c r="F716">
        <f>IF(AND(F684&gt;A716, F684&lt;=E716),F684,0)</f>
        <v>0</v>
      </c>
      <c r="G716">
        <f>(50000/100*35)+(50000/100*50)+(75000/100*60)+((70/100)*(-A716+F716))</f>
        <v>-34999.999999999985</v>
      </c>
      <c r="I716">
        <f>J715</f>
        <v>175000</v>
      </c>
      <c r="J716">
        <v>999999999</v>
      </c>
      <c r="K716">
        <f>IF(AND(F684&gt;I716, F684&lt;=J716),F684,0)</f>
        <v>0</v>
      </c>
      <c r="M716">
        <f>(50000/100*40)+(25000/100*55)+(100000/100*65)+((80/100)*(-I716+K716))</f>
        <v>-41250</v>
      </c>
    </row>
    <row r="720" spans="1:13" x14ac:dyDescent="0.2">
      <c r="A720" t="s">
        <v>4</v>
      </c>
      <c r="G720">
        <f>VLOOKUP(F684,F713:G716,2,FALSE)</f>
        <v>0</v>
      </c>
      <c r="I720" t="s">
        <v>4</v>
      </c>
      <c r="M720">
        <f>VLOOKUP(F684,K713:M716,3,FALSE)</f>
        <v>0</v>
      </c>
    </row>
    <row r="725" spans="5:12" x14ac:dyDescent="0.2">
      <c r="E725" t="s">
        <v>93</v>
      </c>
      <c r="F725" t="s">
        <v>100</v>
      </c>
    </row>
    <row r="727" spans="5:12" x14ac:dyDescent="0.2">
      <c r="E727" t="s">
        <v>93</v>
      </c>
      <c r="F727">
        <f>IF(DONBIW!J47=3,M692*12%,0)</f>
        <v>0</v>
      </c>
      <c r="G727">
        <f>IF(F727&gt;372,372,F727)</f>
        <v>0</v>
      </c>
      <c r="I727" t="s">
        <v>26</v>
      </c>
      <c r="J727">
        <f>M692*6%</f>
        <v>0</v>
      </c>
      <c r="K727">
        <f>IF(J727&gt;186,186,J727)</f>
        <v>0</v>
      </c>
      <c r="L727">
        <f>IF(DONBIW!J47=3,K727,0)</f>
        <v>0</v>
      </c>
    </row>
    <row r="728" spans="5:12" x14ac:dyDescent="0.2">
      <c r="F728">
        <f>IF(DONBIW!J47=4,M692*16%,0)</f>
        <v>0</v>
      </c>
      <c r="G728">
        <f>IF(F728&gt;496,496,F728)</f>
        <v>0</v>
      </c>
      <c r="I728" t="s">
        <v>27</v>
      </c>
      <c r="J728">
        <f>M692*8%</f>
        <v>0</v>
      </c>
      <c r="K728">
        <f>IF(J728&gt;248,248,J728)</f>
        <v>0</v>
      </c>
      <c r="L728">
        <f>IF(DONBIW!J47=4,K728,0)</f>
        <v>0</v>
      </c>
    </row>
    <row r="729" spans="5:12" x14ac:dyDescent="0.2">
      <c r="F729">
        <f>IF(DONBIW!J47=5,M692*20%,0)</f>
        <v>0</v>
      </c>
      <c r="G729">
        <f>IF(F729&gt;620,620,F729)</f>
        <v>0</v>
      </c>
      <c r="J729">
        <f>M692*10%</f>
        <v>0</v>
      </c>
      <c r="K729">
        <f>IF(J729&gt;310,310,J729)</f>
        <v>0</v>
      </c>
      <c r="L729">
        <f>IF(DONBIW!J47=5,K729,0)</f>
        <v>0</v>
      </c>
    </row>
    <row r="730" spans="5:12" x14ac:dyDescent="0.2">
      <c r="F730">
        <f>IF(DONBIW!J47=6,M692*24%,0)</f>
        <v>0</v>
      </c>
      <c r="G730">
        <f>IF(F730&gt;744,744,F730)</f>
        <v>0</v>
      </c>
      <c r="J730">
        <f>M692*12%</f>
        <v>0</v>
      </c>
      <c r="K730">
        <f>IF(J730&gt;372,372,J730)</f>
        <v>0</v>
      </c>
      <c r="L730">
        <f>IF(DONBIW!J47=6,K730,0)</f>
        <v>0</v>
      </c>
    </row>
    <row r="731" spans="5:12" x14ac:dyDescent="0.2">
      <c r="F731">
        <f>IF(DONBIW!J47=7,M692*28%,0)</f>
        <v>0</v>
      </c>
      <c r="G731">
        <f>IF(F731&gt;868,868,F731)</f>
        <v>0</v>
      </c>
      <c r="J731">
        <f>M692*14%</f>
        <v>0</v>
      </c>
      <c r="K731">
        <f>IF(J731&gt;434,434,J731)</f>
        <v>0</v>
      </c>
      <c r="L731">
        <f>IF(DONBIW!J47=7,K731,0)</f>
        <v>0</v>
      </c>
    </row>
    <row r="732" spans="5:12" x14ac:dyDescent="0.2">
      <c r="F732">
        <f>IF(DONBIW!J47=8,M692*32%,0)</f>
        <v>0</v>
      </c>
      <c r="G732">
        <f>IF(F732&gt;992,992,F732)</f>
        <v>0</v>
      </c>
      <c r="J732">
        <f>M692*16%</f>
        <v>0</v>
      </c>
      <c r="K732">
        <f>IF(J732&gt;496,496,J732)</f>
        <v>0</v>
      </c>
      <c r="L732">
        <f>IF(DONBIW!J47=8,K732,0)</f>
        <v>0</v>
      </c>
    </row>
    <row r="733" spans="5:12" x14ac:dyDescent="0.2">
      <c r="F733">
        <f>IF(DONBIW!J47=9,M692*36%,0)</f>
        <v>0</v>
      </c>
      <c r="G733">
        <f>IF(F733&gt;1116,1116,F733)</f>
        <v>0</v>
      </c>
      <c r="J733">
        <f>M692*18%</f>
        <v>0</v>
      </c>
      <c r="K733">
        <f>IF(J733&gt;558,558,J733)</f>
        <v>0</v>
      </c>
      <c r="L733">
        <f>IF(DONBIW!J47=9,K733,0)</f>
        <v>0</v>
      </c>
    </row>
    <row r="734" spans="5:12" x14ac:dyDescent="0.2">
      <c r="F734">
        <f>IF(DONBIW!J47=10,M692*40%,0)</f>
        <v>0</v>
      </c>
      <c r="G734">
        <f>IF(F734&gt;1240,1240,F734)</f>
        <v>0</v>
      </c>
      <c r="J734">
        <f>M692*20%</f>
        <v>0</v>
      </c>
      <c r="K734">
        <f>IF(J734&gt;620,620,J734)</f>
        <v>0</v>
      </c>
      <c r="L734">
        <f>IF(DONBIW!J47=10,K734,0)</f>
        <v>0</v>
      </c>
    </row>
    <row r="736" spans="5:12" x14ac:dyDescent="0.2">
      <c r="G736">
        <f>SUM(G727:G735)</f>
        <v>0</v>
      </c>
      <c r="L736">
        <f>SUM(L727:L735)</f>
        <v>0</v>
      </c>
    </row>
    <row r="740" spans="5:9" x14ac:dyDescent="0.2">
      <c r="E740" t="s">
        <v>33</v>
      </c>
      <c r="F740">
        <f>M692-G736</f>
        <v>0</v>
      </c>
      <c r="H740" t="s">
        <v>34</v>
      </c>
      <c r="I740">
        <f>M692-L736</f>
        <v>0</v>
      </c>
    </row>
    <row r="787" spans="1:13" x14ac:dyDescent="0.2">
      <c r="A787" t="s">
        <v>39</v>
      </c>
      <c r="F787">
        <f>DONBIW!G54</f>
        <v>0</v>
      </c>
      <c r="M787">
        <f>IF(AND(DONBIW!I52="oui",DONBIW!F52="ligne directe"),H799,0)</f>
        <v>0</v>
      </c>
    </row>
    <row r="788" spans="1:13" x14ac:dyDescent="0.2">
      <c r="M788">
        <f>IF(AND(DONBIW!I52="oui",DONBIW!F52="épou(x)(se)"),H799,0)</f>
        <v>0</v>
      </c>
    </row>
    <row r="789" spans="1:13" x14ac:dyDescent="0.2">
      <c r="A789" t="s">
        <v>2</v>
      </c>
      <c r="G789" t="s">
        <v>3</v>
      </c>
      <c r="H789" t="s">
        <v>40</v>
      </c>
      <c r="M789">
        <f>IF(AND(DONBIW!I52="non",DONBIW!F52="ligne directe"),G799,0)</f>
        <v>0</v>
      </c>
    </row>
    <row r="790" spans="1:13" x14ac:dyDescent="0.2">
      <c r="A790">
        <v>0</v>
      </c>
      <c r="E790">
        <v>50000</v>
      </c>
      <c r="F790">
        <f>IF(AND(F787&gt;A790, F787&lt;=E790),F787,0)</f>
        <v>0</v>
      </c>
      <c r="G790">
        <f>0+(3/100)*(-A790+F790)</f>
        <v>0</v>
      </c>
      <c r="H790">
        <f>0+(2/100)*(-A790+F790)</f>
        <v>0</v>
      </c>
      <c r="M790">
        <f>IF(AND(DONBIW!I52="non",DONBIW!F52="épou(x)(se)"),G799,0)</f>
        <v>0</v>
      </c>
    </row>
    <row r="791" spans="1:13" x14ac:dyDescent="0.2">
      <c r="A791">
        <f>E790</f>
        <v>50000</v>
      </c>
      <c r="E791">
        <v>100000</v>
      </c>
      <c r="F791">
        <f>IF(AND(F787&gt;A791, F787&lt;=E791),F787,0)</f>
        <v>0</v>
      </c>
      <c r="G791">
        <f>(50000/100*3)+(8/100)*(-A791+F791)</f>
        <v>-2500</v>
      </c>
      <c r="H791">
        <f>(50000/100*2)+(5.3/100)*(-A791+F791)</f>
        <v>-1650</v>
      </c>
      <c r="M791">
        <f>IF(DONBIW!F52="frère/soeur",G810,0)</f>
        <v>0</v>
      </c>
    </row>
    <row r="792" spans="1:13" x14ac:dyDescent="0.2">
      <c r="A792">
        <f>E791</f>
        <v>100000</v>
      </c>
      <c r="E792">
        <v>175000</v>
      </c>
      <c r="F792">
        <f>IF(AND(F787&gt;A792, F787&lt;=E792),F787,0)</f>
        <v>0</v>
      </c>
      <c r="G792">
        <f>(50000/100*3)+(50000/100*8)+((9/100)*(-A792+F792))</f>
        <v>-3500</v>
      </c>
      <c r="H792">
        <f>(50000/100*2)+(50000/100*5.3)+((6/100)*(-A792+F792))</f>
        <v>-2350</v>
      </c>
      <c r="M792">
        <f>IF(DONBIW!F52="oncle-tante/neveu-nièce",G823,0)</f>
        <v>0</v>
      </c>
    </row>
    <row r="793" spans="1:13" x14ac:dyDescent="0.2">
      <c r="A793">
        <f>E792</f>
        <v>175000</v>
      </c>
      <c r="E793">
        <v>250000</v>
      </c>
      <c r="F793">
        <f>IF(AND(F787&gt;A793, F787&lt;=E793),F787,0)</f>
        <v>0</v>
      </c>
      <c r="G793">
        <f>(50000/100*3)+(50000/100*8)+(75000/100*9)+((18/100)*(-A793+F793))</f>
        <v>-19250</v>
      </c>
      <c r="H793">
        <f>(50000/100*2)+(50000/100*5.3)+(75000/100*6)+((12/100)*(-A793+F793))</f>
        <v>-12850</v>
      </c>
      <c r="M793">
        <f>IF(DONBIW!F52="étrangers",M823,0)</f>
        <v>0</v>
      </c>
    </row>
    <row r="794" spans="1:13" x14ac:dyDescent="0.2">
      <c r="A794">
        <f>E793</f>
        <v>250000</v>
      </c>
      <c r="E794">
        <v>500000</v>
      </c>
      <c r="F794">
        <f>IF(AND(F787&gt;A794, F787&lt;=E794),F787,0)</f>
        <v>0</v>
      </c>
      <c r="G794">
        <f>(50000/100*3)+(50000/100*8)+(75000/100*9)+(75000/100*18)+((24/100)*(-A794+F794))</f>
        <v>-34250</v>
      </c>
      <c r="H794">
        <f>(50000/100*2)+(50000/100*5.3)+(75000/100*6)+(75000/100*12)+((24/100)*(-A794+F794))</f>
        <v>-42850</v>
      </c>
    </row>
    <row r="795" spans="1:13" x14ac:dyDescent="0.2">
      <c r="A795">
        <f>E794</f>
        <v>500000</v>
      </c>
      <c r="E795">
        <v>999999999</v>
      </c>
      <c r="F795">
        <f>IF(AND(F787&gt;A795, F787&lt;=E795),F787,0)</f>
        <v>0</v>
      </c>
      <c r="G795">
        <f>(50000/100*3)+(50000/100*8)+(75000/100*9)+(75000/100*18)+(250000/100*24)+((30/100)*(-A795+F795))</f>
        <v>-64250</v>
      </c>
      <c r="H795">
        <f>(50000/100*2)+(50000/100*5.3)+(75000/100*6)+(75000/100*12)+(250000/100*24)+((30/100)*(-A795+F795))</f>
        <v>-72850</v>
      </c>
      <c r="M795">
        <f>SUM(M787:M794)</f>
        <v>0</v>
      </c>
    </row>
    <row r="799" spans="1:13" x14ac:dyDescent="0.2">
      <c r="A799" t="s">
        <v>4</v>
      </c>
      <c r="G799">
        <f>VLOOKUP(F787,F790:G795,2,FALSE)</f>
        <v>0</v>
      </c>
      <c r="H799">
        <f>VLOOKUP(F787,F790:H795,3,FALSE)</f>
        <v>0</v>
      </c>
    </row>
    <row r="802" spans="1:13" x14ac:dyDescent="0.2">
      <c r="A802" t="s">
        <v>5</v>
      </c>
      <c r="G802" t="s">
        <v>6</v>
      </c>
    </row>
    <row r="803" spans="1:13" x14ac:dyDescent="0.2">
      <c r="A803">
        <v>0</v>
      </c>
      <c r="E803">
        <v>12500</v>
      </c>
      <c r="F803">
        <f>IF(AND(F787&gt;A803, F787&lt;=E803),F787,0)</f>
        <v>0</v>
      </c>
      <c r="G803">
        <f>0+(20/100)*(-A803+F803)</f>
        <v>0</v>
      </c>
    </row>
    <row r="804" spans="1:13" x14ac:dyDescent="0.2">
      <c r="A804">
        <f>E803</f>
        <v>12500</v>
      </c>
      <c r="E804">
        <v>25000</v>
      </c>
      <c r="F804">
        <f>IF(AND(F787&gt;A804, F787&lt;=E804),F787,0)</f>
        <v>0</v>
      </c>
      <c r="G804">
        <f>(12500/100*20)+((25/100)*(-A804+F804))</f>
        <v>-625</v>
      </c>
    </row>
    <row r="805" spans="1:13" x14ac:dyDescent="0.2">
      <c r="A805">
        <f>E804</f>
        <v>25000</v>
      </c>
      <c r="E805">
        <v>50000</v>
      </c>
      <c r="F805">
        <f>IF(AND(F787&gt;A805, F787&lt;=E805),F787,0)</f>
        <v>0</v>
      </c>
      <c r="G805">
        <f>(12500/100*20)+(12500/100*25)+((30/100)*(-A805+F805))</f>
        <v>-1875</v>
      </c>
    </row>
    <row r="806" spans="1:13" x14ac:dyDescent="0.2">
      <c r="A806">
        <f>E805</f>
        <v>50000</v>
      </c>
      <c r="E806">
        <v>100000</v>
      </c>
      <c r="F806">
        <f>IF(AND(F787&gt;A806, F787&lt;=E806),F787,0)</f>
        <v>0</v>
      </c>
      <c r="G806">
        <f>(12500/100*20)+(12500/100*25)+(25000/100*30)+((40/100)*(-A806+F806))</f>
        <v>-6875</v>
      </c>
    </row>
    <row r="807" spans="1:13" x14ac:dyDescent="0.2">
      <c r="A807">
        <f>E806</f>
        <v>100000</v>
      </c>
      <c r="E807">
        <v>175000</v>
      </c>
      <c r="F807">
        <f>IF(AND(F787&gt;A807, F787&lt;=E807),F787,0)</f>
        <v>0</v>
      </c>
      <c r="G807">
        <f>(12500/100*20)+(12500/100*25)+(25000/100*30)+(50000/100*40)+((55/100)*(-A807+F807))</f>
        <v>-21875.000000000007</v>
      </c>
    </row>
    <row r="808" spans="1:13" x14ac:dyDescent="0.2">
      <c r="A808">
        <v>175000</v>
      </c>
      <c r="E808">
        <v>250000</v>
      </c>
      <c r="F808">
        <f>IF(AND(F787&gt;A808, F787&lt;=E808),F787,0)</f>
        <v>0</v>
      </c>
      <c r="G808">
        <f>(12500/100*20)+(12500/100*25)+(25000/100*30)+(50000/100*40)+(75000/100*55)+((60/100)*(-A808+F808))</f>
        <v>-30625</v>
      </c>
    </row>
    <row r="809" spans="1:13" x14ac:dyDescent="0.2">
      <c r="A809">
        <f>E808</f>
        <v>250000</v>
      </c>
      <c r="E809">
        <v>999999999</v>
      </c>
      <c r="F809">
        <f>IF(AND(F787&gt;A809, F787&lt;=E809),F787,0)</f>
        <v>0</v>
      </c>
      <c r="G809">
        <f>(12500/100*20)+(12500/100*25)+(25000/100*30)+(50000/100*40)+(75000/100*55)+(75000/100*60)+((65/100)*(-A809+F809))</f>
        <v>-43125</v>
      </c>
    </row>
    <row r="810" spans="1:13" x14ac:dyDescent="0.2">
      <c r="A810" t="s">
        <v>4</v>
      </c>
      <c r="G810">
        <f>VLOOKUP(F787,F803:G809,2,FALSE)</f>
        <v>0</v>
      </c>
    </row>
    <row r="815" spans="1:13" x14ac:dyDescent="0.2">
      <c r="A815" t="s">
        <v>22</v>
      </c>
      <c r="G815" t="s">
        <v>7</v>
      </c>
      <c r="I815" t="s">
        <v>23</v>
      </c>
      <c r="M815" t="s">
        <v>8</v>
      </c>
    </row>
    <row r="816" spans="1:13" x14ac:dyDescent="0.2">
      <c r="A816">
        <v>0</v>
      </c>
      <c r="E816">
        <v>50000</v>
      </c>
      <c r="F816">
        <f>IF(AND(F787&gt;A816, F787&lt;=E816),F787,0)</f>
        <v>0</v>
      </c>
      <c r="G816">
        <f>0+(35/100)*(-A816+F816)</f>
        <v>0</v>
      </c>
      <c r="I816">
        <v>0</v>
      </c>
      <c r="J816">
        <v>50000</v>
      </c>
      <c r="K816">
        <f>IF(AND(F787&gt;I816, F787&lt;=J816),F787,0)</f>
        <v>0</v>
      </c>
      <c r="M816">
        <f>0+(40/100)*(-I816+K816)</f>
        <v>0</v>
      </c>
    </row>
    <row r="817" spans="1:13" x14ac:dyDescent="0.2">
      <c r="A817">
        <f>E816</f>
        <v>50000</v>
      </c>
      <c r="E817">
        <v>100000</v>
      </c>
      <c r="F817">
        <f>IF(AND(F787&gt;A817, F787&lt;=E817),F787,0)</f>
        <v>0</v>
      </c>
      <c r="G817">
        <f>(50000/100*35)+((50/100)*(-A817+F817))</f>
        <v>-7500</v>
      </c>
      <c r="I817">
        <f>J816</f>
        <v>50000</v>
      </c>
      <c r="J817">
        <v>75000</v>
      </c>
      <c r="K817">
        <f>IF(AND(F787&gt;I817, F787&lt;=J817),F787,0)</f>
        <v>0</v>
      </c>
      <c r="M817">
        <f>(50000/100*40)+((55/100)*(-I817+K817))</f>
        <v>-7500.0000000000036</v>
      </c>
    </row>
    <row r="818" spans="1:13" x14ac:dyDescent="0.2">
      <c r="A818">
        <f>E817</f>
        <v>100000</v>
      </c>
      <c r="E818">
        <v>175000</v>
      </c>
      <c r="F818">
        <f>IF(AND(F787&gt;A818, F787&lt;=E818),F787,0)</f>
        <v>0</v>
      </c>
      <c r="G818">
        <f>(50000/100*35)+(50000/100*50)+((60/100)*(-A818+F818))</f>
        <v>-17500</v>
      </c>
      <c r="I818">
        <f>J817</f>
        <v>75000</v>
      </c>
      <c r="J818">
        <v>175000</v>
      </c>
      <c r="K818">
        <f>IF(AND(F787&gt;I818, F787&lt;=J818),F787,0)</f>
        <v>0</v>
      </c>
      <c r="M818">
        <f>(50000/100*40)+(25000/100*55)+((65/100)*(-I818+K818))</f>
        <v>-15000</v>
      </c>
    </row>
    <row r="819" spans="1:13" x14ac:dyDescent="0.2">
      <c r="A819">
        <f>E818</f>
        <v>175000</v>
      </c>
      <c r="E819">
        <v>999999999</v>
      </c>
      <c r="F819">
        <f>IF(AND(F787&gt;A819, F787&lt;=E819),F787,0)</f>
        <v>0</v>
      </c>
      <c r="G819">
        <f>(50000/100*35)+(50000/100*50)+(75000/100*60)+((70/100)*(-A819+F819))</f>
        <v>-34999.999999999985</v>
      </c>
      <c r="I819">
        <f>J818</f>
        <v>175000</v>
      </c>
      <c r="J819">
        <v>999999999</v>
      </c>
      <c r="K819">
        <f>IF(AND(F787&gt;I819, F787&lt;=J819),F787,0)</f>
        <v>0</v>
      </c>
      <c r="M819">
        <f>(50000/100*40)+(25000/100*55)+(100000/100*65)+((80/100)*(-I819+K819))</f>
        <v>-41250</v>
      </c>
    </row>
    <row r="823" spans="1:13" x14ac:dyDescent="0.2">
      <c r="A823" t="s">
        <v>4</v>
      </c>
      <c r="G823">
        <f>VLOOKUP(F787,F816:G819,2,FALSE)</f>
        <v>0</v>
      </c>
      <c r="I823" t="s">
        <v>4</v>
      </c>
      <c r="M823">
        <f>VLOOKUP(F787,K816:M819,3,FALSE)</f>
        <v>0</v>
      </c>
    </row>
    <row r="828" spans="1:13" x14ac:dyDescent="0.2">
      <c r="E828" t="s">
        <v>93</v>
      </c>
      <c r="F828" t="s">
        <v>100</v>
      </c>
    </row>
    <row r="830" spans="1:13" x14ac:dyDescent="0.2">
      <c r="E830" t="s">
        <v>93</v>
      </c>
      <c r="F830">
        <f>IF(DONBIW!J52=3,M795*12%,0)</f>
        <v>0</v>
      </c>
      <c r="G830">
        <f>IF(F830&gt;372,372,F830)</f>
        <v>0</v>
      </c>
      <c r="I830" t="s">
        <v>26</v>
      </c>
      <c r="J830">
        <f>M795*6%</f>
        <v>0</v>
      </c>
      <c r="K830">
        <f>IF(J830&gt;186,186,J830)</f>
        <v>0</v>
      </c>
      <c r="L830">
        <f>IF(DONBIW!J52=3,K830,0)</f>
        <v>0</v>
      </c>
    </row>
    <row r="831" spans="1:13" x14ac:dyDescent="0.2">
      <c r="F831">
        <f>IF(DONBIW!J52=4,M795*16%,0)</f>
        <v>0</v>
      </c>
      <c r="G831">
        <f>IF(F831&gt;496,496,F831)</f>
        <v>0</v>
      </c>
      <c r="I831" t="s">
        <v>27</v>
      </c>
      <c r="J831">
        <f>M795*8%</f>
        <v>0</v>
      </c>
      <c r="K831">
        <f>IF(J831&gt;248,248,J831)</f>
        <v>0</v>
      </c>
      <c r="L831">
        <f>IF(DONBIW!J52=4,K831,0)</f>
        <v>0</v>
      </c>
    </row>
    <row r="832" spans="1:13" x14ac:dyDescent="0.2">
      <c r="F832">
        <f>IF(DONBIW!J52=5,M795*20%,0)</f>
        <v>0</v>
      </c>
      <c r="G832">
        <f>IF(F832&gt;620,620,F832)</f>
        <v>0</v>
      </c>
      <c r="J832">
        <f>M795*10%</f>
        <v>0</v>
      </c>
      <c r="K832">
        <f>IF(J832&gt;310,310,J832)</f>
        <v>0</v>
      </c>
      <c r="L832">
        <f>IF(DONBIW!J52=5,K832,0)</f>
        <v>0</v>
      </c>
    </row>
    <row r="833" spans="5:12" x14ac:dyDescent="0.2">
      <c r="F833">
        <f>IF(DONBIW!J52=6,M795*24%,0)</f>
        <v>0</v>
      </c>
      <c r="G833">
        <f>IF(F833&gt;744,744,F833)</f>
        <v>0</v>
      </c>
      <c r="J833">
        <f>M795*12%</f>
        <v>0</v>
      </c>
      <c r="K833">
        <f>IF(J833&gt;372,372,J833)</f>
        <v>0</v>
      </c>
      <c r="L833">
        <f>IF(DONBIW!J52=6,K833,0)</f>
        <v>0</v>
      </c>
    </row>
    <row r="834" spans="5:12" x14ac:dyDescent="0.2">
      <c r="F834">
        <f>IF(DONBIW!J52=7,M795*28%,0)</f>
        <v>0</v>
      </c>
      <c r="G834">
        <f>IF(F834&gt;868,868,F834)</f>
        <v>0</v>
      </c>
      <c r="J834">
        <f>M795*14%</f>
        <v>0</v>
      </c>
      <c r="K834">
        <f>IF(J834&gt;434,434,J834)</f>
        <v>0</v>
      </c>
      <c r="L834">
        <f>IF(DONBIW!J52=7,K834,0)</f>
        <v>0</v>
      </c>
    </row>
    <row r="835" spans="5:12" x14ac:dyDescent="0.2">
      <c r="F835">
        <f>IF(DONBIW!J52=8,M795*32%,0)</f>
        <v>0</v>
      </c>
      <c r="G835">
        <f>IF(F835&gt;992,992,F835)</f>
        <v>0</v>
      </c>
      <c r="J835">
        <f>M795*16%</f>
        <v>0</v>
      </c>
      <c r="K835">
        <f>IF(J835&gt;496,496,J835)</f>
        <v>0</v>
      </c>
      <c r="L835">
        <f>IF(DONBIW!J52=8,K835,0)</f>
        <v>0</v>
      </c>
    </row>
    <row r="836" spans="5:12" x14ac:dyDescent="0.2">
      <c r="F836">
        <f>IF(DONBIW!J52=9,M795*36%,0)</f>
        <v>0</v>
      </c>
      <c r="G836">
        <f>IF(F836&gt;1116,1116,F836)</f>
        <v>0</v>
      </c>
      <c r="J836">
        <f>M795*18%</f>
        <v>0</v>
      </c>
      <c r="K836">
        <f>IF(J836&gt;558,558,J836)</f>
        <v>0</v>
      </c>
      <c r="L836">
        <f>IF(DONBIW!J52=9,K836,0)</f>
        <v>0</v>
      </c>
    </row>
    <row r="837" spans="5:12" x14ac:dyDescent="0.2">
      <c r="F837">
        <f>IF(DONBIW!J52=10,M795*40%,0)</f>
        <v>0</v>
      </c>
      <c r="G837">
        <f>IF(F837&gt;1240,1240,F837)</f>
        <v>0</v>
      </c>
      <c r="J837">
        <f>M795*20%</f>
        <v>0</v>
      </c>
      <c r="K837">
        <f>IF(J837&gt;620,620,J837)</f>
        <v>0</v>
      </c>
      <c r="L837">
        <f>IF(DONBIW!J52=10,K837,0)</f>
        <v>0</v>
      </c>
    </row>
    <row r="839" spans="5:12" x14ac:dyDescent="0.2">
      <c r="G839">
        <f>SUM(G830:G838)</f>
        <v>0</v>
      </c>
      <c r="L839">
        <f>SUM(L830:L838)</f>
        <v>0</v>
      </c>
    </row>
    <row r="843" spans="5:12" x14ac:dyDescent="0.2">
      <c r="E843" t="s">
        <v>33</v>
      </c>
      <c r="F843">
        <f>M795-G839</f>
        <v>0</v>
      </c>
      <c r="H843" t="s">
        <v>34</v>
      </c>
      <c r="I843">
        <f>M795-L839</f>
        <v>0</v>
      </c>
    </row>
    <row r="890" spans="1:13" x14ac:dyDescent="0.2">
      <c r="A890" t="s">
        <v>39</v>
      </c>
      <c r="F890">
        <f>DONBIW!G59</f>
        <v>0</v>
      </c>
      <c r="M890">
        <f>IF(AND(DONBIW!I57="oui",DONBIW!F57="ligne directe"),H902,0)</f>
        <v>0</v>
      </c>
    </row>
    <row r="891" spans="1:13" x14ac:dyDescent="0.2">
      <c r="M891">
        <f>IF(AND(DONBIW!I57="oui",DONBIW!F57="épou(x)(se)"),H902,0)</f>
        <v>0</v>
      </c>
    </row>
    <row r="892" spans="1:13" x14ac:dyDescent="0.2">
      <c r="A892" t="s">
        <v>2</v>
      </c>
      <c r="G892" t="s">
        <v>3</v>
      </c>
      <c r="H892" t="s">
        <v>40</v>
      </c>
      <c r="M892">
        <f>IF(AND(DONBIW!I57="non",DONBIW!F57="ligne directe"),G902,0)</f>
        <v>0</v>
      </c>
    </row>
    <row r="893" spans="1:13" x14ac:dyDescent="0.2">
      <c r="A893">
        <v>0</v>
      </c>
      <c r="E893">
        <v>50000</v>
      </c>
      <c r="F893">
        <f>IF(AND(F890&gt;A893, F890&lt;=E893),F890,0)</f>
        <v>0</v>
      </c>
      <c r="G893">
        <f>0+(3/100)*(-A893+F893)</f>
        <v>0</v>
      </c>
      <c r="H893">
        <f>0+(2/100)*(-A893+F893)</f>
        <v>0</v>
      </c>
      <c r="M893">
        <f>IF(AND(DONBIW!I57="non",DONBIW!F57="épou(x)(se)"),G902,0)</f>
        <v>0</v>
      </c>
    </row>
    <row r="894" spans="1:13" x14ac:dyDescent="0.2">
      <c r="A894">
        <f>E893</f>
        <v>50000</v>
      </c>
      <c r="E894">
        <v>100000</v>
      </c>
      <c r="F894">
        <f>IF(AND(F890&gt;A894, F890&lt;=E894),F890,0)</f>
        <v>0</v>
      </c>
      <c r="G894">
        <f>(50000/100*3)+(8/100)*(-A894+F894)</f>
        <v>-2500</v>
      </c>
      <c r="H894">
        <f>(50000/100*2)+(5.3/100)*(-A894+F894)</f>
        <v>-1650</v>
      </c>
      <c r="M894">
        <f>IF(DONBIW!F57="frère/soeur",G913,0)</f>
        <v>0</v>
      </c>
    </row>
    <row r="895" spans="1:13" x14ac:dyDescent="0.2">
      <c r="A895">
        <f>E894</f>
        <v>100000</v>
      </c>
      <c r="E895">
        <v>175000</v>
      </c>
      <c r="F895">
        <f>IF(AND(F890&gt;A895, F890&lt;=E895),F890,0)</f>
        <v>0</v>
      </c>
      <c r="G895">
        <f>(50000/100*3)+(50000/100*8)+((9/100)*(-A895+F895))</f>
        <v>-3500</v>
      </c>
      <c r="H895">
        <f>(50000/100*2)+(50000/100*5.3)+((6/100)*(-A895+F895))</f>
        <v>-2350</v>
      </c>
      <c r="M895">
        <f>IF(DONBIW!F57="oncle-tante/neveu-nièce",G926,0)</f>
        <v>0</v>
      </c>
    </row>
    <row r="896" spans="1:13" x14ac:dyDescent="0.2">
      <c r="A896">
        <f>E895</f>
        <v>175000</v>
      </c>
      <c r="E896">
        <v>250000</v>
      </c>
      <c r="F896">
        <f>IF(AND(F890&gt;A896, F890&lt;=E896),F890,0)</f>
        <v>0</v>
      </c>
      <c r="G896">
        <f>(50000/100*3)+(50000/100*8)+(75000/100*9)+((18/100)*(-A896+F896))</f>
        <v>-19250</v>
      </c>
      <c r="H896">
        <f>(50000/100*2)+(50000/100*5.3)+(75000/100*6)+((12/100)*(-A896+F896))</f>
        <v>-12850</v>
      </c>
      <c r="M896">
        <f>IF(DONBIW!F57="étrangers",M926,0)</f>
        <v>0</v>
      </c>
    </row>
    <row r="897" spans="1:13" x14ac:dyDescent="0.2">
      <c r="A897">
        <f>E896</f>
        <v>250000</v>
      </c>
      <c r="E897">
        <v>500000</v>
      </c>
      <c r="F897">
        <f>IF(AND(F890&gt;A897, F890&lt;=E897),F890,0)</f>
        <v>0</v>
      </c>
      <c r="G897">
        <f>(50000/100*3)+(50000/100*8)+(75000/100*9)+(75000/100*18)+((24/100)*(-A897+F897))</f>
        <v>-34250</v>
      </c>
      <c r="H897">
        <f>(50000/100*2)+(50000/100*5.3)+(75000/100*6)+(75000/100*12)+((24/100)*(-A897+F897))</f>
        <v>-42850</v>
      </c>
    </row>
    <row r="898" spans="1:13" x14ac:dyDescent="0.2">
      <c r="A898">
        <f>E897</f>
        <v>500000</v>
      </c>
      <c r="E898">
        <v>999999999</v>
      </c>
      <c r="F898">
        <f>IF(AND(F890&gt;A898, F890&lt;=E898),F890,0)</f>
        <v>0</v>
      </c>
      <c r="G898">
        <f>(50000/100*3)+(50000/100*8)+(75000/100*9)+(75000/100*18)+(250000/100*24)+((30/100)*(-A898+F898))</f>
        <v>-64250</v>
      </c>
      <c r="H898">
        <f>(50000/100*2)+(50000/100*5.3)+(75000/100*6)+(75000/100*12)+(250000/100*24)+((30/100)*(-A898+F898))</f>
        <v>-72850</v>
      </c>
      <c r="M898">
        <f>SUM(M890:M897)</f>
        <v>0</v>
      </c>
    </row>
    <row r="902" spans="1:13" x14ac:dyDescent="0.2">
      <c r="A902" t="s">
        <v>4</v>
      </c>
      <c r="G902">
        <f>VLOOKUP(F890,F893:G898,2,FALSE)</f>
        <v>0</v>
      </c>
      <c r="H902">
        <f>VLOOKUP(F890,F893:H898,3,FALSE)</f>
        <v>0</v>
      </c>
    </row>
    <row r="905" spans="1:13" x14ac:dyDescent="0.2">
      <c r="A905" t="s">
        <v>5</v>
      </c>
      <c r="G905" t="s">
        <v>6</v>
      </c>
    </row>
    <row r="906" spans="1:13" x14ac:dyDescent="0.2">
      <c r="A906">
        <v>0</v>
      </c>
      <c r="E906">
        <v>12500</v>
      </c>
      <c r="F906">
        <f>IF(AND(F890&gt;A906, F890&lt;=E906),F890,0)</f>
        <v>0</v>
      </c>
      <c r="G906">
        <f>0+(20/100)*(-A906+F906)</f>
        <v>0</v>
      </c>
    </row>
    <row r="907" spans="1:13" x14ac:dyDescent="0.2">
      <c r="A907">
        <f>E906</f>
        <v>12500</v>
      </c>
      <c r="E907">
        <v>25000</v>
      </c>
      <c r="F907">
        <f>IF(AND(F890&gt;A907, F890&lt;=E907),F890,0)</f>
        <v>0</v>
      </c>
      <c r="G907">
        <f>(12500/100*20)+((25/100)*(-A907+F907))</f>
        <v>-625</v>
      </c>
    </row>
    <row r="908" spans="1:13" x14ac:dyDescent="0.2">
      <c r="A908">
        <f>E907</f>
        <v>25000</v>
      </c>
      <c r="E908">
        <v>50000</v>
      </c>
      <c r="F908">
        <f>IF(AND(F890&gt;A908, F890&lt;=E908),F890,0)</f>
        <v>0</v>
      </c>
      <c r="G908">
        <f>(12500/100*20)+(12500/100*25)+((30/100)*(-A908+F908))</f>
        <v>-1875</v>
      </c>
    </row>
    <row r="909" spans="1:13" x14ac:dyDescent="0.2">
      <c r="A909">
        <f>E908</f>
        <v>50000</v>
      </c>
      <c r="E909">
        <v>100000</v>
      </c>
      <c r="F909">
        <f>IF(AND(F890&gt;A909, F890&lt;=E909),F890,0)</f>
        <v>0</v>
      </c>
      <c r="G909">
        <f>(12500/100*20)+(12500/100*25)+(25000/100*30)+((40/100)*(-A909+F909))</f>
        <v>-6875</v>
      </c>
    </row>
    <row r="910" spans="1:13" x14ac:dyDescent="0.2">
      <c r="A910">
        <f>E909</f>
        <v>100000</v>
      </c>
      <c r="E910">
        <v>175000</v>
      </c>
      <c r="F910">
        <f>IF(AND(F890&gt;A910, F890&lt;=E910),F890,0)</f>
        <v>0</v>
      </c>
      <c r="G910">
        <f>(12500/100*20)+(12500/100*25)+(25000/100*30)+(50000/100*40)+((55/100)*(-A910+F910))</f>
        <v>-21875.000000000007</v>
      </c>
    </row>
    <row r="911" spans="1:13" x14ac:dyDescent="0.2">
      <c r="A911">
        <v>175000</v>
      </c>
      <c r="E911">
        <v>250000</v>
      </c>
      <c r="F911">
        <f>IF(AND(F890&gt;A911, F890&lt;=E911),F890,0)</f>
        <v>0</v>
      </c>
      <c r="G911">
        <f>(12500/100*20)+(12500/100*25)+(25000/100*30)+(50000/100*40)+(75000/100*55)+((60/100)*(-A911+F911))</f>
        <v>-30625</v>
      </c>
    </row>
    <row r="912" spans="1:13" x14ac:dyDescent="0.2">
      <c r="A912">
        <f>E911</f>
        <v>250000</v>
      </c>
      <c r="E912">
        <v>999999999</v>
      </c>
      <c r="F912">
        <f>IF(AND(F890&gt;A912, F890&lt;=E912),F890,0)</f>
        <v>0</v>
      </c>
      <c r="G912">
        <f>(12500/100*20)+(12500/100*25)+(25000/100*30)+(50000/100*40)+(75000/100*55)+(75000/100*60)+((65/100)*(-A912+F912))</f>
        <v>-43125</v>
      </c>
    </row>
    <row r="913" spans="1:13" x14ac:dyDescent="0.2">
      <c r="A913" t="s">
        <v>4</v>
      </c>
      <c r="G913">
        <f>VLOOKUP(F890,F906:G912,2,FALSE)</f>
        <v>0</v>
      </c>
    </row>
    <row r="918" spans="1:13" x14ac:dyDescent="0.2">
      <c r="A918" t="s">
        <v>22</v>
      </c>
      <c r="G918" t="s">
        <v>7</v>
      </c>
      <c r="I918" t="s">
        <v>23</v>
      </c>
      <c r="M918" t="s">
        <v>8</v>
      </c>
    </row>
    <row r="919" spans="1:13" x14ac:dyDescent="0.2">
      <c r="A919">
        <v>0</v>
      </c>
      <c r="E919">
        <v>50000</v>
      </c>
      <c r="F919">
        <f>IF(AND(F890&gt;A919, F890&lt;=E919),F890,0)</f>
        <v>0</v>
      </c>
      <c r="G919">
        <f>0+(35/100)*(-A919+F919)</f>
        <v>0</v>
      </c>
      <c r="I919">
        <v>0</v>
      </c>
      <c r="J919">
        <v>50000</v>
      </c>
      <c r="K919">
        <f>IF(AND(F890&gt;I919, F890&lt;=J919),F890,0)</f>
        <v>0</v>
      </c>
      <c r="M919">
        <f>0+(40/100)*(-I919+K919)</f>
        <v>0</v>
      </c>
    </row>
    <row r="920" spans="1:13" x14ac:dyDescent="0.2">
      <c r="A920">
        <f>E919</f>
        <v>50000</v>
      </c>
      <c r="E920">
        <v>100000</v>
      </c>
      <c r="F920">
        <f>IF(AND(F890&gt;A920, F890&lt;=E920),F890,0)</f>
        <v>0</v>
      </c>
      <c r="G920">
        <f>(50000/100*35)+((50/100)*(-A920+F920))</f>
        <v>-7500</v>
      </c>
      <c r="I920">
        <f>J919</f>
        <v>50000</v>
      </c>
      <c r="J920">
        <v>75000</v>
      </c>
      <c r="K920">
        <f>IF(AND(F890&gt;I920, F890&lt;=J920),F890,0)</f>
        <v>0</v>
      </c>
      <c r="M920">
        <f>(50000/100*40)+((55/100)*(-I920+K920))</f>
        <v>-7500.0000000000036</v>
      </c>
    </row>
    <row r="921" spans="1:13" x14ac:dyDescent="0.2">
      <c r="A921">
        <f>E920</f>
        <v>100000</v>
      </c>
      <c r="E921">
        <v>175000</v>
      </c>
      <c r="F921">
        <f>IF(AND(F890&gt;A921, F890&lt;=E921),F890,0)</f>
        <v>0</v>
      </c>
      <c r="G921">
        <f>(50000/100*35)+(50000/100*50)+((60/100)*(-A921+F921))</f>
        <v>-17500</v>
      </c>
      <c r="I921">
        <f>J920</f>
        <v>75000</v>
      </c>
      <c r="J921">
        <v>175000</v>
      </c>
      <c r="K921">
        <f>IF(AND(F890&gt;I921, F890&lt;=J921),F890,0)</f>
        <v>0</v>
      </c>
      <c r="M921">
        <f>(50000/100*40)+(25000/100*55)+((65/100)*(-I921+K921))</f>
        <v>-15000</v>
      </c>
    </row>
    <row r="922" spans="1:13" x14ac:dyDescent="0.2">
      <c r="A922">
        <f>E921</f>
        <v>175000</v>
      </c>
      <c r="E922">
        <v>999999999</v>
      </c>
      <c r="F922">
        <f>IF(AND(F890&gt;A922, F890&lt;=E922),F890,0)</f>
        <v>0</v>
      </c>
      <c r="G922">
        <f>(50000/100*35)+(50000/100*50)+(75000/100*60)+((70/100)*(-A922+F922))</f>
        <v>-34999.999999999985</v>
      </c>
      <c r="I922">
        <f>J921</f>
        <v>175000</v>
      </c>
      <c r="J922">
        <v>999999999</v>
      </c>
      <c r="K922">
        <f>IF(AND(F890&gt;I922, F890&lt;=J922),F890,0)</f>
        <v>0</v>
      </c>
      <c r="M922">
        <f>(50000/100*40)+(25000/100*55)+(100000/100*65)+((80/100)*(-I922+K922))</f>
        <v>-41250</v>
      </c>
    </row>
    <row r="926" spans="1:13" x14ac:dyDescent="0.2">
      <c r="A926" t="s">
        <v>4</v>
      </c>
      <c r="G926">
        <f>VLOOKUP(F890,F919:G922,2,FALSE)</f>
        <v>0</v>
      </c>
      <c r="I926" t="s">
        <v>4</v>
      </c>
      <c r="M926">
        <f>VLOOKUP(F890,K919:M922,3,FALSE)</f>
        <v>0</v>
      </c>
    </row>
    <row r="931" spans="5:12" x14ac:dyDescent="0.2">
      <c r="E931" t="s">
        <v>93</v>
      </c>
      <c r="F931" t="s">
        <v>100</v>
      </c>
    </row>
    <row r="933" spans="5:12" x14ac:dyDescent="0.2">
      <c r="E933" t="s">
        <v>93</v>
      </c>
      <c r="F933">
        <f>IF(DONBIW!J57=3,M898*12%,0)</f>
        <v>0</v>
      </c>
      <c r="G933">
        <f>IF(F933&gt;372,372,F933)</f>
        <v>0</v>
      </c>
      <c r="I933" t="s">
        <v>26</v>
      </c>
      <c r="J933">
        <f>M898*6%</f>
        <v>0</v>
      </c>
      <c r="K933">
        <f>IF(J933&gt;186,186,J933)</f>
        <v>0</v>
      </c>
      <c r="L933">
        <f>IF(DONBIW!J57=3,K933,0)</f>
        <v>0</v>
      </c>
    </row>
    <row r="934" spans="5:12" x14ac:dyDescent="0.2">
      <c r="F934">
        <f>IF(DONBIW!J57=4,M898*16%,0)</f>
        <v>0</v>
      </c>
      <c r="G934">
        <f>IF(F934&gt;496,496,F934)</f>
        <v>0</v>
      </c>
      <c r="I934" t="s">
        <v>27</v>
      </c>
      <c r="J934">
        <f>M898*8%</f>
        <v>0</v>
      </c>
      <c r="K934">
        <f>IF(J934&gt;248,248,J934)</f>
        <v>0</v>
      </c>
      <c r="L934">
        <f>IF(DONBIW!J57=4,K934,0)</f>
        <v>0</v>
      </c>
    </row>
    <row r="935" spans="5:12" x14ac:dyDescent="0.2">
      <c r="F935">
        <f>IF(DONBIW!J57=5,M898*20%,0)</f>
        <v>0</v>
      </c>
      <c r="G935">
        <f>IF(F935&gt;620,620,F935)</f>
        <v>0</v>
      </c>
      <c r="J935">
        <f>M898*10%</f>
        <v>0</v>
      </c>
      <c r="K935">
        <f>IF(J935&gt;310,310,J935)</f>
        <v>0</v>
      </c>
      <c r="L935">
        <f>IF(DONBIW!J57=5,K935,0)</f>
        <v>0</v>
      </c>
    </row>
    <row r="936" spans="5:12" x14ac:dyDescent="0.2">
      <c r="F936">
        <f>IF(DONBIW!J57=6,M898*24%,0)</f>
        <v>0</v>
      </c>
      <c r="G936">
        <f>IF(F936&gt;744,744,F936)</f>
        <v>0</v>
      </c>
      <c r="J936">
        <f>M898*12%</f>
        <v>0</v>
      </c>
      <c r="K936">
        <f>IF(J936&gt;372,372,J936)</f>
        <v>0</v>
      </c>
      <c r="L936">
        <f>IF(DONBIW!J57=6,K936,0)</f>
        <v>0</v>
      </c>
    </row>
    <row r="937" spans="5:12" x14ac:dyDescent="0.2">
      <c r="F937">
        <f>IF(DONBIW!J57=7,M898*28%,0)</f>
        <v>0</v>
      </c>
      <c r="G937">
        <f>IF(F937&gt;868,868,F937)</f>
        <v>0</v>
      </c>
      <c r="J937">
        <f>M898*14%</f>
        <v>0</v>
      </c>
      <c r="K937">
        <f>IF(J937&gt;434,434,J937)</f>
        <v>0</v>
      </c>
      <c r="L937">
        <f>IF(DONBIW!J57=7,K937,0)</f>
        <v>0</v>
      </c>
    </row>
    <row r="938" spans="5:12" x14ac:dyDescent="0.2">
      <c r="F938">
        <f>IF(DONBIW!J57=8,M898*32%,0)</f>
        <v>0</v>
      </c>
      <c r="G938">
        <f>IF(F938&gt;992,992,F938)</f>
        <v>0</v>
      </c>
      <c r="J938">
        <f>M898*16%</f>
        <v>0</v>
      </c>
      <c r="K938">
        <f>IF(J938&gt;496,496,J938)</f>
        <v>0</v>
      </c>
      <c r="L938">
        <f>IF(DONBIW!J57=8,K938,0)</f>
        <v>0</v>
      </c>
    </row>
    <row r="939" spans="5:12" x14ac:dyDescent="0.2">
      <c r="F939">
        <f>IF(DONBIW!J57=9,M898*36%,0)</f>
        <v>0</v>
      </c>
      <c r="G939">
        <f>IF(F939&gt;1116,1116,F939)</f>
        <v>0</v>
      </c>
      <c r="J939">
        <f>M898*18%</f>
        <v>0</v>
      </c>
      <c r="K939">
        <f>IF(J939&gt;558,558,J939)</f>
        <v>0</v>
      </c>
      <c r="L939">
        <f>IF(DONBIW!J57=9,K939,0)</f>
        <v>0</v>
      </c>
    </row>
    <row r="940" spans="5:12" x14ac:dyDescent="0.2">
      <c r="F940">
        <f>IF(DONBIW!J57=10,M898*40%,0)</f>
        <v>0</v>
      </c>
      <c r="G940">
        <f>IF(F940&gt;1240,1240,F940)</f>
        <v>0</v>
      </c>
      <c r="J940">
        <f>M898*20%</f>
        <v>0</v>
      </c>
      <c r="K940">
        <f>IF(J940&gt;620,620,J940)</f>
        <v>0</v>
      </c>
      <c r="L940">
        <f>IF(DONBIW!J57=10,K940,0)</f>
        <v>0</v>
      </c>
    </row>
    <row r="942" spans="5:12" x14ac:dyDescent="0.2">
      <c r="G942">
        <f>SUM(G933:G941)</f>
        <v>0</v>
      </c>
      <c r="L942">
        <f>SUM(L933:L941)</f>
        <v>0</v>
      </c>
    </row>
    <row r="946" spans="5:9" x14ac:dyDescent="0.2">
      <c r="E946" t="s">
        <v>33</v>
      </c>
      <c r="F946">
        <f>M898-G942</f>
        <v>0</v>
      </c>
      <c r="H946" t="s">
        <v>34</v>
      </c>
      <c r="I946">
        <f>M898-L942</f>
        <v>0</v>
      </c>
    </row>
    <row r="993" spans="1:13" x14ac:dyDescent="0.2">
      <c r="A993" t="s">
        <v>39</v>
      </c>
      <c r="F993">
        <f>DONBIW!G64</f>
        <v>0</v>
      </c>
      <c r="M993">
        <f>IF(AND(DONBIW!I62="oui",DONBIW!F62="ligne directe"),H1005,0)</f>
        <v>0</v>
      </c>
    </row>
    <row r="994" spans="1:13" x14ac:dyDescent="0.2">
      <c r="M994">
        <f>IF(AND(DONBIW!I62="oui",DONBIW!F62="épou(x)(se)"),H1005,0)</f>
        <v>0</v>
      </c>
    </row>
    <row r="995" spans="1:13" x14ac:dyDescent="0.2">
      <c r="A995" t="s">
        <v>2</v>
      </c>
      <c r="G995" t="s">
        <v>3</v>
      </c>
      <c r="H995" t="s">
        <v>40</v>
      </c>
      <c r="M995">
        <f>IF(AND(DONBIW!I62="non",DONBIW!F62="ligne directe"),G1005,0)</f>
        <v>0</v>
      </c>
    </row>
    <row r="996" spans="1:13" x14ac:dyDescent="0.2">
      <c r="A996">
        <v>0</v>
      </c>
      <c r="E996">
        <v>50000</v>
      </c>
      <c r="F996">
        <f>IF(AND(F993&gt;A996, F993&lt;=E996),F993,0)</f>
        <v>0</v>
      </c>
      <c r="G996">
        <f>0+(3/100)*(-A996+F996)</f>
        <v>0</v>
      </c>
      <c r="H996">
        <f>0+(2/100)*(-A996+F996)</f>
        <v>0</v>
      </c>
      <c r="M996">
        <f>IF(AND(DONBIW!I62="non",DONBIW!F62="épou(x)(se)"),G1005,0)</f>
        <v>0</v>
      </c>
    </row>
    <row r="997" spans="1:13" x14ac:dyDescent="0.2">
      <c r="A997">
        <f>E996</f>
        <v>50000</v>
      </c>
      <c r="E997">
        <v>100000</v>
      </c>
      <c r="F997">
        <f>IF(AND(F993&gt;A997, F993&lt;=E997),F993,0)</f>
        <v>0</v>
      </c>
      <c r="G997">
        <f>(50000/100*3)+(8/100)*(-A997+F997)</f>
        <v>-2500</v>
      </c>
      <c r="H997">
        <f>(50000/100*2)+(5.3/100)*(-A997+F997)</f>
        <v>-1650</v>
      </c>
      <c r="M997">
        <f>IF(DONBIW!F62="frère/soeur",G1016,0)</f>
        <v>0</v>
      </c>
    </row>
    <row r="998" spans="1:13" x14ac:dyDescent="0.2">
      <c r="A998">
        <f>E997</f>
        <v>100000</v>
      </c>
      <c r="E998">
        <v>175000</v>
      </c>
      <c r="F998">
        <f>IF(AND(F993&gt;A998, F993&lt;=E998),F993,0)</f>
        <v>0</v>
      </c>
      <c r="G998">
        <f>(50000/100*3)+(50000/100*8)+((9/100)*(-A998+F998))</f>
        <v>-3500</v>
      </c>
      <c r="H998">
        <f>(50000/100*2)+(50000/100*5.3)+((6/100)*(-A998+F998))</f>
        <v>-2350</v>
      </c>
      <c r="M998">
        <f>IF(DONBIW!F62="oncle-tante/neveu-nièce",G1029,0)</f>
        <v>0</v>
      </c>
    </row>
    <row r="999" spans="1:13" x14ac:dyDescent="0.2">
      <c r="A999">
        <f>E998</f>
        <v>175000</v>
      </c>
      <c r="E999">
        <v>250000</v>
      </c>
      <c r="F999">
        <f>IF(AND(F993&gt;A999, F993&lt;=E999),F993,0)</f>
        <v>0</v>
      </c>
      <c r="G999">
        <f>(50000/100*3)+(50000/100*8)+(75000/100*9)+((18/100)*(-A999+F999))</f>
        <v>-19250</v>
      </c>
      <c r="H999">
        <f>(50000/100*2)+(50000/100*5.3)+(75000/100*6)+((12/100)*(-A999+F999))</f>
        <v>-12850</v>
      </c>
      <c r="M999">
        <f>IF(DONBIW!F62="étrangers",M1029,0)</f>
        <v>0</v>
      </c>
    </row>
    <row r="1000" spans="1:13" x14ac:dyDescent="0.2">
      <c r="A1000">
        <f>E999</f>
        <v>250000</v>
      </c>
      <c r="E1000">
        <v>500000</v>
      </c>
      <c r="F1000">
        <f>IF(AND(F993&gt;A1000, F993&lt;=E1000),F993,0)</f>
        <v>0</v>
      </c>
      <c r="G1000">
        <f>(50000/100*3)+(50000/100*8)+(75000/100*9)+(75000/100*18)+((24/100)*(-A1000+F1000))</f>
        <v>-34250</v>
      </c>
      <c r="H1000">
        <f>(50000/100*2)+(50000/100*5.3)+(75000/100*6)+(75000/100*12)+((24/100)*(-A1000+F1000))</f>
        <v>-42850</v>
      </c>
    </row>
    <row r="1001" spans="1:13" x14ac:dyDescent="0.2">
      <c r="A1001">
        <f>E1000</f>
        <v>500000</v>
      </c>
      <c r="E1001">
        <v>999999999</v>
      </c>
      <c r="F1001">
        <f>IF(AND(F993&gt;A1001, F993&lt;=E1001),F993,0)</f>
        <v>0</v>
      </c>
      <c r="G1001">
        <f>(50000/100*3)+(50000/100*8)+(75000/100*9)+(75000/100*18)+(250000/100*24)+((30/100)*(-A1001+F1001))</f>
        <v>-64250</v>
      </c>
      <c r="H1001">
        <f>(50000/100*2)+(50000/100*5.3)+(75000/100*6)+(75000/100*12)+(250000/100*24)+((30/100)*(-A1001+F1001))</f>
        <v>-72850</v>
      </c>
      <c r="M1001">
        <f>SUM(M993:M1000)</f>
        <v>0</v>
      </c>
    </row>
    <row r="1005" spans="1:13" x14ac:dyDescent="0.2">
      <c r="A1005" t="s">
        <v>4</v>
      </c>
      <c r="G1005">
        <f>VLOOKUP(F993,F996:G1001,2,FALSE)</f>
        <v>0</v>
      </c>
      <c r="H1005">
        <f>VLOOKUP(F993,F996:H1001,3,FALSE)</f>
        <v>0</v>
      </c>
    </row>
    <row r="1008" spans="1:13" x14ac:dyDescent="0.2">
      <c r="A1008" t="s">
        <v>5</v>
      </c>
      <c r="G1008" t="s">
        <v>6</v>
      </c>
    </row>
    <row r="1009" spans="1:13" x14ac:dyDescent="0.2">
      <c r="A1009">
        <v>0</v>
      </c>
      <c r="E1009">
        <v>12500</v>
      </c>
      <c r="F1009">
        <f>IF(AND(F993&gt;A1009, F993&lt;=E1009),F993,0)</f>
        <v>0</v>
      </c>
      <c r="G1009">
        <f>0+(20/100)*(-A1009+F1009)</f>
        <v>0</v>
      </c>
    </row>
    <row r="1010" spans="1:13" x14ac:dyDescent="0.2">
      <c r="A1010">
        <f>E1009</f>
        <v>12500</v>
      </c>
      <c r="E1010">
        <v>25000</v>
      </c>
      <c r="F1010">
        <f>IF(AND(F993&gt;A1010, F993&lt;=E1010),F993,0)</f>
        <v>0</v>
      </c>
      <c r="G1010">
        <f>(12500/100*20)+((25/100)*(-A1010+F1010))</f>
        <v>-625</v>
      </c>
    </row>
    <row r="1011" spans="1:13" x14ac:dyDescent="0.2">
      <c r="A1011">
        <f>E1010</f>
        <v>25000</v>
      </c>
      <c r="E1011">
        <v>50000</v>
      </c>
      <c r="F1011">
        <f>IF(AND(F993&gt;A1011, F993&lt;=E1011),F993,0)</f>
        <v>0</v>
      </c>
      <c r="G1011">
        <f>(12500/100*20)+(12500/100*25)+((30/100)*(-A1011+F1011))</f>
        <v>-1875</v>
      </c>
    </row>
    <row r="1012" spans="1:13" x14ac:dyDescent="0.2">
      <c r="A1012">
        <f>E1011</f>
        <v>50000</v>
      </c>
      <c r="E1012">
        <v>100000</v>
      </c>
      <c r="F1012">
        <f>IF(AND(F993&gt;A1012, F993&lt;=E1012),F993,0)</f>
        <v>0</v>
      </c>
      <c r="G1012">
        <f>(12500/100*20)+(12500/100*25)+(25000/100*30)+((40/100)*(-A1012+F1012))</f>
        <v>-6875</v>
      </c>
    </row>
    <row r="1013" spans="1:13" x14ac:dyDescent="0.2">
      <c r="A1013">
        <f>E1012</f>
        <v>100000</v>
      </c>
      <c r="E1013">
        <v>175000</v>
      </c>
      <c r="F1013">
        <f>IF(AND(F993&gt;A1013, F993&lt;=E1013),F993,0)</f>
        <v>0</v>
      </c>
      <c r="G1013">
        <f>(12500/100*20)+(12500/100*25)+(25000/100*30)+(50000/100*40)+((55/100)*(-A1013+F1013))</f>
        <v>-21875.000000000007</v>
      </c>
    </row>
    <row r="1014" spans="1:13" x14ac:dyDescent="0.2">
      <c r="A1014">
        <v>175000</v>
      </c>
      <c r="E1014">
        <v>250000</v>
      </c>
      <c r="F1014">
        <f>IF(AND(F993&gt;A1014, F993&lt;=E1014),F993,0)</f>
        <v>0</v>
      </c>
      <c r="G1014">
        <f>(12500/100*20)+(12500/100*25)+(25000/100*30)+(50000/100*40)+(75000/100*55)+((60/100)*(-A1014+F1014))</f>
        <v>-30625</v>
      </c>
    </row>
    <row r="1015" spans="1:13" x14ac:dyDescent="0.2">
      <c r="A1015">
        <f>E1014</f>
        <v>250000</v>
      </c>
      <c r="E1015">
        <v>999999999</v>
      </c>
      <c r="F1015">
        <f>IF(AND(F993&gt;A1015, F993&lt;=E1015),F993,0)</f>
        <v>0</v>
      </c>
      <c r="G1015">
        <f>(12500/100*20)+(12500/100*25)+(25000/100*30)+(50000/100*40)+(75000/100*55)+(75000/100*60)+((65/100)*(-A1015+F1015))</f>
        <v>-43125</v>
      </c>
    </row>
    <row r="1016" spans="1:13" x14ac:dyDescent="0.2">
      <c r="A1016" t="s">
        <v>4</v>
      </c>
      <c r="G1016">
        <f>VLOOKUP(F993,F1009:G1015,2,FALSE)</f>
        <v>0</v>
      </c>
    </row>
    <row r="1021" spans="1:13" x14ac:dyDescent="0.2">
      <c r="A1021" t="s">
        <v>22</v>
      </c>
      <c r="G1021" t="s">
        <v>7</v>
      </c>
      <c r="I1021" t="s">
        <v>23</v>
      </c>
      <c r="M1021" t="s">
        <v>8</v>
      </c>
    </row>
    <row r="1022" spans="1:13" x14ac:dyDescent="0.2">
      <c r="A1022">
        <v>0</v>
      </c>
      <c r="E1022">
        <v>50000</v>
      </c>
      <c r="F1022">
        <f>IF(AND(F993&gt;A1022, F993&lt;=E1022),F993,0)</f>
        <v>0</v>
      </c>
      <c r="G1022">
        <f>0+(35/100)*(-A1022+F1022)</f>
        <v>0</v>
      </c>
      <c r="I1022">
        <v>0</v>
      </c>
      <c r="J1022">
        <v>50000</v>
      </c>
      <c r="K1022">
        <f>IF(AND(F993&gt;I1022, F993&lt;=J1022),F993,0)</f>
        <v>0</v>
      </c>
      <c r="M1022">
        <f>0+(40/100)*(-I1022+K1022)</f>
        <v>0</v>
      </c>
    </row>
    <row r="1023" spans="1:13" x14ac:dyDescent="0.2">
      <c r="A1023">
        <f>E1022</f>
        <v>50000</v>
      </c>
      <c r="E1023">
        <v>100000</v>
      </c>
      <c r="F1023">
        <f>IF(AND(F993&gt;A1023, F993&lt;=E1023),F993,0)</f>
        <v>0</v>
      </c>
      <c r="G1023">
        <f>(50000/100*35)+((50/100)*(-A1023+F1023))</f>
        <v>-7500</v>
      </c>
      <c r="I1023">
        <f>J1022</f>
        <v>50000</v>
      </c>
      <c r="J1023">
        <v>75000</v>
      </c>
      <c r="K1023">
        <f>IF(AND(F993&gt;I1023, F993&lt;=J1023),F993,0)</f>
        <v>0</v>
      </c>
      <c r="M1023">
        <f>(50000/100*40)+((55/100)*(-I1023+K1023))</f>
        <v>-7500.0000000000036</v>
      </c>
    </row>
    <row r="1024" spans="1:13" x14ac:dyDescent="0.2">
      <c r="A1024">
        <f>E1023</f>
        <v>100000</v>
      </c>
      <c r="E1024">
        <v>175000</v>
      </c>
      <c r="F1024">
        <f>IF(AND(F993&gt;A1024, F993&lt;=E1024),F993,0)</f>
        <v>0</v>
      </c>
      <c r="G1024">
        <f>(50000/100*35)+(50000/100*50)+((60/100)*(-A1024+F1024))</f>
        <v>-17500</v>
      </c>
      <c r="I1024">
        <f>J1023</f>
        <v>75000</v>
      </c>
      <c r="J1024">
        <v>175000</v>
      </c>
      <c r="K1024">
        <f>IF(AND(F993&gt;I1024, F993&lt;=J1024),F993,0)</f>
        <v>0</v>
      </c>
      <c r="M1024">
        <f>(50000/100*40)+(25000/100*55)+((65/100)*(-I1024+K1024))</f>
        <v>-15000</v>
      </c>
    </row>
    <row r="1025" spans="1:13" x14ac:dyDescent="0.2">
      <c r="A1025">
        <f>E1024</f>
        <v>175000</v>
      </c>
      <c r="E1025">
        <v>999999999</v>
      </c>
      <c r="F1025">
        <f>IF(AND(F993&gt;A1025, F993&lt;=E1025),F993,0)</f>
        <v>0</v>
      </c>
      <c r="G1025">
        <f>(50000/100*35)+(50000/100*50)+(75000/100*60)+((70/100)*(-A1025+F1025))</f>
        <v>-34999.999999999985</v>
      </c>
      <c r="I1025">
        <f>J1024</f>
        <v>175000</v>
      </c>
      <c r="J1025">
        <v>999999999</v>
      </c>
      <c r="K1025">
        <f>IF(AND(F993&gt;I1025, F993&lt;=J1025),F993,0)</f>
        <v>0</v>
      </c>
      <c r="M1025">
        <f>(50000/100*40)+(25000/100*55)+(100000/100*65)+((80/100)*(-I1025+K1025))</f>
        <v>-41250</v>
      </c>
    </row>
    <row r="1029" spans="1:13" x14ac:dyDescent="0.2">
      <c r="A1029" t="s">
        <v>4</v>
      </c>
      <c r="G1029">
        <f>VLOOKUP(F993,F1022:G1025,2,FALSE)</f>
        <v>0</v>
      </c>
      <c r="I1029" t="s">
        <v>4</v>
      </c>
      <c r="M1029">
        <f>VLOOKUP(F993,K1022:M1025,3,FALSE)</f>
        <v>0</v>
      </c>
    </row>
    <row r="1034" spans="1:13" x14ac:dyDescent="0.2">
      <c r="E1034" t="s">
        <v>93</v>
      </c>
      <c r="F1034" t="s">
        <v>100</v>
      </c>
    </row>
    <row r="1036" spans="1:13" x14ac:dyDescent="0.2">
      <c r="E1036" t="s">
        <v>93</v>
      </c>
      <c r="F1036">
        <f>IF(DONBIW!J62=3,M1001*12%,0)</f>
        <v>0</v>
      </c>
      <c r="G1036">
        <f>IF(F1036&gt;372,372,F1036)</f>
        <v>0</v>
      </c>
      <c r="I1036" t="s">
        <v>26</v>
      </c>
      <c r="J1036">
        <f>M1001*6%</f>
        <v>0</v>
      </c>
      <c r="K1036">
        <f>IF(J1036&gt;186,186,J1036)</f>
        <v>0</v>
      </c>
      <c r="L1036">
        <f>IF(DONBIW!J62=3,K1036,0)</f>
        <v>0</v>
      </c>
    </row>
    <row r="1037" spans="1:13" x14ac:dyDescent="0.2">
      <c r="F1037">
        <f>IF(DONBIW!J62=4,M1001*16%,0)</f>
        <v>0</v>
      </c>
      <c r="G1037">
        <f>IF(F1037&gt;496,496,F1037)</f>
        <v>0</v>
      </c>
      <c r="I1037" t="s">
        <v>27</v>
      </c>
      <c r="J1037">
        <f>M1001*8%</f>
        <v>0</v>
      </c>
      <c r="K1037">
        <f>IF(J1037&gt;248,248,J1037)</f>
        <v>0</v>
      </c>
      <c r="L1037">
        <f>IF(DONBIW!J62=4,K1037,0)</f>
        <v>0</v>
      </c>
    </row>
    <row r="1038" spans="1:13" x14ac:dyDescent="0.2">
      <c r="F1038">
        <f>IF(DONBIW!J62=5,M1001*20%,0)</f>
        <v>0</v>
      </c>
      <c r="G1038">
        <f>IF(F1038&gt;620,620,F1038)</f>
        <v>0</v>
      </c>
      <c r="J1038">
        <f>M1001*10%</f>
        <v>0</v>
      </c>
      <c r="K1038">
        <f>IF(J1038&gt;310,310,J1038)</f>
        <v>0</v>
      </c>
      <c r="L1038">
        <f>IF(DONBIW!J62=5,K1038,0)</f>
        <v>0</v>
      </c>
    </row>
    <row r="1039" spans="1:13" x14ac:dyDescent="0.2">
      <c r="F1039">
        <f>IF(DONBIW!J62=6,M1001*24%,0)</f>
        <v>0</v>
      </c>
      <c r="G1039">
        <f>IF(F1039&gt;744,744,F1039)</f>
        <v>0</v>
      </c>
      <c r="J1039">
        <f>M1001*12%</f>
        <v>0</v>
      </c>
      <c r="K1039">
        <f>IF(J1039&gt;372,372,J1039)</f>
        <v>0</v>
      </c>
      <c r="L1039">
        <f>IF(DONBIW!J62=6,K1039,0)</f>
        <v>0</v>
      </c>
    </row>
    <row r="1040" spans="1:13" x14ac:dyDescent="0.2">
      <c r="F1040">
        <f>IF(DONBIW!J62=7,M1001*28%,0)</f>
        <v>0</v>
      </c>
      <c r="G1040">
        <f>IF(F1040&gt;868,868,F1040)</f>
        <v>0</v>
      </c>
      <c r="J1040">
        <f>M1001*14%</f>
        <v>0</v>
      </c>
      <c r="K1040">
        <f>IF(J1040&gt;434,434,J1040)</f>
        <v>0</v>
      </c>
      <c r="L1040">
        <f>IF(DONBIW!J62=7,K1040,0)</f>
        <v>0</v>
      </c>
    </row>
    <row r="1041" spans="5:12" x14ac:dyDescent="0.2">
      <c r="F1041">
        <f>IF(DONBIW!J62=8,M1001*32%,0)</f>
        <v>0</v>
      </c>
      <c r="G1041">
        <f>IF(F1041&gt;992,992,F1041)</f>
        <v>0</v>
      </c>
      <c r="J1041">
        <f>M1001*16%</f>
        <v>0</v>
      </c>
      <c r="K1041">
        <f>IF(J1041&gt;496,496,J1041)</f>
        <v>0</v>
      </c>
      <c r="L1041">
        <f>IF(DONBIW!J62=8,K1041,0)</f>
        <v>0</v>
      </c>
    </row>
    <row r="1042" spans="5:12" x14ac:dyDescent="0.2">
      <c r="F1042">
        <f>IF(DONBIW!J62=9,M1001*36%,0)</f>
        <v>0</v>
      </c>
      <c r="G1042">
        <f>IF(F1042&gt;1116,1116,F1042)</f>
        <v>0</v>
      </c>
      <c r="J1042">
        <f>M1001*18%</f>
        <v>0</v>
      </c>
      <c r="K1042">
        <f>IF(J1042&gt;558,558,J1042)</f>
        <v>0</v>
      </c>
      <c r="L1042">
        <f>IF(DONBIW!J62=9,K1042,0)</f>
        <v>0</v>
      </c>
    </row>
    <row r="1043" spans="5:12" x14ac:dyDescent="0.2">
      <c r="F1043">
        <f>IF(DONBIW!J62=10,M1001*40%,0)</f>
        <v>0</v>
      </c>
      <c r="G1043">
        <f>IF(F1043&gt;1240,1240,F1043)</f>
        <v>0</v>
      </c>
      <c r="J1043">
        <f>M1001*20%</f>
        <v>0</v>
      </c>
      <c r="K1043">
        <f>IF(J1043&gt;620,620,J1043)</f>
        <v>0</v>
      </c>
      <c r="L1043">
        <f>IF(DONBIW!J62=10,K1043,0)</f>
        <v>0</v>
      </c>
    </row>
    <row r="1045" spans="5:12" x14ac:dyDescent="0.2">
      <c r="G1045">
        <f>SUM(G1036:G1044)</f>
        <v>0</v>
      </c>
      <c r="L1045">
        <f>SUM(L1036:L1044)</f>
        <v>0</v>
      </c>
    </row>
    <row r="1049" spans="5:12" x14ac:dyDescent="0.2">
      <c r="E1049" t="s">
        <v>33</v>
      </c>
      <c r="F1049">
        <f>M1001-G1045</f>
        <v>0</v>
      </c>
      <c r="H1049" t="s">
        <v>34</v>
      </c>
      <c r="I1049">
        <f>M1001-L1045</f>
        <v>0</v>
      </c>
    </row>
    <row r="1209" spans="1:15" x14ac:dyDescent="0.2">
      <c r="O1209" t="e">
        <f>IF(AND(#REF!="oui",#REF!="ligne directe"),H1222*E6*#REF!+(G1222*E6*(1-#REF!)),0)</f>
        <v>#REF!</v>
      </c>
    </row>
    <row r="1210" spans="1:15" x14ac:dyDescent="0.2">
      <c r="A1210" t="s">
        <v>39</v>
      </c>
      <c r="F1210">
        <f>E7</f>
        <v>0</v>
      </c>
      <c r="O1210" t="e">
        <f>IF(AND(#REF!="non",#REF!="ligne directe"),G1222,0)*E6</f>
        <v>#REF!</v>
      </c>
    </row>
    <row r="1211" spans="1:15" x14ac:dyDescent="0.2">
      <c r="O1211" t="e">
        <f>IF(#REF!="frère/soeur",G1233,0)*E6</f>
        <v>#REF!</v>
      </c>
    </row>
    <row r="1212" spans="1:15" x14ac:dyDescent="0.2">
      <c r="A1212" t="s">
        <v>2</v>
      </c>
      <c r="G1212" t="s">
        <v>3</v>
      </c>
      <c r="H1212" t="s">
        <v>40</v>
      </c>
      <c r="O1212" t="e">
        <f>IF(#REF!="oncle-tante/neveu-nièce",G1246,0)*E6</f>
        <v>#REF!</v>
      </c>
    </row>
    <row r="1213" spans="1:15" x14ac:dyDescent="0.2">
      <c r="A1213">
        <v>0</v>
      </c>
      <c r="E1213">
        <v>50000</v>
      </c>
      <c r="F1213">
        <f>IF(AND(F1210&gt;A1213, F1210&lt;=E1213),F1210,0)</f>
        <v>0</v>
      </c>
      <c r="G1213">
        <f>0+(3/100)*(-A1213+F1213)</f>
        <v>0</v>
      </c>
      <c r="H1213">
        <f>0+(2/100)*(-A1213+F1213)</f>
        <v>0</v>
      </c>
      <c r="O1213" t="e">
        <f>IF(#REF!="étrangers",M1246,0)*E6</f>
        <v>#REF!</v>
      </c>
    </row>
    <row r="1214" spans="1:15" x14ac:dyDescent="0.2">
      <c r="A1214">
        <f>E1213</f>
        <v>50000</v>
      </c>
      <c r="E1214">
        <v>100000</v>
      </c>
      <c r="F1214">
        <f>IF(AND(F1210&gt;A1214, F1210&lt;=E1214),F1210,0)</f>
        <v>0</v>
      </c>
      <c r="G1214">
        <f>(50000/100*3)+(8/100)*(-A1214+F1214)</f>
        <v>-2500</v>
      </c>
      <c r="H1214">
        <f>(50000/100*2)+(5.3/100)*(-A1214+F1214)</f>
        <v>-1650</v>
      </c>
    </row>
    <row r="1215" spans="1:15" x14ac:dyDescent="0.2">
      <c r="A1215">
        <f>E1214</f>
        <v>100000</v>
      </c>
      <c r="E1215">
        <v>175000</v>
      </c>
      <c r="F1215">
        <f>IF(AND(F1210&gt;A1215, F1210&lt;=E1215),F1210,0)</f>
        <v>0</v>
      </c>
      <c r="G1215">
        <f>(50000/100*3)+(50000/100*8)+((9/100)*(-A1215+F1215))</f>
        <v>-3500</v>
      </c>
      <c r="H1215">
        <f>(50000/100*2)+(50000/100*5.3)+((6/100)*(-A1215+F1215))</f>
        <v>-2350</v>
      </c>
      <c r="O1215" t="e">
        <f>SUM(O1209:O1214)</f>
        <v>#REF!</v>
      </c>
    </row>
    <row r="1216" spans="1:15" x14ac:dyDescent="0.2">
      <c r="A1216">
        <f>E1215</f>
        <v>175000</v>
      </c>
      <c r="E1216">
        <v>250000</v>
      </c>
      <c r="F1216">
        <f>IF(AND(F1210&gt;A1216, F1210&lt;=E1216),F1210,0)</f>
        <v>0</v>
      </c>
      <c r="G1216">
        <f>(50000/100*3)+(50000/100*8)+(75000/100*9)+((18/100)*(-A1216+F1216))</f>
        <v>-19250</v>
      </c>
      <c r="H1216">
        <f>(50000/100*2)+(50000/100*5.3)+(75000/100*6)+((12/100)*(-A1216+F1216))</f>
        <v>-12850</v>
      </c>
    </row>
    <row r="1217" spans="1:8" x14ac:dyDescent="0.2">
      <c r="A1217">
        <f>E1216</f>
        <v>250000</v>
      </c>
      <c r="E1217">
        <v>500000</v>
      </c>
      <c r="F1217">
        <f>IF(AND(F1210&gt;A1217, F1210&lt;=E1217),F1210,0)</f>
        <v>0</v>
      </c>
      <c r="G1217">
        <f>(50000/100*3)+(50000/100*8)+(75000/100*9)+(75000/100*18)+((24/100)*(-A1217+F1217))</f>
        <v>-34250</v>
      </c>
      <c r="H1217">
        <f>(50000/100*2)+(50000/100*5.3)+(75000/100*6)+(75000/100*12)+((24/100)*(-A1217+F1217))</f>
        <v>-42850</v>
      </c>
    </row>
    <row r="1218" spans="1:8" x14ac:dyDescent="0.2">
      <c r="A1218">
        <f>E1217</f>
        <v>500000</v>
      </c>
      <c r="E1218">
        <v>999999999</v>
      </c>
      <c r="F1218">
        <f>IF(AND(F1210&gt;A1218, F1210&lt;=E1218),F1210,0)</f>
        <v>0</v>
      </c>
      <c r="G1218">
        <f>(50000/100*3)+(50000/100*8)+(75000/100*9)+(75000/100*18)+(250000/100*24)+((30/100)*(-A1218+F1218))</f>
        <v>-64250</v>
      </c>
      <c r="H1218">
        <f>(50000/100*2)+(50000/100*5.3)+(75000/100*6)+(75000/100*12)+(250000/100*24)+((30/100)*(-A1218+F1218))</f>
        <v>-72850</v>
      </c>
    </row>
    <row r="1222" spans="1:8" x14ac:dyDescent="0.2">
      <c r="A1222" t="s">
        <v>4</v>
      </c>
      <c r="G1222">
        <f>VLOOKUP(F1210,F1213:G1218,2,FALSE)</f>
        <v>0</v>
      </c>
      <c r="H1222">
        <f>VLOOKUP(F1210,F1213:H1218,3,FALSE)</f>
        <v>0</v>
      </c>
    </row>
    <row r="1225" spans="1:8" x14ac:dyDescent="0.2">
      <c r="A1225" t="s">
        <v>5</v>
      </c>
      <c r="G1225" t="s">
        <v>6</v>
      </c>
    </row>
    <row r="1226" spans="1:8" x14ac:dyDescent="0.2">
      <c r="A1226">
        <v>0</v>
      </c>
      <c r="E1226">
        <v>12500</v>
      </c>
      <c r="F1226">
        <f>IF(AND(F1210&gt;A1226, F1210&lt;=E1226),F1210,0)</f>
        <v>0</v>
      </c>
      <c r="G1226">
        <f>0+(20/100)*(-A1226+F1226)</f>
        <v>0</v>
      </c>
    </row>
    <row r="1227" spans="1:8" x14ac:dyDescent="0.2">
      <c r="A1227">
        <f>E1226</f>
        <v>12500</v>
      </c>
      <c r="E1227">
        <v>25000</v>
      </c>
      <c r="F1227">
        <f>IF(AND(F1210&gt;A1227, F1210&lt;=E1227),F1210,0)</f>
        <v>0</v>
      </c>
      <c r="G1227">
        <f>(12500/100*20)+((25/100)*(-A1227+F1227))</f>
        <v>-625</v>
      </c>
    </row>
    <row r="1228" spans="1:8" x14ac:dyDescent="0.2">
      <c r="A1228">
        <f>E1227</f>
        <v>25000</v>
      </c>
      <c r="E1228">
        <v>50000</v>
      </c>
      <c r="F1228">
        <f>IF(AND(F1210&gt;A1228, F1210&lt;=E1228),F1210,0)</f>
        <v>0</v>
      </c>
      <c r="G1228">
        <f>(12500/100*20)+(12500/100*25)+((30/100)*(-A1228+F1228))</f>
        <v>-1875</v>
      </c>
    </row>
    <row r="1229" spans="1:8" x14ac:dyDescent="0.2">
      <c r="A1229">
        <f>E1228</f>
        <v>50000</v>
      </c>
      <c r="E1229">
        <v>100000</v>
      </c>
      <c r="F1229">
        <f>IF(AND(F1210&gt;A1229, F1210&lt;=E1229),F1210,0)</f>
        <v>0</v>
      </c>
      <c r="G1229">
        <f>(12500/100*20)+(12500/100*25)+(25000/100*30)+((40/100)*(-A1229+F1229))</f>
        <v>-6875</v>
      </c>
    </row>
    <row r="1230" spans="1:8" x14ac:dyDescent="0.2">
      <c r="A1230">
        <f>E1229</f>
        <v>100000</v>
      </c>
      <c r="E1230">
        <v>175000</v>
      </c>
      <c r="F1230">
        <f>IF(AND(F1210&gt;A1230, F1210&lt;=E1230),F1210,0)</f>
        <v>0</v>
      </c>
      <c r="G1230">
        <f>(12500/100*20)+(12500/100*25)+(25000/100*30)+(50000/100*40)+((55/100)*(-A1230+F1230))</f>
        <v>-21875.000000000007</v>
      </c>
    </row>
    <row r="1231" spans="1:8" x14ac:dyDescent="0.2">
      <c r="A1231">
        <v>175000</v>
      </c>
      <c r="E1231">
        <v>250000</v>
      </c>
      <c r="F1231">
        <f>IF(AND(F1210&gt;A1231, F1210&lt;=E1231),F1210,0)</f>
        <v>0</v>
      </c>
      <c r="G1231">
        <f>(12500/100*20)+(12500/100*25)+(25000/100*30)+(50000/100*40)+(75000/100*55)+((60/100)*(-A1231+F1231))</f>
        <v>-30625</v>
      </c>
    </row>
    <row r="1232" spans="1:8" x14ac:dyDescent="0.2">
      <c r="A1232">
        <f>E1231</f>
        <v>250000</v>
      </c>
      <c r="E1232">
        <v>999999999</v>
      </c>
      <c r="F1232">
        <f>IF(AND(F1210&gt;A1232, F1210&lt;=E1232),F1210,0)</f>
        <v>0</v>
      </c>
      <c r="G1232">
        <f>(12500/100*20)+(12500/100*25)+(25000/100*30)+(50000/100*40)+(75000/100*55)+(75000/100*60)+((65/100)*(-A1232+F1232))</f>
        <v>-43125</v>
      </c>
    </row>
    <row r="1233" spans="1:13" x14ac:dyDescent="0.2">
      <c r="A1233" t="s">
        <v>4</v>
      </c>
      <c r="G1233">
        <f>VLOOKUP(F1210,F1226:G1232,2,FALSE)</f>
        <v>0</v>
      </c>
    </row>
    <row r="1235" spans="1:13" x14ac:dyDescent="0.2">
      <c r="E1235">
        <f>E5</f>
        <v>0</v>
      </c>
    </row>
    <row r="1238" spans="1:13" x14ac:dyDescent="0.2">
      <c r="A1238" t="s">
        <v>22</v>
      </c>
      <c r="G1238" t="s">
        <v>7</v>
      </c>
      <c r="I1238" t="s">
        <v>23</v>
      </c>
      <c r="M1238" t="s">
        <v>8</v>
      </c>
    </row>
    <row r="1239" spans="1:13" x14ac:dyDescent="0.2">
      <c r="A1239">
        <v>0</v>
      </c>
      <c r="E1239">
        <v>50000</v>
      </c>
      <c r="F1239">
        <f>IF(AND(F1210&gt;A1239, F1210&lt;=E1239),F1210,0)</f>
        <v>0</v>
      </c>
      <c r="G1239">
        <f>0+(35/100)*(-A1239+F1239)</f>
        <v>0</v>
      </c>
      <c r="I1239">
        <v>0</v>
      </c>
      <c r="J1239">
        <v>50000</v>
      </c>
      <c r="K1239">
        <f>IF(AND(F1210&gt;I1239, F1210&lt;=J1239),F1210,0)</f>
        <v>0</v>
      </c>
      <c r="M1239">
        <f>0+(40/100)*(-I1239+K1239)</f>
        <v>0</v>
      </c>
    </row>
    <row r="1240" spans="1:13" x14ac:dyDescent="0.2">
      <c r="A1240">
        <f>E1239</f>
        <v>50000</v>
      </c>
      <c r="E1240">
        <v>100000</v>
      </c>
      <c r="F1240">
        <f>IF(AND(F1210&gt;A1240, F1210&lt;=E1240),F1210,0)</f>
        <v>0</v>
      </c>
      <c r="G1240">
        <f>(50000/100*35)+((50/100)*(-A1240+F1240))</f>
        <v>-7500</v>
      </c>
      <c r="I1240">
        <f>J1239</f>
        <v>50000</v>
      </c>
      <c r="J1240">
        <v>75000</v>
      </c>
      <c r="K1240">
        <f>IF(AND(F1210&gt;I1240, F1210&lt;=J1240),F1210,0)</f>
        <v>0</v>
      </c>
      <c r="M1240">
        <f>(50000/100*40)+((55/100)*(-I1240+K1240))</f>
        <v>-7500.0000000000036</v>
      </c>
    </row>
    <row r="1241" spans="1:13" x14ac:dyDescent="0.2">
      <c r="A1241">
        <f>E1240</f>
        <v>100000</v>
      </c>
      <c r="E1241">
        <v>175000</v>
      </c>
      <c r="F1241">
        <f>IF(AND(F1210&gt;A1241, F1210&lt;=E1241),F1210,0)</f>
        <v>0</v>
      </c>
      <c r="G1241">
        <f>(50000/100*35)+(50000/100*50)+((60/100)*(-A1241+F1241))</f>
        <v>-17500</v>
      </c>
      <c r="I1241">
        <f>J1240</f>
        <v>75000</v>
      </c>
      <c r="J1241">
        <v>175000</v>
      </c>
      <c r="K1241">
        <f>IF(AND(F1210&gt;I1241, F1210&lt;=J1241),F1210,0)</f>
        <v>0</v>
      </c>
      <c r="M1241">
        <f>(50000/100*40)+(25000/100*55)+((65/100)*(-I1241+K1241))</f>
        <v>-15000</v>
      </c>
    </row>
    <row r="1242" spans="1:13" x14ac:dyDescent="0.2">
      <c r="A1242">
        <f>E1241</f>
        <v>175000</v>
      </c>
      <c r="E1242">
        <v>999999999</v>
      </c>
      <c r="F1242">
        <f>IF(AND(F1210&gt;A1242, F1210&lt;=E1242),F1210,0)</f>
        <v>0</v>
      </c>
      <c r="G1242">
        <f>(50000/100*35)+(50000/100*50)+(75000/100*60)+((70/100)*(-A1242+F1242))</f>
        <v>-34999.999999999985</v>
      </c>
      <c r="I1242">
        <f>J1241</f>
        <v>175000</v>
      </c>
      <c r="J1242">
        <v>999999999</v>
      </c>
      <c r="K1242">
        <f>IF(AND(F1210&gt;I1242, F1210&lt;=J1242),F1210,0)</f>
        <v>0</v>
      </c>
      <c r="M1242">
        <f>(50000/100*40)+(25000/100*55)+(100000/100*65)+((80/100)*(-I1242+K1242))</f>
        <v>-41250</v>
      </c>
    </row>
    <row r="1246" spans="1:13" x14ac:dyDescent="0.2">
      <c r="A1246" t="s">
        <v>4</v>
      </c>
      <c r="G1246">
        <f>VLOOKUP(F1210,F1239:G1242,2,FALSE)</f>
        <v>0</v>
      </c>
      <c r="I1246" t="s">
        <v>4</v>
      </c>
      <c r="M1246">
        <f>VLOOKUP(F1210,K1239:M1242,2,FALSE)</f>
        <v>0</v>
      </c>
    </row>
    <row r="1248" spans="1:13" x14ac:dyDescent="0.2">
      <c r="E1248">
        <f>E71</f>
        <v>0</v>
      </c>
      <c r="J1248">
        <f>J71</f>
        <v>0</v>
      </c>
    </row>
    <row r="1250" spans="5:30" x14ac:dyDescent="0.2">
      <c r="H1250" t="s">
        <v>9</v>
      </c>
      <c r="J1250" t="s">
        <v>10</v>
      </c>
      <c r="M1250" t="s">
        <v>11</v>
      </c>
      <c r="O1250" t="s">
        <v>12</v>
      </c>
      <c r="Q1250" t="s">
        <v>13</v>
      </c>
      <c r="S1250" t="s">
        <v>14</v>
      </c>
      <c r="U1250" t="s">
        <v>15</v>
      </c>
      <c r="W1250" t="s">
        <v>16</v>
      </c>
      <c r="Y1250" t="s">
        <v>17</v>
      </c>
      <c r="AA1250" t="s">
        <v>18</v>
      </c>
      <c r="AC1250" t="s">
        <v>19</v>
      </c>
    </row>
    <row r="1251" spans="5:30" x14ac:dyDescent="0.2">
      <c r="E1251">
        <v>0</v>
      </c>
      <c r="F1251">
        <v>7500</v>
      </c>
      <c r="H1251">
        <v>2.8500000000000001E-3</v>
      </c>
      <c r="I1251">
        <f t="shared" ref="I1251:I1257" si="3">IF((IF($F1251-($E$1235-$E1251)&gt;$E1251,($E$1235-$E1251)*H1251,($F1251-$E1251)*H1251))&lt;0,0,(IF($F1251-($E$1235-$E1251)&gt;$E1251,($E$1235-$E1251)*H1251,($F1251-$E1251)*H1251)))</f>
        <v>0</v>
      </c>
      <c r="J1251">
        <v>3.9899999999999996E-3</v>
      </c>
      <c r="K1251">
        <f t="shared" ref="K1251:K1257" si="4">IF((IF($F1251-($E$1235-$E1251)&gt;$E1251,($E$1235-$E1251)*J1251,($F1251-$E1251)*J1251))&lt;0,0,(IF($F1251-($E$1235-$E1251)&gt;$E1251,($E$1235-$E1251)*J1251,($F1251-$E1251)*J1251)))</f>
        <v>0</v>
      </c>
      <c r="M1251">
        <v>5.7000000000000002E-3</v>
      </c>
      <c r="N1251">
        <f t="shared" ref="N1251:N1257" si="5">IF((IF($F1251-($E$1235-$E1251)&gt;$E1251,($E$1235-$E1251)*M1251,($F1251-$E1251)*M1251))&lt;0,0,(IF($F1251-($E$1235-$E1251)&gt;$E1251,($E$1235-$E1251)*M1251,($F1251-$E1251)*M1251)))</f>
        <v>0</v>
      </c>
      <c r="O1251">
        <v>8.5500000000000003E-3</v>
      </c>
      <c r="P1251">
        <f t="shared" ref="P1251:P1257" si="6">IF((IF($F1251-($E$1235-$E1251)&gt;$E1251,($E$1235-$E1251)*O1251,($F1251-$E1251)*O1251))&lt;0,0,(IF($F1251-($E$1235-$E1251)&gt;$E1251,($E$1235-$E1251)*O1251,($F1251-$E1251)*O1251)))</f>
        <v>0</v>
      </c>
      <c r="Q1251">
        <v>1.14E-2</v>
      </c>
      <c r="R1251">
        <f t="shared" ref="R1251:R1257" si="7">IF((IF($F1251-($E$1235-$E1251)&gt;$E1251,($E$1235-$E1251)*Q1251,($F1251-$E1251)*Q1251))&lt;0,0,(IF($F1251-($E$1235-$E1251)&gt;$E1251,($E$1235-$E1251)*Q1251,($F1251-$E1251)*Q1251)))</f>
        <v>0</v>
      </c>
      <c r="S1251">
        <v>1.4250000000000001E-2</v>
      </c>
      <c r="T1251">
        <f t="shared" ref="T1251:T1257" si="8">IF((IF($F1251-($E$1235-$E1251)&gt;$E1251,($E$1235-$E1251)*S1251,($F1251-$E1251)*S1251))&lt;0,0,(IF($F1251-($E$1235-$E1251)&gt;$E1251,($E$1235-$E1251)*S1251,($F1251-$E1251)*S1251)))</f>
        <v>0</v>
      </c>
      <c r="U1251">
        <v>1.7100000000000001E-2</v>
      </c>
      <c r="V1251">
        <f t="shared" ref="V1251:V1257" si="9">IF((IF($F1251-($E$1235-$E1251)&gt;$E1251,($E$1235-$E1251)*U1251,($F1251-$E1251)*U1251))&lt;0,0,(IF($F1251-($E$1235-$E1251)&gt;$E1251,($E$1235-$E1251)*U1251,($F1251-$E1251)*U1251)))</f>
        <v>0</v>
      </c>
      <c r="W1251">
        <v>2.8500000000000001E-2</v>
      </c>
      <c r="X1251">
        <f t="shared" ref="X1251:X1257" si="10">IF((IF($F1251-($E$1235-$E1251)&gt;$E1251,($E$1235-$E1251)*W1251,($F1251-$E1251)*W1251))&lt;0,0,(IF($F1251-($E$1235-$E1251)&gt;$E1251,($E$1235-$E1251)*W1251,($F1251-$E1251)*W1251)))</f>
        <v>0</v>
      </c>
      <c r="Y1251">
        <v>3.4200000000000001E-2</v>
      </c>
      <c r="Z1251">
        <f t="shared" ref="Z1251:Z1257" si="11">IF((IF($F1251-($E$1235-$E1251)&gt;$E1251,($E$1235-$E1251)*Y1251,($F1251-$E1251)*Y1251))&lt;0,0,(IF($F1251-($E$1235-$E1251)&gt;$E1251,($E$1235-$E1251)*Y1251,($F1251-$E1251)*Y1251)))</f>
        <v>0</v>
      </c>
      <c r="AA1251">
        <v>4.5600000000000002E-2</v>
      </c>
      <c r="AB1251">
        <f t="shared" ref="AB1251:AB1257" si="12">IF((IF($F1251-($E$1235-$E1251)&gt;$E1251,($E$1235-$E1251)*AA1251,($F1251-$E1251)*AA1251))&lt;0,0,(IF($F1251-($E$1235-$E1251)&gt;$E1251,($E$1235-$E1251)*AA1251,($F1251-$E1251)*AA1251)))</f>
        <v>0</v>
      </c>
      <c r="AC1251">
        <v>5.7000000000000002E-2</v>
      </c>
      <c r="AD1251">
        <f t="shared" ref="AD1251:AD1257" si="13">IF((IF($F1251-($E$1235-$E1251)&gt;$E1251,($E$1235-$E1251)*AC1251,($F1251-$E1251)*AC1251))&lt;0,0,(IF($F1251-($E$1235-$E1251)&gt;$E1251,($E$1235-$E1251)*AC1251,($F1251-$E1251)*AC1251)))</f>
        <v>0</v>
      </c>
    </row>
    <row r="1252" spans="5:30" x14ac:dyDescent="0.2">
      <c r="E1252">
        <v>7500</v>
      </c>
      <c r="F1252">
        <v>17500</v>
      </c>
      <c r="H1252">
        <v>2.2799999999999999E-3</v>
      </c>
      <c r="I1252">
        <f t="shared" si="3"/>
        <v>0</v>
      </c>
      <c r="J1252">
        <v>3.4199999999999999E-3</v>
      </c>
      <c r="K1252">
        <f t="shared" si="4"/>
        <v>0</v>
      </c>
      <c r="M1252">
        <v>4.5599999999999998E-3</v>
      </c>
      <c r="N1252">
        <f t="shared" si="5"/>
        <v>0</v>
      </c>
      <c r="O1252">
        <v>6.8399999999999997E-3</v>
      </c>
      <c r="P1252">
        <f t="shared" si="6"/>
        <v>0</v>
      </c>
      <c r="Q1252">
        <v>8.5500000000000003E-3</v>
      </c>
      <c r="R1252">
        <f t="shared" si="7"/>
        <v>0</v>
      </c>
      <c r="S1252">
        <v>1.14E-2</v>
      </c>
      <c r="T1252">
        <f t="shared" si="8"/>
        <v>0</v>
      </c>
      <c r="U1252">
        <v>1.3679999999999999E-2</v>
      </c>
      <c r="V1252">
        <f t="shared" si="9"/>
        <v>0</v>
      </c>
      <c r="W1252">
        <v>1.7100000000000001E-2</v>
      </c>
      <c r="X1252">
        <f t="shared" si="10"/>
        <v>0</v>
      </c>
      <c r="Y1252">
        <v>2.5649999999999999E-2</v>
      </c>
      <c r="Z1252">
        <f t="shared" si="11"/>
        <v>0</v>
      </c>
      <c r="AA1252">
        <v>2.8500000000000001E-2</v>
      </c>
      <c r="AB1252">
        <f t="shared" si="12"/>
        <v>0</v>
      </c>
      <c r="AC1252">
        <v>5.1299999999999998E-2</v>
      </c>
      <c r="AD1252">
        <f t="shared" si="13"/>
        <v>0</v>
      </c>
    </row>
    <row r="1253" spans="5:30" x14ac:dyDescent="0.2">
      <c r="E1253">
        <v>17500</v>
      </c>
      <c r="F1253">
        <v>30000</v>
      </c>
      <c r="H1253">
        <v>1.7099999999999999E-3</v>
      </c>
      <c r="I1253">
        <f t="shared" si="3"/>
        <v>0</v>
      </c>
      <c r="J1253">
        <v>2.2799999999999999E-3</v>
      </c>
      <c r="K1253">
        <f t="shared" si="4"/>
        <v>0</v>
      </c>
      <c r="M1253">
        <v>3.4199999999999999E-3</v>
      </c>
      <c r="N1253">
        <f t="shared" si="5"/>
        <v>0</v>
      </c>
      <c r="O1253">
        <v>4.5599999999999998E-3</v>
      </c>
      <c r="P1253">
        <f t="shared" si="6"/>
        <v>0</v>
      </c>
      <c r="Q1253">
        <v>5.7000000000000002E-3</v>
      </c>
      <c r="R1253">
        <f t="shared" si="7"/>
        <v>0</v>
      </c>
      <c r="S1253">
        <v>6.8399999999999997E-3</v>
      </c>
      <c r="T1253">
        <f t="shared" si="8"/>
        <v>0</v>
      </c>
      <c r="U1253">
        <v>9.1199999999999996E-3</v>
      </c>
      <c r="V1253">
        <f t="shared" si="9"/>
        <v>0</v>
      </c>
      <c r="W1253">
        <v>1.4250000000000001E-2</v>
      </c>
      <c r="X1253">
        <f t="shared" si="10"/>
        <v>0</v>
      </c>
      <c r="Y1253">
        <v>1.7100000000000001E-2</v>
      </c>
      <c r="Z1253">
        <f t="shared" si="11"/>
        <v>0</v>
      </c>
      <c r="AA1253">
        <v>2.2800000000000001E-2</v>
      </c>
      <c r="AB1253">
        <f t="shared" si="12"/>
        <v>0</v>
      </c>
      <c r="AC1253">
        <v>4.5600000000000002E-2</v>
      </c>
      <c r="AD1253">
        <f t="shared" si="13"/>
        <v>0</v>
      </c>
    </row>
    <row r="1254" spans="5:30" x14ac:dyDescent="0.2">
      <c r="E1254">
        <v>30000</v>
      </c>
      <c r="F1254">
        <v>45495</v>
      </c>
      <c r="H1254">
        <v>1.14E-3</v>
      </c>
      <c r="I1254">
        <f t="shared" si="3"/>
        <v>0</v>
      </c>
      <c r="J1254">
        <v>1.7099999999999999E-3</v>
      </c>
      <c r="K1254">
        <f t="shared" si="4"/>
        <v>0</v>
      </c>
      <c r="M1254">
        <v>2.2799999999999999E-3</v>
      </c>
      <c r="N1254">
        <f t="shared" si="5"/>
        <v>0</v>
      </c>
      <c r="O1254">
        <v>3.4199999999999999E-3</v>
      </c>
      <c r="P1254">
        <f t="shared" si="6"/>
        <v>0</v>
      </c>
      <c r="Q1254">
        <v>4.5599999999999998E-3</v>
      </c>
      <c r="R1254">
        <f t="shared" si="7"/>
        <v>0</v>
      </c>
      <c r="S1254">
        <v>5.7000000000000002E-3</v>
      </c>
      <c r="T1254">
        <f t="shared" si="8"/>
        <v>0</v>
      </c>
      <c r="U1254">
        <v>6.8399999999999997E-3</v>
      </c>
      <c r="V1254">
        <f t="shared" si="9"/>
        <v>0</v>
      </c>
      <c r="W1254">
        <v>1.14E-2</v>
      </c>
      <c r="X1254">
        <f t="shared" si="10"/>
        <v>0</v>
      </c>
      <c r="Y1254">
        <v>1.14E-2</v>
      </c>
      <c r="Z1254">
        <f t="shared" si="11"/>
        <v>0</v>
      </c>
      <c r="AA1254">
        <v>1.7100000000000001E-2</v>
      </c>
      <c r="AB1254">
        <f t="shared" si="12"/>
        <v>0</v>
      </c>
      <c r="AC1254">
        <v>3.9899999999999998E-2</v>
      </c>
      <c r="AD1254">
        <f t="shared" si="13"/>
        <v>0</v>
      </c>
    </row>
    <row r="1255" spans="5:30" x14ac:dyDescent="0.2">
      <c r="E1255">
        <v>45495</v>
      </c>
      <c r="F1255">
        <v>64095</v>
      </c>
      <c r="H1255">
        <v>5.6999999999999998E-4</v>
      </c>
      <c r="I1255">
        <f t="shared" si="3"/>
        <v>0</v>
      </c>
      <c r="J1255">
        <v>1.14E-3</v>
      </c>
      <c r="K1255">
        <f t="shared" si="4"/>
        <v>0</v>
      </c>
      <c r="M1255">
        <v>1.14E-3</v>
      </c>
      <c r="N1255">
        <f t="shared" si="5"/>
        <v>0</v>
      </c>
      <c r="O1255">
        <v>2.2799999999999999E-3</v>
      </c>
      <c r="P1255">
        <f t="shared" si="6"/>
        <v>0</v>
      </c>
      <c r="Q1255">
        <v>2.8500000000000001E-3</v>
      </c>
      <c r="R1255">
        <f t="shared" si="7"/>
        <v>0</v>
      </c>
      <c r="S1255">
        <v>4.5599999999999998E-3</v>
      </c>
      <c r="T1255">
        <f t="shared" si="8"/>
        <v>0</v>
      </c>
      <c r="U1255">
        <v>4.5599999999999998E-3</v>
      </c>
      <c r="V1255">
        <f t="shared" si="9"/>
        <v>0</v>
      </c>
      <c r="W1255">
        <v>8.5500000000000003E-3</v>
      </c>
      <c r="X1255">
        <f t="shared" si="10"/>
        <v>0</v>
      </c>
      <c r="Y1255">
        <v>8.5500000000000003E-3</v>
      </c>
      <c r="Z1255">
        <f t="shared" si="11"/>
        <v>0</v>
      </c>
      <c r="AA1255">
        <v>1.14E-2</v>
      </c>
      <c r="AB1255">
        <f t="shared" si="12"/>
        <v>0</v>
      </c>
      <c r="AC1255">
        <v>2.8500000000000001E-2</v>
      </c>
      <c r="AD1255">
        <f t="shared" si="13"/>
        <v>0</v>
      </c>
    </row>
    <row r="1256" spans="5:30" x14ac:dyDescent="0.2">
      <c r="E1256">
        <v>64095</v>
      </c>
      <c r="F1256">
        <v>250095</v>
      </c>
      <c r="H1256">
        <v>2.2800000000000001E-4</v>
      </c>
      <c r="I1256">
        <f t="shared" si="3"/>
        <v>0</v>
      </c>
      <c r="J1256">
        <v>5.6999999999999998E-4</v>
      </c>
      <c r="K1256">
        <f t="shared" si="4"/>
        <v>0</v>
      </c>
      <c r="M1256">
        <v>5.6999999999999998E-4</v>
      </c>
      <c r="N1256">
        <f t="shared" si="5"/>
        <v>0</v>
      </c>
      <c r="O1256">
        <v>1.14E-3</v>
      </c>
      <c r="P1256">
        <f t="shared" si="6"/>
        <v>0</v>
      </c>
      <c r="Q1256">
        <v>1.14E-3</v>
      </c>
      <c r="R1256">
        <f t="shared" si="7"/>
        <v>0</v>
      </c>
      <c r="S1256">
        <v>2.2799999999999999E-3</v>
      </c>
      <c r="T1256">
        <f t="shared" si="8"/>
        <v>0</v>
      </c>
      <c r="U1256">
        <v>2.2799999999999999E-3</v>
      </c>
      <c r="V1256">
        <f t="shared" si="9"/>
        <v>0</v>
      </c>
      <c r="W1256">
        <v>5.7000000000000002E-3</v>
      </c>
      <c r="X1256">
        <f t="shared" si="10"/>
        <v>0</v>
      </c>
      <c r="Y1256">
        <v>5.7000000000000002E-3</v>
      </c>
      <c r="Z1256">
        <f t="shared" si="11"/>
        <v>0</v>
      </c>
      <c r="AA1256">
        <v>5.7000000000000002E-3</v>
      </c>
      <c r="AB1256">
        <f t="shared" si="12"/>
        <v>0</v>
      </c>
      <c r="AC1256">
        <v>1.3679999999999999E-2</v>
      </c>
      <c r="AD1256">
        <f t="shared" si="13"/>
        <v>0</v>
      </c>
    </row>
    <row r="1257" spans="5:30" x14ac:dyDescent="0.2">
      <c r="E1257">
        <v>250095</v>
      </c>
      <c r="F1257">
        <v>999999999999</v>
      </c>
      <c r="H1257">
        <v>1.1400000000000001E-4</v>
      </c>
      <c r="I1257">
        <f t="shared" si="3"/>
        <v>0</v>
      </c>
      <c r="J1257">
        <v>2.2800000000000001E-4</v>
      </c>
      <c r="K1257">
        <f t="shared" si="4"/>
        <v>0</v>
      </c>
      <c r="M1257">
        <v>2.2800000000000001E-4</v>
      </c>
      <c r="N1257">
        <f t="shared" si="5"/>
        <v>0</v>
      </c>
      <c r="O1257">
        <v>3.4200000000000002E-4</v>
      </c>
      <c r="P1257">
        <f t="shared" si="6"/>
        <v>0</v>
      </c>
      <c r="Q1257">
        <v>3.4200000000000002E-4</v>
      </c>
      <c r="R1257">
        <f t="shared" si="7"/>
        <v>0</v>
      </c>
      <c r="S1257">
        <v>4.5600000000000003E-4</v>
      </c>
      <c r="T1257">
        <f t="shared" si="8"/>
        <v>0</v>
      </c>
      <c r="U1257">
        <v>4.5600000000000003E-4</v>
      </c>
      <c r="V1257">
        <f t="shared" si="9"/>
        <v>0</v>
      </c>
      <c r="W1257">
        <v>5.6999999999999998E-4</v>
      </c>
      <c r="X1257">
        <f t="shared" si="10"/>
        <v>0</v>
      </c>
      <c r="Y1257">
        <v>5.6999999999999998E-4</v>
      </c>
      <c r="Z1257">
        <f t="shared" si="11"/>
        <v>0</v>
      </c>
      <c r="AA1257">
        <v>5.6999999999999998E-4</v>
      </c>
      <c r="AB1257">
        <f t="shared" si="12"/>
        <v>0</v>
      </c>
      <c r="AC1257">
        <v>1.14E-3</v>
      </c>
      <c r="AD1257">
        <f t="shared" si="13"/>
        <v>0</v>
      </c>
    </row>
    <row r="1260" spans="5:30" x14ac:dyDescent="0.2">
      <c r="I1260">
        <f>SUM(I1251:I1257)</f>
        <v>0</v>
      </c>
      <c r="K1260">
        <f>SUM(K1251:K1257)</f>
        <v>0</v>
      </c>
      <c r="N1260">
        <f>SUM(N1251:N1257)</f>
        <v>0</v>
      </c>
      <c r="P1260">
        <f>SUM(P1251:P1257)</f>
        <v>0</v>
      </c>
      <c r="R1260">
        <f>SUM(R1251:R1257)</f>
        <v>0</v>
      </c>
      <c r="T1260">
        <f>SUM(T1251:T1257)</f>
        <v>0</v>
      </c>
      <c r="V1260">
        <f>SUM(V1251:V1257)</f>
        <v>0</v>
      </c>
      <c r="X1260">
        <f>SUM(X1251:X1257)</f>
        <v>0</v>
      </c>
      <c r="Z1260">
        <f>SUM(Z1251:Z1257)</f>
        <v>0</v>
      </c>
      <c r="AB1260">
        <f>SUM(AB1251:AB1257)</f>
        <v>0</v>
      </c>
      <c r="AD1260">
        <f>SUM(AD1251:AD1257)</f>
        <v>0</v>
      </c>
    </row>
    <row r="1262" spans="5:30" x14ac:dyDescent="0.2">
      <c r="H1262" t="s">
        <v>20</v>
      </c>
      <c r="J1262" t="s">
        <v>21</v>
      </c>
    </row>
    <row r="1263" spans="5:30" x14ac:dyDescent="0.2">
      <c r="E1263">
        <v>0</v>
      </c>
      <c r="F1263">
        <v>37000</v>
      </c>
      <c r="H1263">
        <v>5.7000000000000002E-3</v>
      </c>
      <c r="I1263">
        <f t="shared" ref="I1263:I1269" si="14">IF((IF($F1263-($E$1235-$E1263)&gt;$E1263,($E$1235-$E1263)*H1263,($F1263-$E1263)*H1263))&lt;0,0,(IF($F1263-($E$1235-$E1263)&gt;$E1263,($E$1235-$E1263)*H1263,($F1263-$E1263)*H1263)))</f>
        <v>0</v>
      </c>
      <c r="J1263">
        <v>8.5500000000000003E-3</v>
      </c>
      <c r="K1263">
        <f t="shared" ref="K1263:K1269" si="15">IF((IF($F1263-($E$1235-$E1263)&gt;$E1263,($E$1235-$E1263)*J1263,($F1263-$E1263)*J1263))&lt;0,0,(IF($F1263-($E$1235-$E1263)&gt;$E1263,($E$1235-$E1263)*J1263,($F1263-$E1263)*J1263)))</f>
        <v>0</v>
      </c>
    </row>
    <row r="1264" spans="5:30" x14ac:dyDescent="0.2">
      <c r="E1264">
        <v>37000</v>
      </c>
      <c r="F1264">
        <v>99000</v>
      </c>
      <c r="H1264">
        <v>3.9899999999999996E-3</v>
      </c>
      <c r="I1264">
        <f t="shared" si="14"/>
        <v>0</v>
      </c>
      <c r="J1264">
        <v>5.7000000000000002E-3</v>
      </c>
      <c r="K1264">
        <f t="shared" si="15"/>
        <v>0</v>
      </c>
    </row>
    <row r="1265" spans="5:11" x14ac:dyDescent="0.2">
      <c r="E1265">
        <v>99000</v>
      </c>
      <c r="F1265">
        <v>224000</v>
      </c>
      <c r="H1265">
        <v>2.8500000000000001E-3</v>
      </c>
      <c r="I1265">
        <f t="shared" si="14"/>
        <v>0</v>
      </c>
      <c r="J1265">
        <v>3.9899999999999996E-3</v>
      </c>
      <c r="K1265">
        <f t="shared" si="15"/>
        <v>0</v>
      </c>
    </row>
    <row r="1266" spans="5:11" x14ac:dyDescent="0.2">
      <c r="E1266">
        <v>224000</v>
      </c>
      <c r="F1266">
        <v>534000</v>
      </c>
      <c r="H1266">
        <v>1.7099999999999999E-3</v>
      </c>
      <c r="I1266">
        <f t="shared" si="14"/>
        <v>0</v>
      </c>
      <c r="J1266">
        <v>2.2799999999999999E-3</v>
      </c>
      <c r="K1266">
        <f t="shared" si="15"/>
        <v>0</v>
      </c>
    </row>
    <row r="1267" spans="5:11" x14ac:dyDescent="0.2">
      <c r="E1267">
        <v>534000</v>
      </c>
      <c r="F1267">
        <v>1784000</v>
      </c>
      <c r="H1267">
        <v>5.6999999999999998E-4</v>
      </c>
      <c r="I1267">
        <f t="shared" si="14"/>
        <v>0</v>
      </c>
      <c r="J1267">
        <v>1.14E-3</v>
      </c>
      <c r="K1267">
        <f t="shared" si="15"/>
        <v>0</v>
      </c>
    </row>
    <row r="1268" spans="5:11" x14ac:dyDescent="0.2">
      <c r="E1268">
        <v>1784000</v>
      </c>
      <c r="F1268">
        <v>3333500</v>
      </c>
      <c r="H1268">
        <v>2.2800000000000001E-4</v>
      </c>
      <c r="I1268">
        <f t="shared" si="14"/>
        <v>0</v>
      </c>
      <c r="J1268">
        <v>4.5600000000000003E-4</v>
      </c>
      <c r="K1268">
        <f t="shared" si="15"/>
        <v>0</v>
      </c>
    </row>
    <row r="1269" spans="5:11" x14ac:dyDescent="0.2">
      <c r="E1269">
        <v>3333500</v>
      </c>
      <c r="F1269">
        <v>999999999999</v>
      </c>
      <c r="H1269">
        <v>1.1400000000000001E-4</v>
      </c>
      <c r="I1269">
        <f t="shared" si="14"/>
        <v>0</v>
      </c>
      <c r="J1269">
        <v>2.2800000000000001E-4</v>
      </c>
      <c r="K1269">
        <f t="shared" si="15"/>
        <v>0</v>
      </c>
    </row>
    <row r="1270" spans="5:11" x14ac:dyDescent="0.2">
      <c r="I1270">
        <f>SUM(I1263:I1269)</f>
        <v>0</v>
      </c>
      <c r="K1270">
        <f>SUM(K1263:K1269)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70:O1142"/>
  <sheetViews>
    <sheetView topLeftCell="A301" workbookViewId="0">
      <selection activeCell="E619" sqref="E619"/>
    </sheetView>
  </sheetViews>
  <sheetFormatPr defaultRowHeight="12.75" x14ac:dyDescent="0.2"/>
  <cols>
    <col min="5" max="5" width="12.7109375" customWidth="1"/>
    <col min="8" max="8" width="10.7109375" bestFit="1" customWidth="1"/>
  </cols>
  <sheetData>
    <row r="270" spans="1:14" s="5" customFormat="1" x14ac:dyDescent="0.2">
      <c r="A270" s="86"/>
      <c r="B270" s="86"/>
      <c r="C270" s="86"/>
      <c r="D270" s="86"/>
      <c r="E270" s="86"/>
      <c r="F270" s="122">
        <f>E245+H267</f>
        <v>0</v>
      </c>
      <c r="G270" s="86"/>
      <c r="H270" s="146">
        <f>DONBIW!G24</f>
        <v>0</v>
      </c>
      <c r="I270" s="86"/>
      <c r="J270" s="86"/>
      <c r="K270" s="86"/>
      <c r="L270" s="86"/>
      <c r="M270" s="122">
        <f>E245+H267</f>
        <v>0</v>
      </c>
      <c r="N270" s="86"/>
    </row>
    <row r="271" spans="1:14" s="5" customFormat="1" x14ac:dyDescent="0.2">
      <c r="A271" s="88"/>
      <c r="B271" s="88"/>
      <c r="C271" s="88"/>
      <c r="D271" s="88"/>
      <c r="E271" s="88"/>
      <c r="F271" s="28"/>
      <c r="G271" s="88"/>
      <c r="H271" s="88"/>
      <c r="I271" s="88"/>
      <c r="J271" s="88"/>
      <c r="K271" s="88"/>
      <c r="L271" s="88"/>
      <c r="M271" s="28"/>
      <c r="N271" s="88"/>
    </row>
    <row r="272" spans="1:14" s="5" customFormat="1" x14ac:dyDescent="0.2">
      <c r="A272" s="88"/>
      <c r="B272" s="88"/>
      <c r="C272" s="88"/>
      <c r="D272" s="88"/>
      <c r="E272" s="88"/>
      <c r="F272" s="28"/>
      <c r="G272" s="88"/>
      <c r="H272" s="88"/>
      <c r="I272" s="88"/>
      <c r="J272" s="88"/>
      <c r="K272" s="88"/>
      <c r="L272" s="88"/>
      <c r="M272" s="28"/>
      <c r="N272" s="88"/>
    </row>
    <row r="273" spans="1:9" s="5" customFormat="1" x14ac:dyDescent="0.2">
      <c r="F273" s="18"/>
    </row>
    <row r="274" spans="1:9" s="5" customFormat="1" x14ac:dyDescent="0.2">
      <c r="A274" s="147" t="s">
        <v>2</v>
      </c>
      <c r="B274" s="43"/>
      <c r="C274" s="43"/>
      <c r="D274" s="43"/>
      <c r="E274" s="31"/>
      <c r="F274" s="32"/>
      <c r="G274" s="31"/>
      <c r="H274" s="31"/>
      <c r="I274" s="44" t="s">
        <v>3</v>
      </c>
    </row>
    <row r="275" spans="1:9" s="5" customFormat="1" x14ac:dyDescent="0.2">
      <c r="A275" s="31">
        <v>0</v>
      </c>
      <c r="B275" s="31"/>
      <c r="C275" s="31"/>
      <c r="D275" s="31"/>
      <c r="E275" s="31">
        <v>12500</v>
      </c>
      <c r="F275" s="32"/>
      <c r="G275" s="31"/>
      <c r="H275" s="31">
        <f>IF(AND(H270&gt;A275,H270&lt;=E275),H270,0)</f>
        <v>0</v>
      </c>
      <c r="I275" s="31">
        <f>0+(3/100)*(-A275+H275)</f>
        <v>0</v>
      </c>
    </row>
    <row r="276" spans="1:9" s="5" customFormat="1" x14ac:dyDescent="0.2">
      <c r="A276" s="31">
        <f t="shared" ref="A276:A283" si="0">E275</f>
        <v>12500</v>
      </c>
      <c r="B276" s="31"/>
      <c r="C276" s="31"/>
      <c r="D276" s="31"/>
      <c r="E276" s="31">
        <v>25000</v>
      </c>
      <c r="F276" s="32"/>
      <c r="G276" s="31"/>
      <c r="H276" s="31">
        <f>IF(AND(H270&gt;A276, H270&lt;=E276),H270,0)</f>
        <v>0</v>
      </c>
      <c r="I276" s="31">
        <f>(12500/100*3)+(4/100)*(-A276+H276)</f>
        <v>-125</v>
      </c>
    </row>
    <row r="277" spans="1:9" s="5" customFormat="1" x14ac:dyDescent="0.2">
      <c r="A277" s="31">
        <f t="shared" si="0"/>
        <v>25000</v>
      </c>
      <c r="B277" s="31"/>
      <c r="C277" s="31"/>
      <c r="D277" s="31"/>
      <c r="E277" s="31">
        <v>50000</v>
      </c>
      <c r="F277" s="32"/>
      <c r="G277" s="31"/>
      <c r="H277" s="31">
        <f>IF(AND(H270&gt;A277, H270&lt;=E277),H270,0)</f>
        <v>0</v>
      </c>
      <c r="I277" s="31">
        <f>(12500/100*3)+(12500/100*4)+((5/100)*(-A277+H277))</f>
        <v>-375</v>
      </c>
    </row>
    <row r="278" spans="1:9" s="5" customFormat="1" x14ac:dyDescent="0.2">
      <c r="A278" s="31">
        <f t="shared" si="0"/>
        <v>50000</v>
      </c>
      <c r="B278" s="31"/>
      <c r="C278" s="31"/>
      <c r="D278" s="31"/>
      <c r="E278" s="31">
        <v>100000</v>
      </c>
      <c r="F278" s="32"/>
      <c r="G278" s="31"/>
      <c r="H278" s="31">
        <f>IF(AND(H270&gt;A278, H270&lt;=E278),H270,0)</f>
        <v>0</v>
      </c>
      <c r="I278" s="31">
        <f>(12500/100*3)+(12500/100*4)+(25000/100*5)+((7/100)*(-A278+H278))</f>
        <v>-1375.0000000000005</v>
      </c>
    </row>
    <row r="279" spans="1:9" s="5" customFormat="1" x14ac:dyDescent="0.2">
      <c r="A279" s="31">
        <f t="shared" si="0"/>
        <v>100000</v>
      </c>
      <c r="B279" s="31"/>
      <c r="C279" s="31"/>
      <c r="D279" s="31"/>
      <c r="E279" s="31">
        <v>150000</v>
      </c>
      <c r="F279" s="32"/>
      <c r="G279" s="31"/>
      <c r="H279" s="31">
        <f>IF(AND(H270&gt;A279, H270&lt;=E279),H270,0)</f>
        <v>0</v>
      </c>
      <c r="I279" s="31">
        <f>(12500/100*3)+(12500/100*4)+(25000/100*5)+(50000/100*7)+((10/100)*(-A279+H279))</f>
        <v>-4375</v>
      </c>
    </row>
    <row r="280" spans="1:9" s="5" customFormat="1" x14ac:dyDescent="0.2">
      <c r="A280" s="31">
        <f t="shared" si="0"/>
        <v>150000</v>
      </c>
      <c r="B280" s="31"/>
      <c r="C280" s="31"/>
      <c r="D280" s="31"/>
      <c r="E280" s="31">
        <v>200000</v>
      </c>
      <c r="F280" s="32"/>
      <c r="G280" s="31"/>
      <c r="H280" s="31">
        <f>IF(AND(H270&gt;A280, H270&lt;=E280),H270,0)</f>
        <v>0</v>
      </c>
      <c r="I280" s="31">
        <f>(12500/100*3)+(12500/100*4)+(25000/100*5)+(50000/100*7)+(50000/100*10)+((14/100)*(-A280+H280))</f>
        <v>-10375.000000000004</v>
      </c>
    </row>
    <row r="281" spans="1:9" s="5" customFormat="1" x14ac:dyDescent="0.2">
      <c r="A281" s="31">
        <f t="shared" si="0"/>
        <v>200000</v>
      </c>
      <c r="B281" s="31"/>
      <c r="C281" s="31"/>
      <c r="D281" s="31"/>
      <c r="E281" s="31">
        <v>250000</v>
      </c>
      <c r="F281" s="32"/>
      <c r="G281" s="31"/>
      <c r="H281" s="31">
        <f>IF(AND(H270&gt;A281, H270&lt;=E281),H270,0)</f>
        <v>0</v>
      </c>
      <c r="I281" s="31">
        <f>(12500/100*3)+(12500/100*4)+(25000/100*5)+(50000/100*7)+(50000/100*10)+(50000/100*14)+((18/100)*(-A281+H281))</f>
        <v>-18375</v>
      </c>
    </row>
    <row r="282" spans="1:9" s="5" customFormat="1" x14ac:dyDescent="0.2">
      <c r="A282" s="31">
        <f t="shared" si="0"/>
        <v>250000</v>
      </c>
      <c r="B282" s="31"/>
      <c r="C282" s="31"/>
      <c r="D282" s="31"/>
      <c r="E282" s="31">
        <v>500000</v>
      </c>
      <c r="F282" s="32"/>
      <c r="G282" s="31"/>
      <c r="H282" s="31">
        <f>IF(AND(H270&gt;A282, H270&lt;=E282),H270,0)</f>
        <v>0</v>
      </c>
      <c r="I282" s="31">
        <f>(12500/100*3)+(12500/100*4)+(25000/100*5)+(50000/100*7)+(50000/100*10)+(50000/100*14)+(50000/100*18)+((24/100)*(-A282+H282))</f>
        <v>-33375</v>
      </c>
    </row>
    <row r="283" spans="1:9" s="5" customFormat="1" x14ac:dyDescent="0.2">
      <c r="A283" s="31">
        <f t="shared" si="0"/>
        <v>500000</v>
      </c>
      <c r="B283" s="31"/>
      <c r="C283" s="31"/>
      <c r="D283" s="31"/>
      <c r="E283" s="31">
        <v>999999999</v>
      </c>
      <c r="F283" s="32"/>
      <c r="G283" s="31"/>
      <c r="H283" s="31">
        <f>IF(AND(H270&gt;A283, H270&lt;=E283),H270,0)</f>
        <v>0</v>
      </c>
      <c r="I283" s="31">
        <f>(12500/100*3)+(12500/100*4)+(25000/100*5)+(50000/100*7)+(50000/100*10)+(50000/100*14)+(50000/100*18)+(250000/100*24)+((30/100)*(-A283+H283))</f>
        <v>-63375</v>
      </c>
    </row>
    <row r="284" spans="1:9" s="5" customFormat="1" x14ac:dyDescent="0.2">
      <c r="A284" s="45" t="s">
        <v>4</v>
      </c>
      <c r="B284" s="45"/>
      <c r="C284" s="45"/>
      <c r="D284" s="45"/>
      <c r="E284" s="31"/>
      <c r="F284" s="32"/>
      <c r="G284" s="31"/>
      <c r="H284" s="31"/>
      <c r="I284" s="31">
        <f>VLOOKUP(H270,H275:I283,2,FALSE)</f>
        <v>0</v>
      </c>
    </row>
    <row r="285" spans="1:9" s="5" customFormat="1" x14ac:dyDescent="0.2">
      <c r="A285" s="45"/>
      <c r="B285" s="45"/>
      <c r="C285" s="45"/>
      <c r="D285" s="45"/>
      <c r="E285" s="31"/>
      <c r="F285" s="32"/>
      <c r="G285" s="31"/>
      <c r="H285" s="31"/>
      <c r="I285" s="31"/>
    </row>
    <row r="286" spans="1:9" s="5" customFormat="1" x14ac:dyDescent="0.2">
      <c r="A286" s="46" t="s">
        <v>24</v>
      </c>
      <c r="B286" s="46"/>
      <c r="C286" s="46"/>
      <c r="D286" s="46"/>
      <c r="E286" s="31"/>
      <c r="F286" s="32"/>
      <c r="G286" s="31"/>
      <c r="H286" s="31"/>
      <c r="I286" s="44" t="s">
        <v>25</v>
      </c>
    </row>
    <row r="287" spans="1:9" s="5" customFormat="1" x14ac:dyDescent="0.2">
      <c r="A287" s="31">
        <v>0</v>
      </c>
      <c r="B287" s="31"/>
      <c r="C287" s="31"/>
      <c r="D287" s="31"/>
      <c r="E287" s="31">
        <v>25000</v>
      </c>
      <c r="F287" s="32"/>
      <c r="G287" s="31"/>
      <c r="H287" s="31">
        <f>IF(AND(H270&gt;A287, H270&lt;=E287),H270,0)</f>
        <v>0</v>
      </c>
      <c r="I287" s="31">
        <f>0+(1/100)*(-A287+H287)</f>
        <v>0</v>
      </c>
    </row>
    <row r="288" spans="1:9" s="5" customFormat="1" x14ac:dyDescent="0.2">
      <c r="A288" s="31">
        <f>E287</f>
        <v>25000</v>
      </c>
      <c r="B288" s="31"/>
      <c r="C288" s="31"/>
      <c r="D288" s="31"/>
      <c r="E288" s="31">
        <v>50000</v>
      </c>
      <c r="F288" s="32"/>
      <c r="G288" s="31"/>
      <c r="H288" s="31">
        <f>IF(AND(H270&gt;A288, H270&lt;=E288),H270,0)</f>
        <v>0</v>
      </c>
      <c r="I288" s="31">
        <f>(25000/100*1)+(2/100)*(-A288+H288)</f>
        <v>-250</v>
      </c>
    </row>
    <row r="289" spans="1:15" s="5" customFormat="1" x14ac:dyDescent="0.2">
      <c r="A289" s="31">
        <f>E288</f>
        <v>50000</v>
      </c>
      <c r="B289" s="31"/>
      <c r="C289" s="31"/>
      <c r="D289" s="31"/>
      <c r="E289" s="31">
        <v>175000</v>
      </c>
      <c r="F289" s="32"/>
      <c r="G289" s="31"/>
      <c r="H289" s="31">
        <f>IF(AND(H270&gt;A289, H270&lt;=E289),H270,0)</f>
        <v>0</v>
      </c>
      <c r="I289" s="31">
        <f>(25000/100*1)+(25000/100*2)+((5/100)*(-A289+H289))</f>
        <v>-1750</v>
      </c>
    </row>
    <row r="290" spans="1:15" s="5" customFormat="1" x14ac:dyDescent="0.2">
      <c r="A290" s="31">
        <f>E289</f>
        <v>175000</v>
      </c>
      <c r="B290" s="31"/>
      <c r="C290" s="31"/>
      <c r="D290" s="31"/>
      <c r="E290" s="31">
        <v>250000</v>
      </c>
      <c r="F290" s="32"/>
      <c r="G290" s="31"/>
      <c r="H290" s="31">
        <f>IF(AND(H270&gt;A290, H270&lt;=E290),H270,0)</f>
        <v>0</v>
      </c>
      <c r="I290" s="31">
        <f>(25000/100*1)+(25000/100*2)+(125000/100*5)+((12/100)*(-A290+H290))</f>
        <v>-14000</v>
      </c>
    </row>
    <row r="291" spans="1:15" s="5" customFormat="1" x14ac:dyDescent="0.2">
      <c r="A291" s="31">
        <f>E290</f>
        <v>250000</v>
      </c>
      <c r="B291" s="31"/>
      <c r="C291" s="31"/>
      <c r="D291" s="31"/>
      <c r="E291" s="31">
        <v>500000</v>
      </c>
      <c r="F291" s="32"/>
      <c r="G291" s="31"/>
      <c r="H291" s="31">
        <f>IF(AND(H270&gt;A291, H270&lt;=E291),H270,0)</f>
        <v>0</v>
      </c>
      <c r="I291" s="31">
        <f>(25000/100*1)+(25000/100*2)+(125000/100*5)+(75000/100*12)+((24/100)*(-A291+H291))</f>
        <v>-44000</v>
      </c>
    </row>
    <row r="292" spans="1:15" s="5" customFormat="1" x14ac:dyDescent="0.2">
      <c r="A292" s="31">
        <f>E291</f>
        <v>500000</v>
      </c>
      <c r="B292" s="31"/>
      <c r="C292" s="31"/>
      <c r="D292" s="31"/>
      <c r="E292" s="31">
        <v>999999999</v>
      </c>
      <c r="F292" s="32"/>
      <c r="G292" s="31"/>
      <c r="H292" s="31">
        <f>IF(AND(H270&gt;A292, H270&lt;=E292),H270,0)</f>
        <v>0</v>
      </c>
      <c r="I292" s="31">
        <f>(25000/100*1)+(25000/100*2)+(125000/100*5)+(75000/100*12)+(250000/100*24)+((30/100)*(-A292+H292))</f>
        <v>-74000</v>
      </c>
    </row>
    <row r="293" spans="1:15" s="5" customFormat="1" x14ac:dyDescent="0.2">
      <c r="A293" s="45" t="s">
        <v>4</v>
      </c>
      <c r="B293" s="45"/>
      <c r="C293" s="45"/>
      <c r="D293" s="45"/>
      <c r="E293" s="31"/>
      <c r="F293" s="32"/>
      <c r="G293" s="31"/>
      <c r="H293" s="31"/>
      <c r="I293" s="31">
        <f>VLOOKUP(H270,H287:I292,2,FALSE)</f>
        <v>0</v>
      </c>
    </row>
    <row r="294" spans="1:15" s="5" customFormat="1" x14ac:dyDescent="0.2">
      <c r="A294" s="45"/>
      <c r="B294" s="45"/>
      <c r="C294" s="45"/>
      <c r="D294" s="45"/>
      <c r="E294" s="31"/>
      <c r="F294" s="32"/>
      <c r="G294" s="31"/>
      <c r="H294" s="31"/>
      <c r="I294" s="31"/>
    </row>
    <row r="295" spans="1:15" s="5" customFormat="1" x14ac:dyDescent="0.2">
      <c r="A295" s="43" t="s">
        <v>5</v>
      </c>
      <c r="B295" s="43"/>
      <c r="C295" s="43"/>
      <c r="D295" s="43"/>
      <c r="E295" s="31"/>
      <c r="F295" s="32"/>
      <c r="G295" s="31"/>
      <c r="H295" s="31"/>
      <c r="I295" s="44" t="s">
        <v>6</v>
      </c>
    </row>
    <row r="296" spans="1:15" s="5" customFormat="1" x14ac:dyDescent="0.2">
      <c r="A296" s="31">
        <v>0</v>
      </c>
      <c r="B296" s="31"/>
      <c r="C296" s="31"/>
      <c r="D296" s="31"/>
      <c r="E296" s="31">
        <v>12500</v>
      </c>
      <c r="F296" s="32"/>
      <c r="G296" s="31"/>
      <c r="H296" s="31">
        <f>IF(AND(H270&gt;A296, H270&lt;=E296),H270,0)</f>
        <v>0</v>
      </c>
      <c r="I296" s="31">
        <f>0+(20/100)*(-A296+H296)</f>
        <v>0</v>
      </c>
    </row>
    <row r="297" spans="1:15" s="5" customFormat="1" x14ac:dyDescent="0.2">
      <c r="A297" s="31">
        <f>E296</f>
        <v>12500</v>
      </c>
      <c r="B297" s="31"/>
      <c r="C297" s="31"/>
      <c r="D297" s="31"/>
      <c r="E297" s="31">
        <v>25000</v>
      </c>
      <c r="F297" s="32"/>
      <c r="G297" s="31"/>
      <c r="H297" s="31">
        <f>IF(AND(H270&gt;A297, H270&lt;=E297),H270,0)</f>
        <v>0</v>
      </c>
      <c r="I297" s="31">
        <f>(12500/100*20)+((25/100)*(-A297+H297))</f>
        <v>-625</v>
      </c>
    </row>
    <row r="298" spans="1:15" s="5" customFormat="1" x14ac:dyDescent="0.2">
      <c r="A298" s="31">
        <f>E297</f>
        <v>25000</v>
      </c>
      <c r="B298" s="31"/>
      <c r="C298" s="31"/>
      <c r="D298" s="31"/>
      <c r="E298" s="31">
        <v>75000</v>
      </c>
      <c r="F298" s="32"/>
      <c r="G298" s="31"/>
      <c r="H298" s="31">
        <f>IF(AND(H270&gt;A298, H270&lt;=E298),H270,0)</f>
        <v>0</v>
      </c>
      <c r="I298" s="31">
        <f>(12500/100*20)+(12500/100*25)+((35/100)*(-A298+H298))</f>
        <v>-3125</v>
      </c>
    </row>
    <row r="299" spans="1:15" s="5" customFormat="1" x14ac:dyDescent="0.2">
      <c r="A299" s="31">
        <f>E298</f>
        <v>75000</v>
      </c>
      <c r="B299" s="31"/>
      <c r="C299" s="31"/>
      <c r="D299" s="31"/>
      <c r="E299" s="31">
        <v>175000</v>
      </c>
      <c r="F299" s="32"/>
      <c r="G299" s="31"/>
      <c r="H299" s="31">
        <f>IF(AND(H270&gt;A299, H270&lt;=E299),H270,0)</f>
        <v>0</v>
      </c>
      <c r="I299" s="31">
        <f>(12500/100*20)+(12500/100*25)+(50000/100*35)+((50/100)*(-A299+H299))</f>
        <v>-14375</v>
      </c>
    </row>
    <row r="300" spans="1:15" s="5" customFormat="1" x14ac:dyDescent="0.2">
      <c r="A300" s="31">
        <f>E299</f>
        <v>175000</v>
      </c>
      <c r="B300" s="31"/>
      <c r="C300" s="31"/>
      <c r="D300" s="31"/>
      <c r="E300" s="31">
        <v>999999999</v>
      </c>
      <c r="F300" s="32"/>
      <c r="G300" s="31"/>
      <c r="H300" s="31">
        <f>IF(AND(H270&gt;A300, H270&lt;=E300),H270,0)</f>
        <v>0</v>
      </c>
      <c r="I300" s="31">
        <f>(12500/100*20)+(12500/100*25)+(50000/100*35)+(100000/100*50)+((65/100)*(-A300+H300))</f>
        <v>-40625</v>
      </c>
    </row>
    <row r="301" spans="1:15" s="5" customFormat="1" x14ac:dyDescent="0.2">
      <c r="A301" s="45" t="s">
        <v>4</v>
      </c>
      <c r="B301" s="45"/>
      <c r="C301" s="45"/>
      <c r="D301" s="45"/>
      <c r="E301" s="31"/>
      <c r="F301" s="32"/>
      <c r="G301" s="31"/>
      <c r="H301" s="31"/>
      <c r="I301" s="31">
        <f>VLOOKUP(H270,H296:I300,2,FALSE)</f>
        <v>0</v>
      </c>
    </row>
    <row r="302" spans="1:15" s="5" customFormat="1" x14ac:dyDescent="0.2">
      <c r="F302" s="18"/>
    </row>
    <row r="303" spans="1:15" s="5" customFormat="1" x14ac:dyDescent="0.2">
      <c r="E303" s="28">
        <f>E172</f>
        <v>0</v>
      </c>
      <c r="F303" s="29"/>
      <c r="G303" s="28"/>
      <c r="H303" s="28"/>
      <c r="I303" s="28"/>
    </row>
    <row r="304" spans="1:15" s="5" customFormat="1" x14ac:dyDescent="0.2">
      <c r="E304" s="28"/>
      <c r="F304" s="29"/>
      <c r="G304" s="28"/>
      <c r="H304" s="28"/>
      <c r="I304" s="28"/>
      <c r="N304" s="31"/>
      <c r="O304" s="44" t="s">
        <v>8</v>
      </c>
    </row>
    <row r="305" spans="1:15" s="5" customFormat="1" x14ac:dyDescent="0.2">
      <c r="E305" s="28"/>
      <c r="F305" s="29"/>
      <c r="G305" s="28"/>
      <c r="H305" s="28"/>
      <c r="I305" s="28"/>
      <c r="N305" s="31">
        <f>IF(AND(H270&gt;K307, H270&lt;=M307),H270,0)</f>
        <v>0</v>
      </c>
      <c r="O305" s="31">
        <f>0+(30/100)*(-K307+N305)</f>
        <v>0</v>
      </c>
    </row>
    <row r="306" spans="1:15" s="5" customFormat="1" x14ac:dyDescent="0.2">
      <c r="A306" s="43" t="s">
        <v>22</v>
      </c>
      <c r="B306" s="43"/>
      <c r="C306" s="43"/>
      <c r="D306" s="43"/>
      <c r="E306" s="31"/>
      <c r="F306" s="32"/>
      <c r="G306" s="31"/>
      <c r="H306" s="31"/>
      <c r="I306" s="44" t="s">
        <v>7</v>
      </c>
      <c r="K306" s="43" t="s">
        <v>23</v>
      </c>
      <c r="L306" s="43"/>
      <c r="M306" s="31"/>
      <c r="N306" s="31">
        <f>IF(AND(H270&gt;K308, H270&lt;=M308),H270,0)</f>
        <v>0</v>
      </c>
      <c r="O306" s="31">
        <f>(12500/100*30)+((35/100)*(-K308+N306))</f>
        <v>-625</v>
      </c>
    </row>
    <row r="307" spans="1:15" s="5" customFormat="1" x14ac:dyDescent="0.2">
      <c r="A307" s="31">
        <v>0</v>
      </c>
      <c r="B307" s="31"/>
      <c r="C307" s="31"/>
      <c r="D307" s="31"/>
      <c r="E307" s="31">
        <v>12500</v>
      </c>
      <c r="F307" s="32"/>
      <c r="G307" s="31"/>
      <c r="H307" s="31">
        <f>IF(AND(H270&gt;A307, H270&lt;=E307),H270,0)</f>
        <v>0</v>
      </c>
      <c r="I307" s="31">
        <f>0+(25/100)*(-A307+H307)</f>
        <v>0</v>
      </c>
      <c r="K307" s="31">
        <v>0</v>
      </c>
      <c r="L307" s="31"/>
      <c r="M307" s="31">
        <v>12500</v>
      </c>
      <c r="N307" s="31">
        <f>IF(AND(H270&gt;K309, H270&lt;=M309),H270,0)</f>
        <v>0</v>
      </c>
      <c r="O307" s="31">
        <f>(12500/100*30)+(12500/100*35)+((60/100)*(-K309+N307))</f>
        <v>-6875</v>
      </c>
    </row>
    <row r="308" spans="1:15" s="5" customFormat="1" x14ac:dyDescent="0.2">
      <c r="A308" s="31">
        <f>E307</f>
        <v>12500</v>
      </c>
      <c r="B308" s="31"/>
      <c r="C308" s="31"/>
      <c r="D308" s="31"/>
      <c r="E308" s="31">
        <v>25000</v>
      </c>
      <c r="F308" s="32"/>
      <c r="G308" s="31"/>
      <c r="H308" s="31">
        <f>IF(AND(H270&gt;A308, H270&lt;=E308),H270,0)</f>
        <v>0</v>
      </c>
      <c r="I308" s="31">
        <f>(12500/100*25)+((30/100)*(-A308+H308))</f>
        <v>-625</v>
      </c>
      <c r="K308" s="31">
        <f>M307</f>
        <v>12500</v>
      </c>
      <c r="L308" s="31"/>
      <c r="M308" s="31">
        <v>25000</v>
      </c>
      <c r="N308" s="31">
        <f>IF(AND(H270&gt;K310, H270&lt;=M310),H270,0)</f>
        <v>0</v>
      </c>
      <c r="O308" s="31">
        <f>(12500/100*30)+(12500/100*35)+(50000/100*60)+((80/100)*(-K310+N308))</f>
        <v>-21875</v>
      </c>
    </row>
    <row r="309" spans="1:15" s="5" customFormat="1" x14ac:dyDescent="0.2">
      <c r="A309" s="31">
        <f>E308</f>
        <v>25000</v>
      </c>
      <c r="B309" s="31"/>
      <c r="C309" s="31"/>
      <c r="D309" s="31"/>
      <c r="E309" s="31">
        <v>75000</v>
      </c>
      <c r="F309" s="32"/>
      <c r="G309" s="31"/>
      <c r="H309" s="31">
        <f>IF(AND(H270&gt;A309, H270&lt;=E309),H270,0)</f>
        <v>0</v>
      </c>
      <c r="I309" s="31">
        <f>(12500/100*25)+(12500/100*30)+((40/100)*(-A309+H309))</f>
        <v>-3125</v>
      </c>
      <c r="K309" s="31">
        <f>M308</f>
        <v>25000</v>
      </c>
      <c r="L309" s="31"/>
      <c r="M309" s="31">
        <v>75000</v>
      </c>
      <c r="N309" s="31">
        <f>IF(AND(H270&gt;K311, H270&lt;=M311),H270,0)</f>
        <v>0</v>
      </c>
      <c r="O309" s="31">
        <f>(12500/100*30)+(12500/100*35)+(50000/100*60)+(100000/100*80)+((80/100)*(-K311+N309))</f>
        <v>-21875</v>
      </c>
    </row>
    <row r="310" spans="1:15" s="5" customFormat="1" x14ac:dyDescent="0.2">
      <c r="A310" s="31">
        <f>E309</f>
        <v>75000</v>
      </c>
      <c r="B310" s="31"/>
      <c r="C310" s="31"/>
      <c r="D310" s="31"/>
      <c r="E310" s="31">
        <v>175000</v>
      </c>
      <c r="F310" s="32"/>
      <c r="G310" s="31"/>
      <c r="H310" s="31">
        <f>IF(AND(H270&gt;A310, H270&lt;=E310),H270,0)</f>
        <v>0</v>
      </c>
      <c r="I310" s="31">
        <f>(12500/100*25)+(12500/100*30)+(50000/100*40)+((55/100)*(-A310+H310))</f>
        <v>-14375</v>
      </c>
      <c r="K310" s="31">
        <f>M309</f>
        <v>75000</v>
      </c>
      <c r="L310" s="31"/>
      <c r="M310" s="31">
        <v>175000</v>
      </c>
      <c r="N310" s="31"/>
      <c r="O310" s="31">
        <f>VLOOKUP(H270,N305:O309,2,FALSE)</f>
        <v>0</v>
      </c>
    </row>
    <row r="311" spans="1:15" s="5" customFormat="1" x14ac:dyDescent="0.2">
      <c r="A311" s="31">
        <f>E310</f>
        <v>175000</v>
      </c>
      <c r="B311" s="31"/>
      <c r="C311" s="31"/>
      <c r="D311" s="31"/>
      <c r="E311" s="31">
        <v>999999999</v>
      </c>
      <c r="F311" s="32"/>
      <c r="G311" s="31"/>
      <c r="H311" s="31">
        <f>IF(AND(H270&gt;A311, H270&lt;=E311),H270,0)</f>
        <v>0</v>
      </c>
      <c r="I311" s="31">
        <f>(12500/100*25)+(12500/100*30)+(50000/100*40)+(100000/100*55)+((70/100)*(-A311+H311))</f>
        <v>-40624.999999999985</v>
      </c>
      <c r="K311" s="31">
        <f>M310</f>
        <v>175000</v>
      </c>
      <c r="L311" s="31"/>
      <c r="M311" s="31">
        <v>999999999</v>
      </c>
    </row>
    <row r="312" spans="1:15" s="5" customFormat="1" x14ac:dyDescent="0.2">
      <c r="A312" s="45" t="s">
        <v>4</v>
      </c>
      <c r="B312" s="45"/>
      <c r="C312" s="45"/>
      <c r="D312" s="45"/>
      <c r="E312" s="31"/>
      <c r="F312" s="32"/>
      <c r="G312" s="31"/>
      <c r="H312" s="31"/>
      <c r="I312" s="31">
        <f>VLOOKUP(H270,H307:I311,2,FALSE)</f>
        <v>0</v>
      </c>
      <c r="K312" s="45" t="s">
        <v>4</v>
      </c>
      <c r="L312" s="45"/>
      <c r="M312" s="31"/>
    </row>
    <row r="313" spans="1:15" s="5" customFormat="1" x14ac:dyDescent="0.2">
      <c r="F313" s="18"/>
    </row>
    <row r="314" spans="1:15" s="5" customFormat="1" x14ac:dyDescent="0.2">
      <c r="E314" s="5">
        <f>IF(A315&gt;0,A315-F319,0)</f>
        <v>0</v>
      </c>
      <c r="F314" s="18"/>
    </row>
    <row r="315" spans="1:15" s="5" customFormat="1" x14ac:dyDescent="0.2">
      <c r="A315" s="5">
        <f>IF(AND(DONBIW!E17="oui",DONBIW!F22="ligne directe"),I293,0)</f>
        <v>0</v>
      </c>
      <c r="E315" s="5">
        <f>IF(E314&gt;0,E314,0)</f>
        <v>0</v>
      </c>
      <c r="F315" s="5">
        <f>IF(AND(DONBIW!F22="ligne directe",H270&lt;=125000,DONBIW!E17="oui"),250,0)</f>
        <v>0</v>
      </c>
      <c r="G315" s="5">
        <f>IF(AND(F315&gt;0,(I293-F315&gt;=0)),I293-F315,0)</f>
        <v>0</v>
      </c>
    </row>
    <row r="316" spans="1:15" s="5" customFormat="1" x14ac:dyDescent="0.2">
      <c r="A316" s="5">
        <f>IF(AND(DONBIW!E17="oui",DONBIW!F22="épou(x)(se)"),I293,0)</f>
        <v>0</v>
      </c>
      <c r="E316" s="5">
        <f>IF(A316&gt;0,A316-F319,0)</f>
        <v>0</v>
      </c>
      <c r="F316" s="5">
        <f>IF(AND(DONBIW!F22="ligne directe",H270&gt;125000,DONBIW!E17="oui"),125,0)</f>
        <v>0</v>
      </c>
      <c r="G316" s="5">
        <f>IF(AND(F316&gt;0,(I293-F316&gt;=0)),I293-F316,0)</f>
        <v>0</v>
      </c>
    </row>
    <row r="317" spans="1:15" s="5" customFormat="1" x14ac:dyDescent="0.2">
      <c r="A317" s="5">
        <f>IF(AND(DONBIW!E17="non",DONBIW!F22="ligne directe"),I284,0)</f>
        <v>0</v>
      </c>
      <c r="E317" s="5">
        <f>IF(AND(DONBIW!E17="non",DONBIW!F22="ligne directe"),I284,0)</f>
        <v>0</v>
      </c>
      <c r="F317" s="5">
        <f>IF(AND(DONBIW!F22="épou(x)(se)",H270&lt;=125000,DONBIW!E17="oui"),250,0)</f>
        <v>0</v>
      </c>
      <c r="G317" s="5">
        <f>IF(AND(F317&gt;0,(I293-F317&gt;=0)),I293-F317,0)</f>
        <v>0</v>
      </c>
    </row>
    <row r="318" spans="1:15" s="5" customFormat="1" x14ac:dyDescent="0.2">
      <c r="A318" s="5">
        <f>IF(AND(DONBIW!E17="non",DONBIW!F22="épou(x)(se)"),I284,0)</f>
        <v>0</v>
      </c>
      <c r="E318" s="5">
        <f>IF(AND(DONBIW!E17="non",DONBIW!F22="épou(x)(se)"),I284,0)</f>
        <v>0</v>
      </c>
      <c r="F318" s="5">
        <f>IF(AND(DONBIW!F22="épou(x)(se)",H270&gt;125000,DONBIW!E17="oui"),125,0)</f>
        <v>0</v>
      </c>
      <c r="G318" s="5">
        <f>IF(AND(F318&gt;0,(I293-F318&gt;=0)),I293-F318,0)</f>
        <v>0</v>
      </c>
    </row>
    <row r="319" spans="1:15" s="5" customFormat="1" x14ac:dyDescent="0.2">
      <c r="A319" s="5">
        <f>IF(DONBIW!F22="frère/soeur",I301,0)</f>
        <v>0</v>
      </c>
      <c r="E319" s="5">
        <f>IF(DONBIW!F22="frère/soeur",I301,0)</f>
        <v>0</v>
      </c>
      <c r="F319" s="5">
        <f>SUM(F315:F318)</f>
        <v>0</v>
      </c>
      <c r="G319" s="5">
        <f>SUM(G315:G318)</f>
        <v>0</v>
      </c>
    </row>
    <row r="320" spans="1:15" s="5" customFormat="1" x14ac:dyDescent="0.2">
      <c r="A320" s="5">
        <f>IF(DONBIW!F22="oncle-tante/neveu-nièce",I312,0)</f>
        <v>0</v>
      </c>
      <c r="E320" s="5">
        <f>IF(DONBIW!F22="oncle-tante/neveu-nièce",I312,0)</f>
        <v>0</v>
      </c>
    </row>
    <row r="321" spans="1:11" s="5" customFormat="1" x14ac:dyDescent="0.2">
      <c r="A321" s="5">
        <f>IF(DONBIW!F22="étrangers",O310,0)</f>
        <v>0</v>
      </c>
      <c r="E321" s="5">
        <f>IF(DONBIW!F22="étrangers",O310,0)</f>
        <v>0</v>
      </c>
    </row>
    <row r="322" spans="1:11" s="5" customFormat="1" x14ac:dyDescent="0.2"/>
    <row r="323" spans="1:11" s="5" customFormat="1" x14ac:dyDescent="0.2">
      <c r="A323" s="5">
        <f>SUM(A315:A322)</f>
        <v>0</v>
      </c>
      <c r="E323" s="5">
        <f>SUM(E315:E322)</f>
        <v>0</v>
      </c>
    </row>
    <row r="324" spans="1:11" s="5" customFormat="1" x14ac:dyDescent="0.2"/>
    <row r="325" spans="1:11" s="5" customFormat="1" x14ac:dyDescent="0.2"/>
    <row r="326" spans="1:11" s="5" customFormat="1" x14ac:dyDescent="0.2">
      <c r="A326" s="5" t="s">
        <v>93</v>
      </c>
      <c r="E326" s="5" t="s">
        <v>100</v>
      </c>
    </row>
    <row r="327" spans="1:11" s="5" customFormat="1" x14ac:dyDescent="0.2"/>
    <row r="328" spans="1:11" s="5" customFormat="1" x14ac:dyDescent="0.2">
      <c r="A328" s="5" t="s">
        <v>93</v>
      </c>
      <c r="E328" s="5">
        <f>IF(DONBIW!I22=3,E323*12%,0)</f>
        <v>0</v>
      </c>
      <c r="F328" s="5">
        <f>IF(E328&gt;372,372,E328)</f>
        <v>0</v>
      </c>
      <c r="H328" s="5" t="s">
        <v>26</v>
      </c>
      <c r="I328" s="5">
        <f>6%*E323</f>
        <v>0</v>
      </c>
      <c r="J328" s="5">
        <f>IF(I328&gt;186,186,I328)</f>
        <v>0</v>
      </c>
      <c r="K328" s="5">
        <f>IF(DONBIW!I22=3,J328,0)</f>
        <v>0</v>
      </c>
    </row>
    <row r="329" spans="1:11" s="5" customFormat="1" x14ac:dyDescent="0.2">
      <c r="E329" s="5">
        <f>IF(DONBIW!I22=4,E323*16%,0)</f>
        <v>0</v>
      </c>
      <c r="F329" s="5">
        <f>IF(E329&gt;496,496,E329)</f>
        <v>0</v>
      </c>
      <c r="H329" s="5" t="s">
        <v>27</v>
      </c>
      <c r="I329" s="5">
        <f>8%*E323</f>
        <v>0</v>
      </c>
      <c r="J329" s="5">
        <f>IF(I329&gt;248,248,I329)</f>
        <v>0</v>
      </c>
      <c r="K329" s="5">
        <f>IF(DONBIW!I22=4,J329,0)</f>
        <v>0</v>
      </c>
    </row>
    <row r="330" spans="1:11" s="5" customFormat="1" x14ac:dyDescent="0.2">
      <c r="E330" s="5">
        <f>IF(DONBIW!I22=5,E323*20%,0)</f>
        <v>0</v>
      </c>
      <c r="F330" s="5">
        <f>IF(E330&gt;620,620,E330)</f>
        <v>0</v>
      </c>
      <c r="I330" s="5">
        <f>10%*E323</f>
        <v>0</v>
      </c>
      <c r="J330" s="5">
        <f>IF(I330&gt;310,310,I330)</f>
        <v>0</v>
      </c>
      <c r="K330" s="5">
        <f>IF(DONBIW!I22=5,J330,0)</f>
        <v>0</v>
      </c>
    </row>
    <row r="331" spans="1:11" s="5" customFormat="1" x14ac:dyDescent="0.2">
      <c r="E331" s="5">
        <f>IF(DONBIW!I22=6,E323*24%,0)</f>
        <v>0</v>
      </c>
      <c r="F331" s="5">
        <f>IF(E331&gt;744,744,E331)</f>
        <v>0</v>
      </c>
      <c r="I331" s="5">
        <f>12%*E323</f>
        <v>0</v>
      </c>
      <c r="J331" s="5">
        <f>IF(I331&gt;372,372,I331)</f>
        <v>0</v>
      </c>
      <c r="K331" s="5">
        <f>IF(DONBIW!I22=6,J331,0)</f>
        <v>0</v>
      </c>
    </row>
    <row r="332" spans="1:11" s="5" customFormat="1" x14ac:dyDescent="0.2">
      <c r="E332" s="5">
        <f>IF(DONBIW!I22=7,E323*28%,0)</f>
        <v>0</v>
      </c>
      <c r="F332" s="5">
        <f>IF(E332&gt;868,868,E332)</f>
        <v>0</v>
      </c>
      <c r="I332" s="5">
        <f>14%*E323</f>
        <v>0</v>
      </c>
      <c r="J332" s="5">
        <f>IF(I332&gt;434,434,I332)</f>
        <v>0</v>
      </c>
      <c r="K332" s="5">
        <f>IF(DONBIW!I22=7,J332,0)</f>
        <v>0</v>
      </c>
    </row>
    <row r="333" spans="1:11" s="5" customFormat="1" x14ac:dyDescent="0.2">
      <c r="E333" s="5">
        <f>IF(DONBIW!I22=8,E323*32%,0)</f>
        <v>0</v>
      </c>
      <c r="F333" s="5">
        <f>IF(E333&gt;992,992,E333)</f>
        <v>0</v>
      </c>
      <c r="I333" s="5">
        <f>16%*E323</f>
        <v>0</v>
      </c>
      <c r="J333" s="5">
        <f>IF(I333&gt;496,496,I333)</f>
        <v>0</v>
      </c>
      <c r="K333" s="5">
        <f>IF(DONBIW!I22=8,J333,0)</f>
        <v>0</v>
      </c>
    </row>
    <row r="334" spans="1:11" s="5" customFormat="1" x14ac:dyDescent="0.2">
      <c r="E334" s="5">
        <f>IF(DONBIW!I22=9,E323*36%,0)</f>
        <v>0</v>
      </c>
      <c r="F334" s="5">
        <f>IF(E334&gt;1116,1116,E334)</f>
        <v>0</v>
      </c>
      <c r="I334" s="5">
        <f>18%*E323</f>
        <v>0</v>
      </c>
      <c r="J334" s="5">
        <f>IF(I334&gt;558,558,I334)</f>
        <v>0</v>
      </c>
      <c r="K334" s="5">
        <f>IF(DONBIW!I22=9,J334,0)</f>
        <v>0</v>
      </c>
    </row>
    <row r="335" spans="1:11" s="5" customFormat="1" x14ac:dyDescent="0.2">
      <c r="E335" s="5">
        <f>IF(DONBIW!I22=10,E323*40%,0)</f>
        <v>0</v>
      </c>
      <c r="F335" s="5">
        <f>IF(E335&gt;1240,1240,E335)</f>
        <v>0</v>
      </c>
      <c r="I335" s="5">
        <f>20%*E323</f>
        <v>0</v>
      </c>
      <c r="J335" s="5">
        <f>IF(I335&gt;620,620,I335)</f>
        <v>0</v>
      </c>
      <c r="K335" s="5">
        <f>IF(DONBIW!I22=10,J335,0)</f>
        <v>0</v>
      </c>
    </row>
    <row r="336" spans="1:11" s="5" customFormat="1" x14ac:dyDescent="0.2"/>
    <row r="337" spans="1:11" s="5" customFormat="1" x14ac:dyDescent="0.2">
      <c r="F337" s="5">
        <f>SUM(F328:F336)</f>
        <v>0</v>
      </c>
      <c r="K337" s="5">
        <f>SUM(K328:K336)</f>
        <v>0</v>
      </c>
    </row>
    <row r="338" spans="1:11" s="5" customFormat="1" x14ac:dyDescent="0.2">
      <c r="F338" s="18"/>
    </row>
    <row r="339" spans="1:11" s="5" customFormat="1" x14ac:dyDescent="0.2">
      <c r="F339" s="18"/>
    </row>
    <row r="340" spans="1:11" s="5" customFormat="1" x14ac:dyDescent="0.2">
      <c r="F340" s="18"/>
    </row>
    <row r="341" spans="1:11" s="5" customFormat="1" x14ac:dyDescent="0.2">
      <c r="A341" s="5" t="s">
        <v>33</v>
      </c>
      <c r="E341" s="20">
        <f>E323-F337</f>
        <v>0</v>
      </c>
      <c r="F341" s="18"/>
      <c r="G341" s="5" t="s">
        <v>34</v>
      </c>
      <c r="H341" s="47">
        <f>E323-K337</f>
        <v>0</v>
      </c>
    </row>
    <row r="342" spans="1:11" s="5" customFormat="1" x14ac:dyDescent="0.2">
      <c r="F342" s="18"/>
    </row>
    <row r="343" spans="1:11" s="5" customFormat="1" x14ac:dyDescent="0.2">
      <c r="F343" s="18"/>
    </row>
    <row r="344" spans="1:11" s="5" customFormat="1" x14ac:dyDescent="0.2">
      <c r="F344" s="18"/>
    </row>
    <row r="345" spans="1:11" s="5" customFormat="1" x14ac:dyDescent="0.2">
      <c r="F345" s="18"/>
    </row>
    <row r="346" spans="1:11" s="5" customFormat="1" x14ac:dyDescent="0.2">
      <c r="F346" s="18"/>
    </row>
    <row r="347" spans="1:11" s="5" customFormat="1" x14ac:dyDescent="0.2">
      <c r="F347" s="18"/>
    </row>
    <row r="348" spans="1:11" s="5" customFormat="1" x14ac:dyDescent="0.2">
      <c r="F348" s="18"/>
    </row>
    <row r="349" spans="1:11" s="5" customFormat="1" x14ac:dyDescent="0.2">
      <c r="F349" s="18"/>
    </row>
    <row r="350" spans="1:11" s="5" customFormat="1" x14ac:dyDescent="0.2">
      <c r="F350" s="18"/>
    </row>
    <row r="351" spans="1:11" s="5" customFormat="1" x14ac:dyDescent="0.2">
      <c r="F351" s="18"/>
    </row>
    <row r="352" spans="1:11" s="5" customFormat="1" x14ac:dyDescent="0.2">
      <c r="F352" s="18"/>
    </row>
    <row r="353" spans="6:6" s="5" customFormat="1" x14ac:dyDescent="0.2">
      <c r="F353" s="18"/>
    </row>
    <row r="354" spans="6:6" s="5" customFormat="1" x14ac:dyDescent="0.2">
      <c r="F354" s="18"/>
    </row>
    <row r="355" spans="6:6" s="5" customFormat="1" x14ac:dyDescent="0.2">
      <c r="F355" s="18"/>
    </row>
    <row r="356" spans="6:6" s="5" customFormat="1" x14ac:dyDescent="0.2">
      <c r="F356" s="18"/>
    </row>
    <row r="357" spans="6:6" s="5" customFormat="1" x14ac:dyDescent="0.2">
      <c r="F357" s="18"/>
    </row>
    <row r="358" spans="6:6" s="5" customFormat="1" x14ac:dyDescent="0.2">
      <c r="F358" s="18"/>
    </row>
    <row r="359" spans="6:6" s="5" customFormat="1" x14ac:dyDescent="0.2">
      <c r="F359" s="18"/>
    </row>
    <row r="360" spans="6:6" s="5" customFormat="1" x14ac:dyDescent="0.2">
      <c r="F360" s="18"/>
    </row>
    <row r="361" spans="6:6" s="5" customFormat="1" x14ac:dyDescent="0.2">
      <c r="F361" s="18"/>
    </row>
    <row r="362" spans="6:6" s="5" customFormat="1" x14ac:dyDescent="0.2">
      <c r="F362" s="18"/>
    </row>
    <row r="363" spans="6:6" s="5" customFormat="1" x14ac:dyDescent="0.2">
      <c r="F363" s="18"/>
    </row>
    <row r="364" spans="6:6" s="5" customFormat="1" x14ac:dyDescent="0.2">
      <c r="F364" s="18"/>
    </row>
    <row r="365" spans="6:6" s="5" customFormat="1" x14ac:dyDescent="0.2">
      <c r="F365" s="18"/>
    </row>
    <row r="366" spans="6:6" s="5" customFormat="1" x14ac:dyDescent="0.2">
      <c r="F366" s="18"/>
    </row>
    <row r="367" spans="6:6" s="5" customFormat="1" x14ac:dyDescent="0.2">
      <c r="F367" s="18"/>
    </row>
    <row r="368" spans="6:6" s="5" customFormat="1" x14ac:dyDescent="0.2">
      <c r="F368" s="18"/>
    </row>
    <row r="369" spans="1:9" s="5" customFormat="1" x14ac:dyDescent="0.2">
      <c r="F369" s="18"/>
    </row>
    <row r="370" spans="1:9" s="5" customFormat="1" x14ac:dyDescent="0.2">
      <c r="F370" s="18"/>
    </row>
    <row r="371" spans="1:9" s="5" customFormat="1" x14ac:dyDescent="0.2">
      <c r="F371" s="18"/>
    </row>
    <row r="372" spans="1:9" s="5" customFormat="1" x14ac:dyDescent="0.2">
      <c r="F372" s="18"/>
      <c r="H372" s="5">
        <f>DONBIW!G29</f>
        <v>0</v>
      </c>
    </row>
    <row r="373" spans="1:9" s="5" customFormat="1" x14ac:dyDescent="0.2">
      <c r="F373" s="18"/>
    </row>
    <row r="374" spans="1:9" s="5" customFormat="1" x14ac:dyDescent="0.2">
      <c r="A374" s="43" t="s">
        <v>2</v>
      </c>
      <c r="B374" s="43"/>
      <c r="C374" s="43"/>
      <c r="D374" s="43"/>
      <c r="E374" s="31"/>
      <c r="F374" s="32"/>
      <c r="G374" s="31"/>
      <c r="H374" s="31"/>
      <c r="I374" s="44" t="s">
        <v>3</v>
      </c>
    </row>
    <row r="375" spans="1:9" s="5" customFormat="1" x14ac:dyDescent="0.2">
      <c r="A375" s="31">
        <v>0</v>
      </c>
      <c r="B375" s="31"/>
      <c r="C375" s="31"/>
      <c r="D375" s="31"/>
      <c r="E375" s="31">
        <v>12500</v>
      </c>
      <c r="F375" s="32"/>
      <c r="G375" s="31"/>
      <c r="H375" s="31">
        <f>IF(AND(H372&gt;A375,H372&lt;=E375),H372,0)</f>
        <v>0</v>
      </c>
      <c r="I375" s="31">
        <f>0+(3/100)*(-A375+H375)</f>
        <v>0</v>
      </c>
    </row>
    <row r="376" spans="1:9" s="5" customFormat="1" x14ac:dyDescent="0.2">
      <c r="A376" s="31">
        <f t="shared" ref="A376:A383" si="1">E375</f>
        <v>12500</v>
      </c>
      <c r="B376" s="31"/>
      <c r="C376" s="31"/>
      <c r="D376" s="31"/>
      <c r="E376" s="31">
        <v>25000</v>
      </c>
      <c r="F376" s="32"/>
      <c r="G376" s="31"/>
      <c r="H376" s="31">
        <f>IF(AND(H372&gt;A376, H372&lt;=E376),H372,0)</f>
        <v>0</v>
      </c>
      <c r="I376" s="31">
        <f>(12500/100*3)+(4/100)*(-A376+H376)</f>
        <v>-125</v>
      </c>
    </row>
    <row r="377" spans="1:9" s="5" customFormat="1" x14ac:dyDescent="0.2">
      <c r="A377" s="31">
        <f t="shared" si="1"/>
        <v>25000</v>
      </c>
      <c r="B377" s="31"/>
      <c r="C377" s="31"/>
      <c r="D377" s="31"/>
      <c r="E377" s="31">
        <v>50000</v>
      </c>
      <c r="F377" s="32"/>
      <c r="G377" s="31"/>
      <c r="H377" s="31">
        <f>IF(AND(H372&gt;A377, H372&lt;=E377),H372,0)</f>
        <v>0</v>
      </c>
      <c r="I377" s="31">
        <f>(12500/100*3)+(12500/100*4)+((5/100)*(-A377+H377))</f>
        <v>-375</v>
      </c>
    </row>
    <row r="378" spans="1:9" s="5" customFormat="1" x14ac:dyDescent="0.2">
      <c r="A378" s="31">
        <f t="shared" si="1"/>
        <v>50000</v>
      </c>
      <c r="B378" s="31"/>
      <c r="C378" s="31"/>
      <c r="D378" s="31"/>
      <c r="E378" s="31">
        <v>100000</v>
      </c>
      <c r="F378" s="32"/>
      <c r="G378" s="31"/>
      <c r="H378" s="31">
        <f>IF(AND(H372&gt;A378, H372&lt;=E378),H372,0)</f>
        <v>0</v>
      </c>
      <c r="I378" s="31">
        <f>(12500/100*3)+(12500/100*4)+(25000/100*5)+((7/100)*(-A378+H378))</f>
        <v>-1375.0000000000005</v>
      </c>
    </row>
    <row r="379" spans="1:9" s="5" customFormat="1" x14ac:dyDescent="0.2">
      <c r="A379" s="31">
        <f t="shared" si="1"/>
        <v>100000</v>
      </c>
      <c r="B379" s="31"/>
      <c r="C379" s="31"/>
      <c r="D379" s="31"/>
      <c r="E379" s="31">
        <v>150000</v>
      </c>
      <c r="F379" s="32"/>
      <c r="G379" s="31"/>
      <c r="H379" s="31">
        <f>IF(AND(H372&gt;A379, H372&lt;=E379),H372,0)</f>
        <v>0</v>
      </c>
      <c r="I379" s="31">
        <f>(12500/100*3)+(12500/100*4)+(25000/100*5)+(50000/100*7)+((10/100)*(-A379+H379))</f>
        <v>-4375</v>
      </c>
    </row>
    <row r="380" spans="1:9" s="5" customFormat="1" x14ac:dyDescent="0.2">
      <c r="A380" s="31">
        <f t="shared" si="1"/>
        <v>150000</v>
      </c>
      <c r="B380" s="31"/>
      <c r="C380" s="31"/>
      <c r="D380" s="31"/>
      <c r="E380" s="31">
        <v>200000</v>
      </c>
      <c r="F380" s="32"/>
      <c r="G380" s="31"/>
      <c r="H380" s="31">
        <f>IF(AND(H372&gt;A380, H372&lt;=E380),H372,0)</f>
        <v>0</v>
      </c>
      <c r="I380" s="31">
        <f>(12500/100*3)+(12500/100*4)+(25000/100*5)+(50000/100*7)+(50000/100*10)+((14/100)*(-A380+H380))</f>
        <v>-10375.000000000004</v>
      </c>
    </row>
    <row r="381" spans="1:9" s="5" customFormat="1" x14ac:dyDescent="0.2">
      <c r="A381" s="31">
        <f t="shared" si="1"/>
        <v>200000</v>
      </c>
      <c r="B381" s="31"/>
      <c r="C381" s="31"/>
      <c r="D381" s="31"/>
      <c r="E381" s="31">
        <v>250000</v>
      </c>
      <c r="F381" s="32"/>
      <c r="G381" s="31"/>
      <c r="H381" s="31">
        <f>IF(AND(H372&gt;A381, H372&lt;=E381),H372,0)</f>
        <v>0</v>
      </c>
      <c r="I381" s="31">
        <f>(12500/100*3)+(12500/100*4)+(25000/100*5)+(50000/100*7)+(50000/100*10)+(50000/100*14)+((18/100)*(-A381+H381))</f>
        <v>-18375</v>
      </c>
    </row>
    <row r="382" spans="1:9" s="5" customFormat="1" x14ac:dyDescent="0.2">
      <c r="A382" s="31">
        <f t="shared" si="1"/>
        <v>250000</v>
      </c>
      <c r="B382" s="31"/>
      <c r="C382" s="31"/>
      <c r="D382" s="31"/>
      <c r="E382" s="31">
        <v>500000</v>
      </c>
      <c r="F382" s="32"/>
      <c r="G382" s="31"/>
      <c r="H382" s="31">
        <f>IF(AND(H372&gt;A382, H372&lt;=E382),H372,0)</f>
        <v>0</v>
      </c>
      <c r="I382" s="31">
        <f>(12500/100*3)+(12500/100*4)+(25000/100*5)+(50000/100*7)+(50000/100*10)+(50000/100*14)+(50000/100*18)+((24/100)*(-A382+H382))</f>
        <v>-33375</v>
      </c>
    </row>
    <row r="383" spans="1:9" s="5" customFormat="1" x14ac:dyDescent="0.2">
      <c r="A383" s="31">
        <f t="shared" si="1"/>
        <v>500000</v>
      </c>
      <c r="B383" s="31"/>
      <c r="C383" s="31"/>
      <c r="D383" s="31"/>
      <c r="E383" s="31">
        <v>999999999</v>
      </c>
      <c r="F383" s="32"/>
      <c r="G383" s="31"/>
      <c r="H383" s="31">
        <f>IF(AND(H372&gt;A383, H372&lt;=E383),H372,0)</f>
        <v>0</v>
      </c>
      <c r="I383" s="31">
        <f>(12500/100*3)+(12500/100*4)+(25000/100*5)+(50000/100*7)+(50000/100*10)+(50000/100*14)+(50000/100*18)+(250000/100*24)+((30/100)*(-A383+H383))</f>
        <v>-63375</v>
      </c>
    </row>
    <row r="384" spans="1:9" s="5" customFormat="1" x14ac:dyDescent="0.2">
      <c r="A384" s="45" t="s">
        <v>4</v>
      </c>
      <c r="B384" s="45"/>
      <c r="C384" s="45"/>
      <c r="D384" s="45"/>
      <c r="E384" s="31"/>
      <c r="F384" s="32"/>
      <c r="G384" s="31"/>
      <c r="H384" s="31"/>
      <c r="I384" s="31">
        <f>VLOOKUP(H372,H375:I383,2,FALSE)</f>
        <v>0</v>
      </c>
    </row>
    <row r="385" spans="1:9" s="5" customFormat="1" x14ac:dyDescent="0.2">
      <c r="A385" s="45"/>
      <c r="B385" s="45"/>
      <c r="C385" s="45"/>
      <c r="D385" s="45"/>
      <c r="E385" s="31"/>
      <c r="F385" s="32"/>
      <c r="G385" s="31"/>
      <c r="H385" s="31"/>
      <c r="I385" s="31"/>
    </row>
    <row r="386" spans="1:9" s="5" customFormat="1" x14ac:dyDescent="0.2">
      <c r="A386" s="46" t="s">
        <v>24</v>
      </c>
      <c r="B386" s="46"/>
      <c r="C386" s="46"/>
      <c r="D386" s="46"/>
      <c r="E386" s="31"/>
      <c r="F386" s="32"/>
      <c r="G386" s="31"/>
      <c r="H386" s="31"/>
      <c r="I386" s="44" t="s">
        <v>25</v>
      </c>
    </row>
    <row r="387" spans="1:9" s="5" customFormat="1" x14ac:dyDescent="0.2">
      <c r="A387" s="31">
        <v>0</v>
      </c>
      <c r="B387" s="31"/>
      <c r="C387" s="31"/>
      <c r="D387" s="31"/>
      <c r="E387" s="31">
        <v>25000</v>
      </c>
      <c r="F387" s="32"/>
      <c r="G387" s="31"/>
      <c r="H387" s="31">
        <f>IF(AND(H372&gt;A387, H372&lt;=E387),H372,0)</f>
        <v>0</v>
      </c>
      <c r="I387" s="31">
        <f>0+(1/100)*(-A387+H387)</f>
        <v>0</v>
      </c>
    </row>
    <row r="388" spans="1:9" s="5" customFormat="1" x14ac:dyDescent="0.2">
      <c r="A388" s="31">
        <f>E387</f>
        <v>25000</v>
      </c>
      <c r="B388" s="31"/>
      <c r="C388" s="31"/>
      <c r="D388" s="31"/>
      <c r="E388" s="31">
        <v>50000</v>
      </c>
      <c r="F388" s="32"/>
      <c r="G388" s="31"/>
      <c r="H388" s="31">
        <f>IF(AND(H372&gt;A388, H372&lt;=E388),H372,0)</f>
        <v>0</v>
      </c>
      <c r="I388" s="31">
        <f>(25000/100*1)+(2/100)*(-A388+H388)</f>
        <v>-250</v>
      </c>
    </row>
    <row r="389" spans="1:9" s="5" customFormat="1" x14ac:dyDescent="0.2">
      <c r="A389" s="31">
        <f>E388</f>
        <v>50000</v>
      </c>
      <c r="B389" s="31"/>
      <c r="C389" s="31"/>
      <c r="D389" s="31"/>
      <c r="E389" s="31">
        <v>175000</v>
      </c>
      <c r="F389" s="32"/>
      <c r="G389" s="31"/>
      <c r="H389" s="31">
        <f>IF(AND(H372&gt;A389, H372&lt;=E389),H372,0)</f>
        <v>0</v>
      </c>
      <c r="I389" s="31">
        <f>(25000/100*1)+(25000/100*2)+((5/100)*(-A389+H389))</f>
        <v>-1750</v>
      </c>
    </row>
    <row r="390" spans="1:9" s="5" customFormat="1" x14ac:dyDescent="0.2">
      <c r="A390" s="31">
        <f>E389</f>
        <v>175000</v>
      </c>
      <c r="B390" s="31"/>
      <c r="C390" s="31"/>
      <c r="D390" s="31"/>
      <c r="E390" s="31">
        <v>250000</v>
      </c>
      <c r="F390" s="32"/>
      <c r="G390" s="31"/>
      <c r="H390" s="31">
        <f>IF(AND(H372&gt;A390, H372&lt;=E390),H372,0)</f>
        <v>0</v>
      </c>
      <c r="I390" s="31">
        <f>(25000/100*1)+(25000/100*2)+(125000/100*5)+((12/100)*(-A390+H390))</f>
        <v>-14000</v>
      </c>
    </row>
    <row r="391" spans="1:9" s="5" customFormat="1" x14ac:dyDescent="0.2">
      <c r="A391" s="31">
        <f>E390</f>
        <v>250000</v>
      </c>
      <c r="B391" s="31"/>
      <c r="C391" s="31"/>
      <c r="D391" s="31"/>
      <c r="E391" s="31">
        <v>500000</v>
      </c>
      <c r="F391" s="32"/>
      <c r="G391" s="31"/>
      <c r="H391" s="31">
        <f>IF(AND(H372&gt;A391, H372&lt;=E391),H372,0)</f>
        <v>0</v>
      </c>
      <c r="I391" s="31">
        <f>(25000/100*1)+(25000/100*2)+(125000/100*5)+(75000/100*12)+((24/100)*(-A391+H391))</f>
        <v>-44000</v>
      </c>
    </row>
    <row r="392" spans="1:9" s="5" customFormat="1" x14ac:dyDescent="0.2">
      <c r="A392" s="31">
        <f>E391</f>
        <v>500000</v>
      </c>
      <c r="B392" s="31"/>
      <c r="C392" s="31"/>
      <c r="D392" s="31"/>
      <c r="E392" s="31">
        <v>999999999</v>
      </c>
      <c r="F392" s="32"/>
      <c r="G392" s="31"/>
      <c r="H392" s="31">
        <f>IF(AND(H372&gt;A392, H372&lt;=E392),H372,0)</f>
        <v>0</v>
      </c>
      <c r="I392" s="31">
        <f>(25000/100*1)+(25000/100*2)+(125000/100*5)+(75000/100*12)+(250000/100*24)+((30/100)*(-A392+H392))</f>
        <v>-74000</v>
      </c>
    </row>
    <row r="393" spans="1:9" s="5" customFormat="1" x14ac:dyDescent="0.2">
      <c r="A393" s="45" t="s">
        <v>4</v>
      </c>
      <c r="B393" s="45"/>
      <c r="C393" s="45"/>
      <c r="D393" s="45"/>
      <c r="E393" s="31"/>
      <c r="F393" s="32"/>
      <c r="G393" s="31"/>
      <c r="H393" s="31"/>
      <c r="I393" s="31">
        <f>VLOOKUP(H372,H387:I392,2,FALSE)</f>
        <v>0</v>
      </c>
    </row>
    <row r="394" spans="1:9" s="5" customFormat="1" x14ac:dyDescent="0.2">
      <c r="A394" s="45"/>
      <c r="B394" s="45"/>
      <c r="C394" s="45"/>
      <c r="D394" s="45"/>
      <c r="E394" s="31"/>
      <c r="F394" s="32"/>
      <c r="G394" s="31"/>
      <c r="H394" s="31"/>
      <c r="I394" s="31"/>
    </row>
    <row r="395" spans="1:9" s="5" customFormat="1" x14ac:dyDescent="0.2">
      <c r="A395" s="43" t="s">
        <v>5</v>
      </c>
      <c r="B395" s="43"/>
      <c r="C395" s="43"/>
      <c r="D395" s="43"/>
      <c r="E395" s="31"/>
      <c r="F395" s="32"/>
      <c r="G395" s="31"/>
      <c r="H395" s="31"/>
      <c r="I395" s="44" t="s">
        <v>6</v>
      </c>
    </row>
    <row r="396" spans="1:9" s="5" customFormat="1" x14ac:dyDescent="0.2">
      <c r="A396" s="31">
        <v>0</v>
      </c>
      <c r="B396" s="31"/>
      <c r="C396" s="31"/>
      <c r="D396" s="31"/>
      <c r="E396" s="31">
        <v>12500</v>
      </c>
      <c r="F396" s="32"/>
      <c r="G396" s="31"/>
      <c r="H396" s="31">
        <f>IF(AND(H372&gt;A396, H372&lt;=E396),H372,0)</f>
        <v>0</v>
      </c>
      <c r="I396" s="31">
        <f>0+(20/100)*(-A396+H396)</f>
        <v>0</v>
      </c>
    </row>
    <row r="397" spans="1:9" s="5" customFormat="1" x14ac:dyDescent="0.2">
      <c r="A397" s="31">
        <f>E396</f>
        <v>12500</v>
      </c>
      <c r="B397" s="31"/>
      <c r="C397" s="31"/>
      <c r="D397" s="31"/>
      <c r="E397" s="31">
        <v>25000</v>
      </c>
      <c r="F397" s="32"/>
      <c r="G397" s="31"/>
      <c r="H397" s="31">
        <f>IF(AND(H372&gt;A397, H372&lt;=E397),H372,0)</f>
        <v>0</v>
      </c>
      <c r="I397" s="31">
        <f>(12500/100*20)+((25/100)*(-A397+H397))</f>
        <v>-625</v>
      </c>
    </row>
    <row r="398" spans="1:9" s="5" customFormat="1" x14ac:dyDescent="0.2">
      <c r="A398" s="31">
        <f>E397</f>
        <v>25000</v>
      </c>
      <c r="B398" s="31"/>
      <c r="C398" s="31"/>
      <c r="D398" s="31"/>
      <c r="E398" s="31">
        <v>75000</v>
      </c>
      <c r="F398" s="32"/>
      <c r="G398" s="31"/>
      <c r="H398" s="31">
        <f>IF(AND(H372&gt;A398, H372&lt;=E398),H372,0)</f>
        <v>0</v>
      </c>
      <c r="I398" s="31">
        <f>(12500/100*20)+(12500/100*25)+((35/100)*(-A398+H398))</f>
        <v>-3125</v>
      </c>
    </row>
    <row r="399" spans="1:9" s="5" customFormat="1" x14ac:dyDescent="0.2">
      <c r="A399" s="31">
        <f>E398</f>
        <v>75000</v>
      </c>
      <c r="B399" s="31"/>
      <c r="C399" s="31"/>
      <c r="D399" s="31"/>
      <c r="E399" s="31">
        <v>175000</v>
      </c>
      <c r="F399" s="32"/>
      <c r="G399" s="31"/>
      <c r="H399" s="31">
        <f>IF(AND(H372&gt;A399, H372&lt;=E399),H372,0)</f>
        <v>0</v>
      </c>
      <c r="I399" s="31">
        <f>(12500/100*20)+(12500/100*25)+(50000/100*35)+((50/100)*(-A399+H399))</f>
        <v>-14375</v>
      </c>
    </row>
    <row r="400" spans="1:9" s="5" customFormat="1" x14ac:dyDescent="0.2">
      <c r="A400" s="31">
        <f>E399</f>
        <v>175000</v>
      </c>
      <c r="B400" s="31"/>
      <c r="C400" s="31"/>
      <c r="D400" s="31"/>
      <c r="E400" s="31">
        <v>999999999</v>
      </c>
      <c r="F400" s="32"/>
      <c r="G400" s="31"/>
      <c r="H400" s="31">
        <f>IF(AND(H372&gt;A400, H372&lt;=E400),H372,0)</f>
        <v>0</v>
      </c>
      <c r="I400" s="31">
        <f>(12500/100*20)+(12500/100*25)+(50000/100*35)+(100000/100*50)+((65/100)*(-A400+H400))</f>
        <v>-40625</v>
      </c>
    </row>
    <row r="401" spans="1:15" s="5" customFormat="1" x14ac:dyDescent="0.2">
      <c r="A401" s="45" t="s">
        <v>4</v>
      </c>
      <c r="B401" s="45"/>
      <c r="C401" s="45"/>
      <c r="D401" s="45"/>
      <c r="E401" s="31"/>
      <c r="F401" s="32"/>
      <c r="G401" s="31"/>
      <c r="H401" s="31"/>
      <c r="I401" s="31">
        <f>VLOOKUP(H372,H396:I400,2,FALSE)</f>
        <v>0</v>
      </c>
    </row>
    <row r="402" spans="1:15" s="5" customFormat="1" x14ac:dyDescent="0.2">
      <c r="F402" s="18"/>
    </row>
    <row r="403" spans="1:15" s="5" customFormat="1" x14ac:dyDescent="0.2">
      <c r="E403" s="28">
        <f>E284</f>
        <v>0</v>
      </c>
      <c r="F403" s="29"/>
      <c r="G403" s="28"/>
      <c r="H403" s="28"/>
      <c r="I403" s="28"/>
    </row>
    <row r="404" spans="1:15" s="5" customFormat="1" x14ac:dyDescent="0.2">
      <c r="E404" s="28"/>
      <c r="F404" s="29"/>
      <c r="G404" s="28"/>
      <c r="H404" s="28"/>
      <c r="I404" s="28"/>
      <c r="N404" s="31"/>
      <c r="O404" s="44" t="s">
        <v>8</v>
      </c>
    </row>
    <row r="405" spans="1:15" s="5" customFormat="1" x14ac:dyDescent="0.2">
      <c r="E405" s="28"/>
      <c r="F405" s="29"/>
      <c r="G405" s="28"/>
      <c r="H405" s="28"/>
      <c r="I405" s="28"/>
      <c r="N405" s="31">
        <f>IF(AND(H372&gt;K407, H372&lt;=M407),H372,0)</f>
        <v>0</v>
      </c>
      <c r="O405" s="31">
        <f>0+(30/100)*(-K407+N405)</f>
        <v>0</v>
      </c>
    </row>
    <row r="406" spans="1:15" s="5" customFormat="1" x14ac:dyDescent="0.2">
      <c r="A406" s="43" t="s">
        <v>22</v>
      </c>
      <c r="B406" s="43"/>
      <c r="C406" s="43"/>
      <c r="D406" s="43"/>
      <c r="E406" s="31"/>
      <c r="F406" s="32"/>
      <c r="G406" s="31"/>
      <c r="H406" s="31"/>
      <c r="I406" s="44" t="s">
        <v>7</v>
      </c>
      <c r="K406" s="43" t="s">
        <v>23</v>
      </c>
      <c r="L406" s="43"/>
      <c r="M406" s="31"/>
      <c r="N406" s="31">
        <f>IF(AND(H372&gt;K408, H372&lt;=M408),H372,0)</f>
        <v>0</v>
      </c>
      <c r="O406" s="31">
        <f>(12500/100*30)+((35/100)*(-K408+N406))</f>
        <v>-625</v>
      </c>
    </row>
    <row r="407" spans="1:15" s="5" customFormat="1" x14ac:dyDescent="0.2">
      <c r="A407" s="31">
        <v>0</v>
      </c>
      <c r="B407" s="31"/>
      <c r="C407" s="31"/>
      <c r="D407" s="31"/>
      <c r="E407" s="31">
        <v>12500</v>
      </c>
      <c r="F407" s="32"/>
      <c r="G407" s="31"/>
      <c r="H407" s="31">
        <f>IF(AND(H372&gt;A407, H372&lt;=E407),H372,0)</f>
        <v>0</v>
      </c>
      <c r="I407" s="31">
        <f>0+(25/100)*(-A407+H407)</f>
        <v>0</v>
      </c>
      <c r="K407" s="31">
        <v>0</v>
      </c>
      <c r="L407" s="31"/>
      <c r="M407" s="31">
        <v>12500</v>
      </c>
      <c r="N407" s="31">
        <f>IF(AND(H372&gt;K409, H372&lt;=M409),H372,0)</f>
        <v>0</v>
      </c>
      <c r="O407" s="31">
        <f>(12500/100*30)+(12500/100*35)+((60/100)*(-K409+N407))</f>
        <v>-6875</v>
      </c>
    </row>
    <row r="408" spans="1:15" s="5" customFormat="1" x14ac:dyDescent="0.2">
      <c r="A408" s="31">
        <f>E407</f>
        <v>12500</v>
      </c>
      <c r="B408" s="31"/>
      <c r="C408" s="31"/>
      <c r="D408" s="31"/>
      <c r="E408" s="31">
        <v>25000</v>
      </c>
      <c r="F408" s="32"/>
      <c r="G408" s="31"/>
      <c r="H408" s="31">
        <f>IF(AND(H372&gt;A408, H372&lt;=E408),H372,0)</f>
        <v>0</v>
      </c>
      <c r="I408" s="31">
        <f>(12500/100*25)+((30/100)*(-A408+H408))</f>
        <v>-625</v>
      </c>
      <c r="K408" s="31">
        <f>M407</f>
        <v>12500</v>
      </c>
      <c r="L408" s="31"/>
      <c r="M408" s="31">
        <v>25000</v>
      </c>
      <c r="N408" s="31">
        <f>IF(AND(H372&gt;K410, H372&lt;=M410),H372,0)</f>
        <v>0</v>
      </c>
      <c r="O408" s="31">
        <f>(12500/100*30)+(12500/100*35)+(50000/100*60)+((80/100)*(-K410+N408))</f>
        <v>-21875</v>
      </c>
    </row>
    <row r="409" spans="1:15" s="5" customFormat="1" x14ac:dyDescent="0.2">
      <c r="A409" s="31">
        <f>E408</f>
        <v>25000</v>
      </c>
      <c r="B409" s="31"/>
      <c r="C409" s="31"/>
      <c r="D409" s="31"/>
      <c r="E409" s="31">
        <v>75000</v>
      </c>
      <c r="F409" s="32"/>
      <c r="G409" s="31"/>
      <c r="H409" s="31">
        <f>IF(AND(H372&gt;A409, H372&lt;=E409),H372,0)</f>
        <v>0</v>
      </c>
      <c r="I409" s="31">
        <f>(12500/100*25)+(12500/100*30)+((40/100)*(-A409+H409))</f>
        <v>-3125</v>
      </c>
      <c r="K409" s="31">
        <f>M408</f>
        <v>25000</v>
      </c>
      <c r="L409" s="31"/>
      <c r="M409" s="31">
        <v>75000</v>
      </c>
      <c r="N409" s="31">
        <f>IF(AND(H372&gt;K411, H372&lt;=M411),H372,0)</f>
        <v>0</v>
      </c>
      <c r="O409" s="31">
        <f>(12500/100*30)+(12500/100*35)+(50000/100*60)+(100000/100*80)+((80/100)*(-K411+N409))</f>
        <v>-21875</v>
      </c>
    </row>
    <row r="410" spans="1:15" s="5" customFormat="1" x14ac:dyDescent="0.2">
      <c r="A410" s="31">
        <f>E409</f>
        <v>75000</v>
      </c>
      <c r="B410" s="31"/>
      <c r="C410" s="31"/>
      <c r="D410" s="31"/>
      <c r="E410" s="31">
        <v>175000</v>
      </c>
      <c r="F410" s="32"/>
      <c r="G410" s="31"/>
      <c r="H410" s="31">
        <f>IF(AND(H372&gt;A410, H372&lt;=E410),H372,0)</f>
        <v>0</v>
      </c>
      <c r="I410" s="31">
        <f>(12500/100*25)+(12500/100*30)+(50000/100*40)+((55/100)*(-A410+H410))</f>
        <v>-14375</v>
      </c>
      <c r="K410" s="31">
        <f>M409</f>
        <v>75000</v>
      </c>
      <c r="L410" s="31"/>
      <c r="M410" s="31">
        <v>175000</v>
      </c>
      <c r="N410" s="31"/>
      <c r="O410" s="31">
        <f>VLOOKUP(H372,N405:O409,2,FALSE)</f>
        <v>0</v>
      </c>
    </row>
    <row r="411" spans="1:15" s="5" customFormat="1" x14ac:dyDescent="0.2">
      <c r="A411" s="31">
        <f>E410</f>
        <v>175000</v>
      </c>
      <c r="B411" s="31"/>
      <c r="C411" s="31"/>
      <c r="D411" s="31"/>
      <c r="E411" s="31">
        <v>999999999</v>
      </c>
      <c r="F411" s="32"/>
      <c r="G411" s="31"/>
      <c r="H411" s="31">
        <f>IF(AND(H372&gt;A411, H372&lt;=E411),H372,0)</f>
        <v>0</v>
      </c>
      <c r="I411" s="31">
        <f>(12500/100*25)+(12500/100*30)+(50000/100*40)+(100000/100*55)+((70/100)*(-A411+H411))</f>
        <v>-40624.999999999985</v>
      </c>
      <c r="K411" s="31">
        <f>M410</f>
        <v>175000</v>
      </c>
      <c r="L411" s="31"/>
      <c r="M411" s="31">
        <v>999999999</v>
      </c>
    </row>
    <row r="412" spans="1:15" s="5" customFormat="1" x14ac:dyDescent="0.2">
      <c r="A412" s="45" t="s">
        <v>4</v>
      </c>
      <c r="B412" s="45"/>
      <c r="C412" s="45"/>
      <c r="D412" s="45"/>
      <c r="E412" s="31"/>
      <c r="F412" s="32"/>
      <c r="G412" s="31"/>
      <c r="H412" s="31"/>
      <c r="I412" s="31">
        <f>VLOOKUP(H372,H407:I411,2,FALSE)</f>
        <v>0</v>
      </c>
      <c r="K412" s="45" t="s">
        <v>4</v>
      </c>
      <c r="L412" s="45"/>
      <c r="M412" s="31"/>
    </row>
    <row r="413" spans="1:15" s="5" customFormat="1" x14ac:dyDescent="0.2">
      <c r="F413" s="18"/>
    </row>
    <row r="414" spans="1:15" s="5" customFormat="1" x14ac:dyDescent="0.2">
      <c r="E414" s="5">
        <f>IF(A415&gt;0,A415-F419,0)</f>
        <v>0</v>
      </c>
      <c r="F414" s="18"/>
    </row>
    <row r="415" spans="1:15" s="5" customFormat="1" x14ac:dyDescent="0.2">
      <c r="A415" s="5">
        <f>IF(AND(DONBIW!E17="oui",DONBIW!F27="ligne directe"),I393,0)</f>
        <v>0</v>
      </c>
      <c r="E415" s="5">
        <f>IF(E414&gt;0,E414,0)</f>
        <v>0</v>
      </c>
      <c r="F415" s="5">
        <f>IF(AND(DONBIW!F27="ligne directe",H372&lt;=125000,DONBIW!E17="oui"),250,0)</f>
        <v>0</v>
      </c>
      <c r="G415" s="5">
        <f>IF(AND(F415&gt;0,(I393-F415&gt;=0)),I393-F415,0)</f>
        <v>0</v>
      </c>
    </row>
    <row r="416" spans="1:15" s="5" customFormat="1" x14ac:dyDescent="0.2">
      <c r="A416" s="5">
        <f>IF(AND(DONBIW!E17="oui",DONBIW!F27="épou(x)(se)"),I393,0)</f>
        <v>0</v>
      </c>
      <c r="E416" s="5">
        <f>IF(A416&gt;0,A416-F419,0)</f>
        <v>0</v>
      </c>
      <c r="F416" s="5">
        <f>IF(AND(DONBIW!F27="ligne directe",H372&gt;125000,DONBIW!E17="oui"),125,0)</f>
        <v>0</v>
      </c>
      <c r="G416" s="5">
        <f>IF(AND(F416&gt;0,(I393-F416&gt;=0)),I393-F416,0)</f>
        <v>0</v>
      </c>
    </row>
    <row r="417" spans="1:11" s="5" customFormat="1" x14ac:dyDescent="0.2">
      <c r="A417" s="5">
        <f>IF(AND(DONBIW!E17="non",DONBIW!F27="ligne directe"),I384,0)</f>
        <v>0</v>
      </c>
      <c r="E417" s="5">
        <f>IF(AND(DONBIW!E17="non",DONBIW!F27="ligne directe"),I384,0)</f>
        <v>0</v>
      </c>
      <c r="F417" s="5">
        <f>IF(AND(DONBIW!F27="épou(x)(se)",H372&lt;=125000,DONBIW!E17="oui"),250,0)</f>
        <v>0</v>
      </c>
      <c r="G417" s="5">
        <f>IF(AND(F417&gt;0,(I393-F417&gt;=0)),I393-F417,0)</f>
        <v>0</v>
      </c>
    </row>
    <row r="418" spans="1:11" s="5" customFormat="1" x14ac:dyDescent="0.2">
      <c r="A418" s="5">
        <f>IF(AND(DONBIW!E17="non",DONBIW!F27="épou(x)(se)"),I384,0)</f>
        <v>0</v>
      </c>
      <c r="E418" s="5">
        <f>IF(AND(DONBIW!E17="non",DONBIW!F27="épou(x)(se)"),I384,0)</f>
        <v>0</v>
      </c>
      <c r="F418" s="5">
        <f>IF(AND(DONBIW!F27="épou(x)(se)",H372&gt;125000,DONBIW!E17="oui"),125,0)</f>
        <v>0</v>
      </c>
      <c r="G418" s="5">
        <f>IF(AND(F418&gt;0,(I393-F418&gt;=0)),I393-F418,0)</f>
        <v>0</v>
      </c>
    </row>
    <row r="419" spans="1:11" s="5" customFormat="1" x14ac:dyDescent="0.2">
      <c r="A419" s="5">
        <f>IF(DONBIW!F27="frère/soeur",I401,0)</f>
        <v>0</v>
      </c>
      <c r="E419" s="5">
        <f>IF(DONBIW!F27="frère/soeur",I401,0)</f>
        <v>0</v>
      </c>
      <c r="F419" s="5">
        <f>SUM(F415:F418)</f>
        <v>0</v>
      </c>
      <c r="G419" s="5">
        <f>SUM(G415:G418)</f>
        <v>0</v>
      </c>
    </row>
    <row r="420" spans="1:11" s="5" customFormat="1" x14ac:dyDescent="0.2">
      <c r="A420" s="5">
        <f>IF(DONBIW!F27="oncle-tante/neveu-nièce",I412,0)</f>
        <v>0</v>
      </c>
      <c r="E420" s="5">
        <f>IF(DONBIW!F27="oncle-tante/neveu-nièce",I412,0)</f>
        <v>0</v>
      </c>
    </row>
    <row r="421" spans="1:11" s="5" customFormat="1" x14ac:dyDescent="0.2">
      <c r="A421" s="5">
        <f>IF(DONBIW!F27="étrangers",O410,0)</f>
        <v>0</v>
      </c>
      <c r="E421" s="5">
        <f>IF(DONBIW!F27="étrangers",O410,0)</f>
        <v>0</v>
      </c>
    </row>
    <row r="422" spans="1:11" s="5" customFormat="1" x14ac:dyDescent="0.2"/>
    <row r="423" spans="1:11" s="5" customFormat="1" x14ac:dyDescent="0.2">
      <c r="A423" s="5">
        <f>SUM(A415:A422)</f>
        <v>0</v>
      </c>
      <c r="E423" s="5">
        <f>SUM(E415:E422)</f>
        <v>0</v>
      </c>
    </row>
    <row r="424" spans="1:11" s="5" customFormat="1" x14ac:dyDescent="0.2"/>
    <row r="425" spans="1:11" s="5" customFormat="1" x14ac:dyDescent="0.2"/>
    <row r="426" spans="1:11" s="5" customFormat="1" x14ac:dyDescent="0.2">
      <c r="A426" s="5" t="s">
        <v>93</v>
      </c>
      <c r="E426" s="5" t="s">
        <v>100</v>
      </c>
    </row>
    <row r="427" spans="1:11" s="5" customFormat="1" x14ac:dyDescent="0.2"/>
    <row r="428" spans="1:11" s="5" customFormat="1" x14ac:dyDescent="0.2">
      <c r="A428" s="5" t="s">
        <v>93</v>
      </c>
      <c r="E428" s="5">
        <f>IF(DONBIW!I27=3,E423*12%,0)</f>
        <v>0</v>
      </c>
      <c r="F428" s="5">
        <f>IF(E428&gt;372,372,E428)</f>
        <v>0</v>
      </c>
      <c r="H428" s="5" t="s">
        <v>26</v>
      </c>
      <c r="I428" s="5">
        <f>6%*E423</f>
        <v>0</v>
      </c>
      <c r="J428" s="5">
        <f>IF(I428&gt;186,186,I428)</f>
        <v>0</v>
      </c>
      <c r="K428" s="5">
        <f>IF(DONBIW!I27=3,J428,0)</f>
        <v>0</v>
      </c>
    </row>
    <row r="429" spans="1:11" s="5" customFormat="1" x14ac:dyDescent="0.2">
      <c r="E429" s="5">
        <f>IF(DONBIW!I27=4,E423*16%,0)</f>
        <v>0</v>
      </c>
      <c r="F429" s="5">
        <f>IF(E429&gt;496,496,E429)</f>
        <v>0</v>
      </c>
      <c r="H429" s="5" t="s">
        <v>27</v>
      </c>
      <c r="I429" s="5">
        <f>8%*E423</f>
        <v>0</v>
      </c>
      <c r="J429" s="5">
        <f>IF(I429&gt;248,248,I429)</f>
        <v>0</v>
      </c>
      <c r="K429" s="5">
        <f>IF(DONBIW!I27=4,J429,0)</f>
        <v>0</v>
      </c>
    </row>
    <row r="430" spans="1:11" s="5" customFormat="1" x14ac:dyDescent="0.2">
      <c r="E430" s="5">
        <f>IF(DONBIW!I27=5,E423*20%,0)</f>
        <v>0</v>
      </c>
      <c r="F430" s="5">
        <f>IF(E430&gt;620,620,E430)</f>
        <v>0</v>
      </c>
      <c r="I430" s="5">
        <f>10%*E423</f>
        <v>0</v>
      </c>
      <c r="J430" s="5">
        <f>IF(I430&gt;310,310,I430)</f>
        <v>0</v>
      </c>
      <c r="K430" s="5">
        <f>IF(DONBIW!I27=5,J430,0)</f>
        <v>0</v>
      </c>
    </row>
    <row r="431" spans="1:11" s="5" customFormat="1" x14ac:dyDescent="0.2">
      <c r="E431" s="5">
        <f>IF(DONBIW!I27=6,E423*24%,0)</f>
        <v>0</v>
      </c>
      <c r="F431" s="5">
        <f>IF(E431&gt;744,744,E431)</f>
        <v>0</v>
      </c>
      <c r="I431" s="5">
        <f>12%*E423</f>
        <v>0</v>
      </c>
      <c r="J431" s="5">
        <f>IF(I431&gt;372,372,I431)</f>
        <v>0</v>
      </c>
      <c r="K431" s="5">
        <f>IF(DONBIW!I27=6,J431,0)</f>
        <v>0</v>
      </c>
    </row>
    <row r="432" spans="1:11" s="5" customFormat="1" x14ac:dyDescent="0.2">
      <c r="E432" s="5">
        <f>IF(DONBIW!I27=7,E423*28%,0)</f>
        <v>0</v>
      </c>
      <c r="F432" s="5">
        <f>IF(E432&gt;868,868,E432)</f>
        <v>0</v>
      </c>
      <c r="I432" s="5">
        <f>14%*E423</f>
        <v>0</v>
      </c>
      <c r="J432" s="5">
        <f>IF(I432&gt;434,434,I432)</f>
        <v>0</v>
      </c>
      <c r="K432" s="5">
        <f>IF(DONBIW!I27=7,J432,0)</f>
        <v>0</v>
      </c>
    </row>
    <row r="433" spans="1:11" s="5" customFormat="1" x14ac:dyDescent="0.2">
      <c r="E433" s="5">
        <f>IF(DONBIW!I27=8,E423*32%,0)</f>
        <v>0</v>
      </c>
      <c r="F433" s="5">
        <f>IF(E433&gt;992,992,E433)</f>
        <v>0</v>
      </c>
      <c r="I433" s="5">
        <f>16%*E423</f>
        <v>0</v>
      </c>
      <c r="J433" s="5">
        <f>IF(I433&gt;496,496,I433)</f>
        <v>0</v>
      </c>
      <c r="K433" s="5">
        <f>IF(DONBIW!I27=8,J433,0)</f>
        <v>0</v>
      </c>
    </row>
    <row r="434" spans="1:11" s="5" customFormat="1" x14ac:dyDescent="0.2">
      <c r="E434" s="5">
        <f>IF(DONBIW!I27=9,E423*36%,0)</f>
        <v>0</v>
      </c>
      <c r="F434" s="5">
        <f>IF(E434&gt;1116,1116,E434)</f>
        <v>0</v>
      </c>
      <c r="I434" s="5">
        <f>18%*E423</f>
        <v>0</v>
      </c>
      <c r="J434" s="5">
        <f>IF(I434&gt;558,558,I434)</f>
        <v>0</v>
      </c>
      <c r="K434" s="5">
        <f>IF(DONBIW!I27=9,J434,0)</f>
        <v>0</v>
      </c>
    </row>
    <row r="435" spans="1:11" s="5" customFormat="1" x14ac:dyDescent="0.2">
      <c r="E435" s="5">
        <f>IF(DONBIW!I27=10,E423*40%,0)</f>
        <v>0</v>
      </c>
      <c r="F435" s="5">
        <f>IF(E435&gt;1240,1240,E435)</f>
        <v>0</v>
      </c>
      <c r="I435" s="5">
        <f>20%*E423</f>
        <v>0</v>
      </c>
      <c r="J435" s="5">
        <f>IF(I435&gt;620,620,I435)</f>
        <v>0</v>
      </c>
      <c r="K435" s="5">
        <f>IF(DONBIW!I27=10,J435,0)</f>
        <v>0</v>
      </c>
    </row>
    <row r="436" spans="1:11" s="5" customFormat="1" x14ac:dyDescent="0.2"/>
    <row r="437" spans="1:11" s="5" customFormat="1" x14ac:dyDescent="0.2">
      <c r="F437" s="5">
        <f>SUM(F428:F436)</f>
        <v>0</v>
      </c>
      <c r="K437" s="5">
        <f>SUM(K428:K436)</f>
        <v>0</v>
      </c>
    </row>
    <row r="438" spans="1:11" s="5" customFormat="1" x14ac:dyDescent="0.2">
      <c r="F438" s="18"/>
    </row>
    <row r="439" spans="1:11" s="5" customFormat="1" x14ac:dyDescent="0.2">
      <c r="F439" s="18"/>
    </row>
    <row r="440" spans="1:11" s="5" customFormat="1" x14ac:dyDescent="0.2">
      <c r="F440" s="18"/>
    </row>
    <row r="441" spans="1:11" s="5" customFormat="1" x14ac:dyDescent="0.2">
      <c r="A441" s="5" t="s">
        <v>33</v>
      </c>
      <c r="E441" s="20">
        <f>E423-F437</f>
        <v>0</v>
      </c>
      <c r="F441" s="18"/>
      <c r="G441" s="5" t="s">
        <v>34</v>
      </c>
      <c r="H441" s="47">
        <f>E423-K437</f>
        <v>0</v>
      </c>
    </row>
    <row r="442" spans="1:11" s="5" customFormat="1" x14ac:dyDescent="0.2">
      <c r="F442" s="18"/>
    </row>
    <row r="443" spans="1:11" s="5" customFormat="1" x14ac:dyDescent="0.2">
      <c r="F443" s="18"/>
    </row>
    <row r="444" spans="1:11" s="5" customFormat="1" x14ac:dyDescent="0.2">
      <c r="F444" s="18"/>
    </row>
    <row r="445" spans="1:11" s="5" customFormat="1" x14ac:dyDescent="0.2">
      <c r="F445" s="18"/>
    </row>
    <row r="446" spans="1:11" s="5" customFormat="1" x14ac:dyDescent="0.2">
      <c r="F446" s="18"/>
    </row>
    <row r="447" spans="1:11" s="5" customFormat="1" x14ac:dyDescent="0.2">
      <c r="F447" s="18"/>
    </row>
    <row r="448" spans="1:11" s="5" customFormat="1" x14ac:dyDescent="0.2">
      <c r="F448" s="18"/>
    </row>
    <row r="449" spans="6:6" s="5" customFormat="1" x14ac:dyDescent="0.2">
      <c r="F449" s="18"/>
    </row>
    <row r="450" spans="6:6" s="5" customFormat="1" x14ac:dyDescent="0.2">
      <c r="F450" s="18"/>
    </row>
    <row r="451" spans="6:6" s="5" customFormat="1" x14ac:dyDescent="0.2">
      <c r="F451" s="18"/>
    </row>
    <row r="452" spans="6:6" s="5" customFormat="1" x14ac:dyDescent="0.2">
      <c r="F452" s="18"/>
    </row>
    <row r="453" spans="6:6" s="5" customFormat="1" x14ac:dyDescent="0.2">
      <c r="F453" s="18"/>
    </row>
    <row r="454" spans="6:6" s="5" customFormat="1" x14ac:dyDescent="0.2">
      <c r="F454" s="18"/>
    </row>
    <row r="455" spans="6:6" s="5" customFormat="1" x14ac:dyDescent="0.2">
      <c r="F455" s="18"/>
    </row>
    <row r="456" spans="6:6" s="5" customFormat="1" x14ac:dyDescent="0.2">
      <c r="F456" s="18"/>
    </row>
    <row r="457" spans="6:6" s="5" customFormat="1" x14ac:dyDescent="0.2">
      <c r="F457" s="18"/>
    </row>
    <row r="458" spans="6:6" s="5" customFormat="1" x14ac:dyDescent="0.2">
      <c r="F458" s="18"/>
    </row>
    <row r="459" spans="6:6" s="5" customFormat="1" x14ac:dyDescent="0.2">
      <c r="F459" s="18"/>
    </row>
    <row r="460" spans="6:6" s="5" customFormat="1" x14ac:dyDescent="0.2">
      <c r="F460" s="18"/>
    </row>
    <row r="461" spans="6:6" s="5" customFormat="1" x14ac:dyDescent="0.2">
      <c r="F461" s="18"/>
    </row>
    <row r="462" spans="6:6" s="5" customFormat="1" x14ac:dyDescent="0.2">
      <c r="F462" s="18"/>
    </row>
    <row r="463" spans="6:6" s="5" customFormat="1" x14ac:dyDescent="0.2">
      <c r="F463" s="18"/>
    </row>
    <row r="464" spans="6:6" s="5" customFormat="1" x14ac:dyDescent="0.2">
      <c r="F464" s="18"/>
    </row>
    <row r="465" spans="1:9" s="5" customFormat="1" x14ac:dyDescent="0.2">
      <c r="F465" s="18"/>
    </row>
    <row r="466" spans="1:9" s="5" customFormat="1" x14ac:dyDescent="0.2">
      <c r="F466" s="18"/>
    </row>
    <row r="467" spans="1:9" s="5" customFormat="1" x14ac:dyDescent="0.2">
      <c r="F467" s="18"/>
    </row>
    <row r="468" spans="1:9" s="5" customFormat="1" x14ac:dyDescent="0.2">
      <c r="F468" s="18"/>
    </row>
    <row r="469" spans="1:9" s="5" customFormat="1" x14ac:dyDescent="0.2">
      <c r="F469" s="18"/>
    </row>
    <row r="470" spans="1:9" s="5" customFormat="1" x14ac:dyDescent="0.2">
      <c r="F470" s="18"/>
    </row>
    <row r="471" spans="1:9" s="5" customFormat="1" x14ac:dyDescent="0.2">
      <c r="F471" s="18"/>
    </row>
    <row r="472" spans="1:9" s="5" customFormat="1" x14ac:dyDescent="0.2">
      <c r="F472" s="18"/>
      <c r="H472" s="28">
        <f>DONBIW!G34</f>
        <v>0</v>
      </c>
    </row>
    <row r="473" spans="1:9" s="5" customFormat="1" x14ac:dyDescent="0.2">
      <c r="F473" s="18"/>
    </row>
    <row r="474" spans="1:9" s="5" customFormat="1" x14ac:dyDescent="0.2">
      <c r="A474" s="43" t="s">
        <v>2</v>
      </c>
      <c r="B474" s="43"/>
      <c r="C474" s="43"/>
      <c r="D474" s="43"/>
      <c r="E474" s="31"/>
      <c r="F474" s="32"/>
      <c r="G474" s="31"/>
      <c r="H474" s="31"/>
      <c r="I474" s="44" t="s">
        <v>3</v>
      </c>
    </row>
    <row r="475" spans="1:9" s="5" customFormat="1" x14ac:dyDescent="0.2">
      <c r="A475" s="31">
        <v>0</v>
      </c>
      <c r="B475" s="31"/>
      <c r="C475" s="31"/>
      <c r="D475" s="31"/>
      <c r="E475" s="31">
        <v>12500</v>
      </c>
      <c r="F475" s="32"/>
      <c r="G475" s="31"/>
      <c r="H475" s="31">
        <f>IF(AND(H472&gt;A475,H472&lt;=E475),H472,0)</f>
        <v>0</v>
      </c>
      <c r="I475" s="31">
        <f>0+(3/100)*(-A475+H475)</f>
        <v>0</v>
      </c>
    </row>
    <row r="476" spans="1:9" s="5" customFormat="1" x14ac:dyDescent="0.2">
      <c r="A476" s="31">
        <f t="shared" ref="A476:A483" si="2">E475</f>
        <v>12500</v>
      </c>
      <c r="B476" s="31"/>
      <c r="C476" s="31"/>
      <c r="D476" s="31"/>
      <c r="E476" s="31">
        <v>25000</v>
      </c>
      <c r="F476" s="32"/>
      <c r="G476" s="31"/>
      <c r="H476" s="31">
        <f>IF(AND(H472&gt;A476, H472&lt;=E476),H472,0)</f>
        <v>0</v>
      </c>
      <c r="I476" s="31">
        <f>(12500/100*3)+(4/100)*(-A476+H476)</f>
        <v>-125</v>
      </c>
    </row>
    <row r="477" spans="1:9" s="5" customFormat="1" x14ac:dyDescent="0.2">
      <c r="A477" s="31">
        <f t="shared" si="2"/>
        <v>25000</v>
      </c>
      <c r="B477" s="31"/>
      <c r="C477" s="31"/>
      <c r="D477" s="31"/>
      <c r="E477" s="31">
        <v>50000</v>
      </c>
      <c r="F477" s="32"/>
      <c r="G477" s="31"/>
      <c r="H477" s="31">
        <f>IF(AND(H472&gt;A477, H472&lt;=E477),H472,0)</f>
        <v>0</v>
      </c>
      <c r="I477" s="31">
        <f>(12500/100*3)+(12500/100*4)+((5/100)*(-A477+H477))</f>
        <v>-375</v>
      </c>
    </row>
    <row r="478" spans="1:9" s="5" customFormat="1" x14ac:dyDescent="0.2">
      <c r="A478" s="31">
        <f t="shared" si="2"/>
        <v>50000</v>
      </c>
      <c r="B478" s="31"/>
      <c r="C478" s="31"/>
      <c r="D478" s="31"/>
      <c r="E478" s="31">
        <v>100000</v>
      </c>
      <c r="F478" s="32"/>
      <c r="G478" s="31"/>
      <c r="H478" s="31">
        <f>IF(AND(H472&gt;A478, H472&lt;=E478),H472,0)</f>
        <v>0</v>
      </c>
      <c r="I478" s="31">
        <f>(12500/100*3)+(12500/100*4)+(25000/100*5)+((7/100)*(-A478+H478))</f>
        <v>-1375.0000000000005</v>
      </c>
    </row>
    <row r="479" spans="1:9" s="5" customFormat="1" x14ac:dyDescent="0.2">
      <c r="A479" s="31">
        <f t="shared" si="2"/>
        <v>100000</v>
      </c>
      <c r="B479" s="31"/>
      <c r="C479" s="31"/>
      <c r="D479" s="31"/>
      <c r="E479" s="31">
        <v>150000</v>
      </c>
      <c r="F479" s="32"/>
      <c r="G479" s="31"/>
      <c r="H479" s="31">
        <f>IF(AND(H472&gt;A479, H472&lt;=E479),H472,0)</f>
        <v>0</v>
      </c>
      <c r="I479" s="31">
        <f>(12500/100*3)+(12500/100*4)+(25000/100*5)+(50000/100*7)+((10/100)*(-A479+H479))</f>
        <v>-4375</v>
      </c>
    </row>
    <row r="480" spans="1:9" s="5" customFormat="1" x14ac:dyDescent="0.2">
      <c r="A480" s="31">
        <f t="shared" si="2"/>
        <v>150000</v>
      </c>
      <c r="B480" s="31"/>
      <c r="C480" s="31"/>
      <c r="D480" s="31"/>
      <c r="E480" s="31">
        <v>200000</v>
      </c>
      <c r="F480" s="32"/>
      <c r="G480" s="31"/>
      <c r="H480" s="31">
        <f>IF(AND(H472&gt;A480, H472&lt;=E480),H472,0)</f>
        <v>0</v>
      </c>
      <c r="I480" s="31">
        <f>(12500/100*3)+(12500/100*4)+(25000/100*5)+(50000/100*7)+(50000/100*10)+((14/100)*(-A480+H480))</f>
        <v>-10375.000000000004</v>
      </c>
    </row>
    <row r="481" spans="1:9" s="5" customFormat="1" x14ac:dyDescent="0.2">
      <c r="A481" s="31">
        <f t="shared" si="2"/>
        <v>200000</v>
      </c>
      <c r="B481" s="31"/>
      <c r="C481" s="31"/>
      <c r="D481" s="31"/>
      <c r="E481" s="31">
        <v>250000</v>
      </c>
      <c r="F481" s="32"/>
      <c r="G481" s="31"/>
      <c r="H481" s="31">
        <f>IF(AND(H472&gt;A481, H472&lt;=E481),H472,0)</f>
        <v>0</v>
      </c>
      <c r="I481" s="31">
        <f>(12500/100*3)+(12500/100*4)+(25000/100*5)+(50000/100*7)+(50000/100*10)+(50000/100*14)+((18/100)*(-A481+H481))</f>
        <v>-18375</v>
      </c>
    </row>
    <row r="482" spans="1:9" s="5" customFormat="1" x14ac:dyDescent="0.2">
      <c r="A482" s="31">
        <f t="shared" si="2"/>
        <v>250000</v>
      </c>
      <c r="B482" s="31"/>
      <c r="C482" s="31"/>
      <c r="D482" s="31"/>
      <c r="E482" s="31">
        <v>500000</v>
      </c>
      <c r="F482" s="32"/>
      <c r="G482" s="31"/>
      <c r="H482" s="31">
        <f>IF(AND(H472&gt;A482, H472&lt;=E482),H472,0)</f>
        <v>0</v>
      </c>
      <c r="I482" s="31">
        <f>(12500/100*3)+(12500/100*4)+(25000/100*5)+(50000/100*7)+(50000/100*10)+(50000/100*14)+(50000/100*18)+((24/100)*(-A482+H482))</f>
        <v>-33375</v>
      </c>
    </row>
    <row r="483" spans="1:9" s="5" customFormat="1" x14ac:dyDescent="0.2">
      <c r="A483" s="31">
        <f t="shared" si="2"/>
        <v>500000</v>
      </c>
      <c r="B483" s="31"/>
      <c r="C483" s="31"/>
      <c r="D483" s="31"/>
      <c r="E483" s="31">
        <v>999999999</v>
      </c>
      <c r="F483" s="32"/>
      <c r="G483" s="31"/>
      <c r="H483" s="31">
        <f>IF(AND(H472&gt;A483, H472&lt;=E483),H472,0)</f>
        <v>0</v>
      </c>
      <c r="I483" s="31">
        <f>(12500/100*3)+(12500/100*4)+(25000/100*5)+(50000/100*7)+(50000/100*10)+(50000/100*14)+(50000/100*18)+(250000/100*24)+((30/100)*(-A483+H483))</f>
        <v>-63375</v>
      </c>
    </row>
    <row r="484" spans="1:9" s="5" customFormat="1" x14ac:dyDescent="0.2">
      <c r="A484" s="45" t="s">
        <v>4</v>
      </c>
      <c r="B484" s="45"/>
      <c r="C484" s="45"/>
      <c r="D484" s="45"/>
      <c r="E484" s="31"/>
      <c r="F484" s="32"/>
      <c r="G484" s="31"/>
      <c r="H484" s="31"/>
      <c r="I484" s="31">
        <f>VLOOKUP(H472,H475:I483,2,FALSE)</f>
        <v>0</v>
      </c>
    </row>
    <row r="485" spans="1:9" s="5" customFormat="1" x14ac:dyDescent="0.2">
      <c r="A485" s="45"/>
      <c r="B485" s="45"/>
      <c r="C485" s="45"/>
      <c r="D485" s="45"/>
      <c r="E485" s="31"/>
      <c r="F485" s="32"/>
      <c r="G485" s="31"/>
      <c r="H485" s="31"/>
      <c r="I485" s="31"/>
    </row>
    <row r="486" spans="1:9" s="5" customFormat="1" x14ac:dyDescent="0.2">
      <c r="A486" s="46" t="s">
        <v>24</v>
      </c>
      <c r="B486" s="46"/>
      <c r="C486" s="46"/>
      <c r="D486" s="46"/>
      <c r="E486" s="31"/>
      <c r="F486" s="32"/>
      <c r="G486" s="31"/>
      <c r="H486" s="31"/>
      <c r="I486" s="44" t="s">
        <v>25</v>
      </c>
    </row>
    <row r="487" spans="1:9" s="5" customFormat="1" x14ac:dyDescent="0.2">
      <c r="A487" s="31">
        <v>0</v>
      </c>
      <c r="B487" s="31"/>
      <c r="C487" s="31"/>
      <c r="D487" s="31"/>
      <c r="E487" s="31">
        <v>25000</v>
      </c>
      <c r="F487" s="32"/>
      <c r="G487" s="31"/>
      <c r="H487" s="31">
        <f>IF(AND(H472&gt;A487, H472&lt;=E487),H472,0)</f>
        <v>0</v>
      </c>
      <c r="I487" s="31">
        <f>0+(1/100)*(-A487+H487)</f>
        <v>0</v>
      </c>
    </row>
    <row r="488" spans="1:9" s="5" customFormat="1" x14ac:dyDescent="0.2">
      <c r="A488" s="31">
        <f>E487</f>
        <v>25000</v>
      </c>
      <c r="B488" s="31"/>
      <c r="C488" s="31"/>
      <c r="D488" s="31"/>
      <c r="E488" s="31">
        <v>50000</v>
      </c>
      <c r="F488" s="32"/>
      <c r="G488" s="31"/>
      <c r="H488" s="31">
        <f>IF(AND(H472&gt;A488, H472&lt;=E488),H472,0)</f>
        <v>0</v>
      </c>
      <c r="I488" s="31">
        <f>(25000/100*1)+(2/100)*(-A488+H488)</f>
        <v>-250</v>
      </c>
    </row>
    <row r="489" spans="1:9" s="5" customFormat="1" x14ac:dyDescent="0.2">
      <c r="A489" s="31">
        <f>E488</f>
        <v>50000</v>
      </c>
      <c r="B489" s="31"/>
      <c r="C489" s="31"/>
      <c r="D489" s="31"/>
      <c r="E489" s="31">
        <v>175000</v>
      </c>
      <c r="F489" s="32"/>
      <c r="G489" s="31"/>
      <c r="H489" s="31">
        <f>IF(AND(H472&gt;A489, H472&lt;=E489),H472,0)</f>
        <v>0</v>
      </c>
      <c r="I489" s="31">
        <f>(25000/100*1)+(25000/100*2)+((5/100)*(-A489+H489))</f>
        <v>-1750</v>
      </c>
    </row>
    <row r="490" spans="1:9" s="5" customFormat="1" x14ac:dyDescent="0.2">
      <c r="A490" s="31">
        <f>E489</f>
        <v>175000</v>
      </c>
      <c r="B490" s="31"/>
      <c r="C490" s="31"/>
      <c r="D490" s="31"/>
      <c r="E490" s="31">
        <v>250000</v>
      </c>
      <c r="F490" s="32"/>
      <c r="G490" s="31"/>
      <c r="H490" s="31">
        <f>IF(AND(H472&gt;A490, H472&lt;=E490),H472,0)</f>
        <v>0</v>
      </c>
      <c r="I490" s="31">
        <f>(25000/100*1)+(25000/100*2)+(125000/100*5)+((12/100)*(-A490+H490))</f>
        <v>-14000</v>
      </c>
    </row>
    <row r="491" spans="1:9" s="5" customFormat="1" x14ac:dyDescent="0.2">
      <c r="A491" s="31">
        <f>E490</f>
        <v>250000</v>
      </c>
      <c r="B491" s="31"/>
      <c r="C491" s="31"/>
      <c r="D491" s="31"/>
      <c r="E491" s="31">
        <v>500000</v>
      </c>
      <c r="F491" s="32"/>
      <c r="G491" s="31"/>
      <c r="H491" s="31">
        <f>IF(AND(H472&gt;A491, H472&lt;=E491),H472,0)</f>
        <v>0</v>
      </c>
      <c r="I491" s="31">
        <f>(25000/100*1)+(25000/100*2)+(125000/100*5)+(75000/100*12)+((24/100)*(-A491+H491))</f>
        <v>-44000</v>
      </c>
    </row>
    <row r="492" spans="1:9" s="5" customFormat="1" x14ac:dyDescent="0.2">
      <c r="A492" s="31">
        <f>E491</f>
        <v>500000</v>
      </c>
      <c r="B492" s="31"/>
      <c r="C492" s="31"/>
      <c r="D492" s="31"/>
      <c r="E492" s="31">
        <v>999999999</v>
      </c>
      <c r="F492" s="32"/>
      <c r="G492" s="31"/>
      <c r="H492" s="31">
        <f>IF(AND(H472&gt;A492, H472&lt;=E492),H472,0)</f>
        <v>0</v>
      </c>
      <c r="I492" s="31">
        <f>(25000/100*1)+(25000/100*2)+(125000/100*5)+(75000/100*12)+(250000/100*24)+((30/100)*(-A492+H492))</f>
        <v>-74000</v>
      </c>
    </row>
    <row r="493" spans="1:9" s="5" customFormat="1" x14ac:dyDescent="0.2">
      <c r="A493" s="45" t="s">
        <v>4</v>
      </c>
      <c r="B493" s="45"/>
      <c r="C493" s="45"/>
      <c r="D493" s="45"/>
      <c r="E493" s="31"/>
      <c r="F493" s="32"/>
      <c r="G493" s="31"/>
      <c r="H493" s="31"/>
      <c r="I493" s="31">
        <f>VLOOKUP(H472,H487:I492,2,FALSE)</f>
        <v>0</v>
      </c>
    </row>
    <row r="494" spans="1:9" s="5" customFormat="1" x14ac:dyDescent="0.2">
      <c r="A494" s="45"/>
      <c r="B494" s="45"/>
      <c r="C494" s="45"/>
      <c r="D494" s="45"/>
      <c r="E494" s="31"/>
      <c r="F494" s="32"/>
      <c r="G494" s="31"/>
      <c r="H494" s="31"/>
      <c r="I494" s="31"/>
    </row>
    <row r="495" spans="1:9" s="5" customFormat="1" x14ac:dyDescent="0.2">
      <c r="A495" s="43" t="s">
        <v>5</v>
      </c>
      <c r="B495" s="43"/>
      <c r="C495" s="43"/>
      <c r="D495" s="43"/>
      <c r="E495" s="31"/>
      <c r="F495" s="32"/>
      <c r="G495" s="31"/>
      <c r="H495" s="31"/>
      <c r="I495" s="44" t="s">
        <v>6</v>
      </c>
    </row>
    <row r="496" spans="1:9" s="5" customFormat="1" x14ac:dyDescent="0.2">
      <c r="A496" s="31">
        <v>0</v>
      </c>
      <c r="B496" s="31"/>
      <c r="C496" s="31"/>
      <c r="D496" s="31"/>
      <c r="E496" s="31">
        <v>12500</v>
      </c>
      <c r="F496" s="32"/>
      <c r="G496" s="31"/>
      <c r="H496" s="31">
        <f>IF(AND(H472&gt;A496, H472&lt;=E496),H472,0)</f>
        <v>0</v>
      </c>
      <c r="I496" s="31">
        <f>0+(20/100)*(-A496+H496)</f>
        <v>0</v>
      </c>
    </row>
    <row r="497" spans="1:15" s="5" customFormat="1" x14ac:dyDescent="0.2">
      <c r="A497" s="31">
        <f>E496</f>
        <v>12500</v>
      </c>
      <c r="B497" s="31"/>
      <c r="C497" s="31"/>
      <c r="D497" s="31"/>
      <c r="E497" s="31">
        <v>25000</v>
      </c>
      <c r="F497" s="32"/>
      <c r="G497" s="31"/>
      <c r="H497" s="31">
        <f>IF(AND(H472&gt;A497, H472&lt;=E497),H472,0)</f>
        <v>0</v>
      </c>
      <c r="I497" s="31">
        <f>(12500/100*20)+((25/100)*(-A497+H497))</f>
        <v>-625</v>
      </c>
    </row>
    <row r="498" spans="1:15" s="5" customFormat="1" x14ac:dyDescent="0.2">
      <c r="A498" s="31">
        <f>E497</f>
        <v>25000</v>
      </c>
      <c r="B498" s="31"/>
      <c r="C498" s="31"/>
      <c r="D498" s="31"/>
      <c r="E498" s="31">
        <v>75000</v>
      </c>
      <c r="F498" s="32"/>
      <c r="G498" s="31"/>
      <c r="H498" s="31">
        <f>IF(AND(H472&gt;A498, H472&lt;=E498),H472,0)</f>
        <v>0</v>
      </c>
      <c r="I498" s="31">
        <f>(12500/100*20)+(12500/100*25)+((35/100)*(-A498+H498))</f>
        <v>-3125</v>
      </c>
    </row>
    <row r="499" spans="1:15" s="5" customFormat="1" x14ac:dyDescent="0.2">
      <c r="A499" s="31">
        <f>E498</f>
        <v>75000</v>
      </c>
      <c r="B499" s="31"/>
      <c r="C499" s="31"/>
      <c r="D499" s="31"/>
      <c r="E499" s="31">
        <v>175000</v>
      </c>
      <c r="F499" s="32"/>
      <c r="G499" s="31"/>
      <c r="H499" s="31">
        <f>IF(AND(H472&gt;A499, H472&lt;=E499),H472,0)</f>
        <v>0</v>
      </c>
      <c r="I499" s="31">
        <f>(12500/100*20)+(12500/100*25)+(50000/100*35)+((50/100)*(-A499+H499))</f>
        <v>-14375</v>
      </c>
    </row>
    <row r="500" spans="1:15" s="5" customFormat="1" x14ac:dyDescent="0.2">
      <c r="A500" s="31">
        <f>E499</f>
        <v>175000</v>
      </c>
      <c r="B500" s="31"/>
      <c r="C500" s="31"/>
      <c r="D500" s="31"/>
      <c r="E500" s="31">
        <v>999999999</v>
      </c>
      <c r="F500" s="32"/>
      <c r="G500" s="31"/>
      <c r="H500" s="31">
        <f>IF(AND(H472&gt;A500, H472&lt;=E500),H472,0)</f>
        <v>0</v>
      </c>
      <c r="I500" s="31">
        <f>(12500/100*20)+(12500/100*25)+(50000/100*35)+(100000/100*50)+((65/100)*(-A500+H500))</f>
        <v>-40625</v>
      </c>
    </row>
    <row r="501" spans="1:15" s="5" customFormat="1" x14ac:dyDescent="0.2">
      <c r="A501" s="45" t="s">
        <v>4</v>
      </c>
      <c r="B501" s="45"/>
      <c r="C501" s="45"/>
      <c r="D501" s="45"/>
      <c r="E501" s="31"/>
      <c r="F501" s="32"/>
      <c r="G501" s="31"/>
      <c r="H501" s="31"/>
      <c r="I501" s="31">
        <f>VLOOKUP(H472,H496:I500,2,FALSE)</f>
        <v>0</v>
      </c>
    </row>
    <row r="502" spans="1:15" s="5" customFormat="1" x14ac:dyDescent="0.2">
      <c r="F502" s="18"/>
    </row>
    <row r="503" spans="1:15" s="5" customFormat="1" x14ac:dyDescent="0.2">
      <c r="E503" s="28">
        <f>E384</f>
        <v>0</v>
      </c>
      <c r="F503" s="29"/>
      <c r="G503" s="28"/>
      <c r="H503" s="28"/>
      <c r="I503" s="28"/>
    </row>
    <row r="504" spans="1:15" s="5" customFormat="1" x14ac:dyDescent="0.2">
      <c r="E504" s="28"/>
      <c r="F504" s="29"/>
      <c r="G504" s="28"/>
      <c r="H504" s="28"/>
      <c r="I504" s="28"/>
      <c r="N504" s="31"/>
      <c r="O504" s="44" t="s">
        <v>8</v>
      </c>
    </row>
    <row r="505" spans="1:15" s="5" customFormat="1" x14ac:dyDescent="0.2">
      <c r="E505" s="28"/>
      <c r="F505" s="29"/>
      <c r="G505" s="28"/>
      <c r="H505" s="28"/>
      <c r="I505" s="28"/>
      <c r="N505" s="31">
        <f>IF(AND(H472&gt;K507, H472&lt;=M507),H472,0)</f>
        <v>0</v>
      </c>
      <c r="O505" s="31">
        <f>0+(30/100)*(-K507+N505)</f>
        <v>0</v>
      </c>
    </row>
    <row r="506" spans="1:15" s="5" customFormat="1" x14ac:dyDescent="0.2">
      <c r="A506" s="43" t="s">
        <v>22</v>
      </c>
      <c r="B506" s="43"/>
      <c r="C506" s="43"/>
      <c r="D506" s="43"/>
      <c r="E506" s="31"/>
      <c r="F506" s="32"/>
      <c r="G506" s="31"/>
      <c r="H506" s="31"/>
      <c r="I506" s="44" t="s">
        <v>7</v>
      </c>
      <c r="K506" s="43" t="s">
        <v>23</v>
      </c>
      <c r="L506" s="43"/>
      <c r="M506" s="31"/>
      <c r="N506" s="31">
        <f>IF(AND(H472&gt;K508, H472&lt;=M508),H472,0)</f>
        <v>0</v>
      </c>
      <c r="O506" s="31">
        <f>(12500/100*30)+((35/100)*(-K508+N506))</f>
        <v>-625</v>
      </c>
    </row>
    <row r="507" spans="1:15" s="5" customFormat="1" x14ac:dyDescent="0.2">
      <c r="A507" s="31">
        <v>0</v>
      </c>
      <c r="B507" s="31"/>
      <c r="C507" s="31"/>
      <c r="D507" s="31"/>
      <c r="E507" s="31">
        <v>12500</v>
      </c>
      <c r="F507" s="32"/>
      <c r="G507" s="31"/>
      <c r="H507" s="31">
        <f>IF(AND(H472&gt;A507, H472&lt;=E507),H472,0)</f>
        <v>0</v>
      </c>
      <c r="I507" s="31">
        <f>0+(25/100)*(-A507+H507)</f>
        <v>0</v>
      </c>
      <c r="K507" s="31">
        <v>0</v>
      </c>
      <c r="L507" s="31"/>
      <c r="M507" s="31">
        <v>12500</v>
      </c>
      <c r="N507" s="31">
        <f>IF(AND(H472&gt;K509, H472&lt;=M509),H472,0)</f>
        <v>0</v>
      </c>
      <c r="O507" s="31">
        <f>(12500/100*30)+(12500/100*35)+((60/100)*(-K509+N507))</f>
        <v>-6875</v>
      </c>
    </row>
    <row r="508" spans="1:15" s="5" customFormat="1" x14ac:dyDescent="0.2">
      <c r="A508" s="31">
        <f>E507</f>
        <v>12500</v>
      </c>
      <c r="B508" s="31"/>
      <c r="C508" s="31"/>
      <c r="D508" s="31"/>
      <c r="E508" s="31">
        <v>25000</v>
      </c>
      <c r="F508" s="32"/>
      <c r="G508" s="31"/>
      <c r="H508" s="31">
        <f>IF(AND(H472&gt;A508, H472&lt;=E508),H472,0)</f>
        <v>0</v>
      </c>
      <c r="I508" s="31">
        <f>(12500/100*25)+((30/100)*(-A508+H508))</f>
        <v>-625</v>
      </c>
      <c r="K508" s="31">
        <f>M507</f>
        <v>12500</v>
      </c>
      <c r="L508" s="31"/>
      <c r="M508" s="31">
        <v>25000</v>
      </c>
      <c r="N508" s="31">
        <f>IF(AND(H472&gt;K510, H472&lt;=M510),H472,0)</f>
        <v>0</v>
      </c>
      <c r="O508" s="31">
        <f>(12500/100*30)+(12500/100*35)+(50000/100*60)+((80/100)*(-K510+N508))</f>
        <v>-21875</v>
      </c>
    </row>
    <row r="509" spans="1:15" s="5" customFormat="1" x14ac:dyDescent="0.2">
      <c r="A509" s="31">
        <f>E508</f>
        <v>25000</v>
      </c>
      <c r="B509" s="31"/>
      <c r="C509" s="31"/>
      <c r="D509" s="31"/>
      <c r="E509" s="31">
        <v>75000</v>
      </c>
      <c r="F509" s="32"/>
      <c r="G509" s="31"/>
      <c r="H509" s="31">
        <f>IF(AND(H472&gt;A509, H472&lt;=E509),H472,0)</f>
        <v>0</v>
      </c>
      <c r="I509" s="31">
        <f>(12500/100*25)+(12500/100*30)+((40/100)*(-A509+H509))</f>
        <v>-3125</v>
      </c>
      <c r="K509" s="31">
        <f>M508</f>
        <v>25000</v>
      </c>
      <c r="L509" s="31"/>
      <c r="M509" s="31">
        <v>75000</v>
      </c>
      <c r="N509" s="31">
        <f>IF(AND(H472&gt;K511, H472&lt;=M511),H472,0)</f>
        <v>0</v>
      </c>
      <c r="O509" s="31">
        <f>(12500/100*30)+(12500/100*35)+(50000/100*60)+(100000/100*80)+((80/100)*(-K511+N509))</f>
        <v>-21875</v>
      </c>
    </row>
    <row r="510" spans="1:15" s="5" customFormat="1" x14ac:dyDescent="0.2">
      <c r="A510" s="31">
        <f>E509</f>
        <v>75000</v>
      </c>
      <c r="B510" s="31"/>
      <c r="C510" s="31"/>
      <c r="D510" s="31"/>
      <c r="E510" s="31">
        <v>175000</v>
      </c>
      <c r="F510" s="32"/>
      <c r="G510" s="31"/>
      <c r="H510" s="31">
        <f>IF(AND(H472&gt;A510, H472&lt;=E510),H472,0)</f>
        <v>0</v>
      </c>
      <c r="I510" s="31">
        <f>(12500/100*25)+(12500/100*30)+(50000/100*40)+((55/100)*(-A510+H510))</f>
        <v>-14375</v>
      </c>
      <c r="K510" s="31">
        <f>M509</f>
        <v>75000</v>
      </c>
      <c r="L510" s="31"/>
      <c r="M510" s="31">
        <v>175000</v>
      </c>
      <c r="N510" s="31"/>
      <c r="O510" s="31">
        <f>VLOOKUP(H472,N505:O509,2,FALSE)</f>
        <v>0</v>
      </c>
    </row>
    <row r="511" spans="1:15" s="5" customFormat="1" x14ac:dyDescent="0.2">
      <c r="A511" s="31">
        <f>E510</f>
        <v>175000</v>
      </c>
      <c r="B511" s="31"/>
      <c r="C511" s="31"/>
      <c r="D511" s="31"/>
      <c r="E511" s="31">
        <v>999999999</v>
      </c>
      <c r="F511" s="32"/>
      <c r="G511" s="31"/>
      <c r="H511" s="31">
        <f>IF(AND(H472&gt;A511, H472&lt;=E511),H472,0)</f>
        <v>0</v>
      </c>
      <c r="I511" s="31">
        <f>(12500/100*25)+(12500/100*30)+(50000/100*40)+(100000/100*55)+((70/100)*(-A511+H511))</f>
        <v>-40624.999999999985</v>
      </c>
      <c r="K511" s="31">
        <f>M510</f>
        <v>175000</v>
      </c>
      <c r="L511" s="31"/>
      <c r="M511" s="31">
        <v>999999999</v>
      </c>
    </row>
    <row r="512" spans="1:15" s="5" customFormat="1" x14ac:dyDescent="0.2">
      <c r="A512" s="45" t="s">
        <v>4</v>
      </c>
      <c r="B512" s="45"/>
      <c r="C512" s="45"/>
      <c r="D512" s="45"/>
      <c r="E512" s="31"/>
      <c r="F512" s="32"/>
      <c r="G512" s="31"/>
      <c r="H512" s="31"/>
      <c r="I512" s="31">
        <f>VLOOKUP(H472,H507:I511,2,FALSE)</f>
        <v>0</v>
      </c>
      <c r="K512" s="45" t="s">
        <v>4</v>
      </c>
      <c r="L512" s="45"/>
      <c r="M512" s="31"/>
    </row>
    <row r="513" spans="1:11" s="5" customFormat="1" x14ac:dyDescent="0.2">
      <c r="F513" s="18"/>
    </row>
    <row r="514" spans="1:11" s="5" customFormat="1" x14ac:dyDescent="0.2">
      <c r="E514" s="5">
        <f>IF(A515&gt;0,A515-F519,0)</f>
        <v>0</v>
      </c>
      <c r="F514" s="18"/>
    </row>
    <row r="515" spans="1:11" s="5" customFormat="1" x14ac:dyDescent="0.2">
      <c r="A515" s="5">
        <f>IF(AND(DONBIW!E17="oui",DONBIW!F32="ligne directe"),I493,0)</f>
        <v>0</v>
      </c>
      <c r="E515" s="5">
        <f>IF(E514&gt;0,E514,0)</f>
        <v>0</v>
      </c>
      <c r="F515" s="5">
        <f>IF(AND(DONBIW!F32="ligne directe",H472&lt;=125000,DONBIW!E17="oui"),250,0)</f>
        <v>0</v>
      </c>
      <c r="G515" s="5">
        <f>IF(AND(F515&gt;0,(I493-F515&gt;=0)),I493-F515,0)</f>
        <v>0</v>
      </c>
    </row>
    <row r="516" spans="1:11" s="5" customFormat="1" x14ac:dyDescent="0.2">
      <c r="A516" s="5">
        <f>IF(AND(DONBIW!E17="oui",DONBIW!F32="épou(x)(se)"),I493,0)</f>
        <v>0</v>
      </c>
      <c r="E516" s="5">
        <f>IF(A516&gt;0,A516-F519,0)</f>
        <v>0</v>
      </c>
      <c r="F516" s="5">
        <f>IF(AND(DONBIW!F32="ligne directe",H472&gt;125000,DONBIW!E17="oui"),125,0)</f>
        <v>0</v>
      </c>
      <c r="G516" s="5">
        <f>IF(AND(F516&gt;0,(I493-F516&gt;=0)),I493-F516,0)</f>
        <v>0</v>
      </c>
    </row>
    <row r="517" spans="1:11" s="5" customFormat="1" x14ac:dyDescent="0.2">
      <c r="A517" s="5">
        <f>IF(AND(DONBIW!E17="non",DONBIW!F32="ligne directe"),I484,0)</f>
        <v>0</v>
      </c>
      <c r="E517" s="5">
        <f>IF(AND(DONBIW!E17="non",DONBIW!F32="ligne directe"),I484,0)</f>
        <v>0</v>
      </c>
      <c r="F517" s="5">
        <f>IF(AND(DONBIW!F32="épou(x)(se)",H472&lt;=125000,DONBIW!E17="oui"),250,0)</f>
        <v>0</v>
      </c>
      <c r="G517" s="5">
        <f>IF(AND(F517&gt;0,(I493-F517&gt;=0)),I493-F517,0)</f>
        <v>0</v>
      </c>
    </row>
    <row r="518" spans="1:11" s="5" customFormat="1" x14ac:dyDescent="0.2">
      <c r="A518" s="5">
        <f>IF(AND(DONBIW!E17="non",DONBIW!F32="épou(x)(se)"),I484,0)</f>
        <v>0</v>
      </c>
      <c r="E518" s="5">
        <f>IF(AND(DONBIW!E17="non",DONBIW!F32="épou(x)(se)"),I484,0)</f>
        <v>0</v>
      </c>
      <c r="F518" s="5">
        <f>IF(AND(DONBIW!F32="épou(x)(se)",H472&gt;125000,DONBIW!E17="oui"),125,0)</f>
        <v>0</v>
      </c>
      <c r="G518" s="5">
        <f>IF(AND(F518&gt;0,(I493-F518&gt;=0)),I493-F518,0)</f>
        <v>0</v>
      </c>
    </row>
    <row r="519" spans="1:11" s="5" customFormat="1" x14ac:dyDescent="0.2">
      <c r="A519" s="5">
        <f>IF(DONBIW!F32="frère/soeur",I501,0)</f>
        <v>0</v>
      </c>
      <c r="E519" s="5">
        <f>IF(DONBIW!F32="frère/soeur",I501,0)</f>
        <v>0</v>
      </c>
      <c r="F519" s="5">
        <f>SUM(F515:F518)</f>
        <v>0</v>
      </c>
      <c r="G519" s="5">
        <f>SUM(G515:G518)</f>
        <v>0</v>
      </c>
    </row>
    <row r="520" spans="1:11" s="5" customFormat="1" x14ac:dyDescent="0.2">
      <c r="A520" s="5">
        <f>IF(DONBIW!F32="oncle-tante/neveu-nièce",I512,0)</f>
        <v>0</v>
      </c>
      <c r="E520" s="5">
        <f>IF(DONBIW!F32="oncle-tante/neveu-nièce",I512,0)</f>
        <v>0</v>
      </c>
    </row>
    <row r="521" spans="1:11" s="5" customFormat="1" x14ac:dyDescent="0.2">
      <c r="A521" s="5">
        <f>IF(DONBIW!F32="étrangers",O510,0)</f>
        <v>0</v>
      </c>
      <c r="E521" s="5">
        <f>IF(DONBIW!F32="étrangers",O510,0)</f>
        <v>0</v>
      </c>
    </row>
    <row r="522" spans="1:11" s="5" customFormat="1" x14ac:dyDescent="0.2"/>
    <row r="523" spans="1:11" s="5" customFormat="1" x14ac:dyDescent="0.2">
      <c r="A523" s="5">
        <f>SUM(A515:A522)</f>
        <v>0</v>
      </c>
      <c r="E523" s="5">
        <f>SUM(E515:E522)</f>
        <v>0</v>
      </c>
    </row>
    <row r="524" spans="1:11" s="5" customFormat="1" x14ac:dyDescent="0.2"/>
    <row r="525" spans="1:11" s="5" customFormat="1" x14ac:dyDescent="0.2"/>
    <row r="526" spans="1:11" s="5" customFormat="1" x14ac:dyDescent="0.2">
      <c r="A526" s="5" t="s">
        <v>93</v>
      </c>
      <c r="E526" s="5" t="s">
        <v>100</v>
      </c>
    </row>
    <row r="527" spans="1:11" s="5" customFormat="1" x14ac:dyDescent="0.2"/>
    <row r="528" spans="1:11" s="5" customFormat="1" x14ac:dyDescent="0.2">
      <c r="A528" s="5" t="s">
        <v>93</v>
      </c>
      <c r="E528" s="5">
        <f>IF(DONBIW!I32=3,E523*12%,0)</f>
        <v>0</v>
      </c>
      <c r="F528" s="5">
        <f>IF(E528&gt;372,372,E528)</f>
        <v>0</v>
      </c>
      <c r="H528" s="5" t="s">
        <v>26</v>
      </c>
      <c r="I528" s="5">
        <f>6%*E523</f>
        <v>0</v>
      </c>
      <c r="J528" s="5">
        <f>IF(I528&gt;186,186,I528)</f>
        <v>0</v>
      </c>
      <c r="K528" s="5">
        <f>IF(DONBIW!I32=3,J528,0)</f>
        <v>0</v>
      </c>
    </row>
    <row r="529" spans="1:11" s="5" customFormat="1" x14ac:dyDescent="0.2">
      <c r="E529" s="5">
        <f>IF(DONBIW!I32=4,E523*16%,0)</f>
        <v>0</v>
      </c>
      <c r="F529" s="5">
        <f>IF(E529&gt;496,496,E529)</f>
        <v>0</v>
      </c>
      <c r="H529" s="5" t="s">
        <v>27</v>
      </c>
      <c r="I529" s="5">
        <f>8%*E523</f>
        <v>0</v>
      </c>
      <c r="J529" s="5">
        <f>IF(I529&gt;248,248,I529)</f>
        <v>0</v>
      </c>
      <c r="K529" s="5">
        <f>IF(DONBIW!I32=4,J529,0)</f>
        <v>0</v>
      </c>
    </row>
    <row r="530" spans="1:11" s="5" customFormat="1" x14ac:dyDescent="0.2">
      <c r="E530" s="5">
        <f>IF(DONBIW!I32=5,E523*20%,0)</f>
        <v>0</v>
      </c>
      <c r="F530" s="5">
        <f>IF(E530&gt;620,620,E530)</f>
        <v>0</v>
      </c>
      <c r="I530" s="5">
        <f>10%*E523</f>
        <v>0</v>
      </c>
      <c r="J530" s="5">
        <f>IF(I530&gt;310,310,I530)</f>
        <v>0</v>
      </c>
      <c r="K530" s="5">
        <f>IF(DONBIW!I32=5,J530,0)</f>
        <v>0</v>
      </c>
    </row>
    <row r="531" spans="1:11" s="5" customFormat="1" x14ac:dyDescent="0.2">
      <c r="E531" s="5">
        <f>IF(DONBIW!I32=6,E523*24%,0)</f>
        <v>0</v>
      </c>
      <c r="F531" s="5">
        <f>IF(E531&gt;744,744,E531)</f>
        <v>0</v>
      </c>
      <c r="I531" s="5">
        <f>12%*E523</f>
        <v>0</v>
      </c>
      <c r="J531" s="5">
        <f>IF(I531&gt;372,372,I531)</f>
        <v>0</v>
      </c>
      <c r="K531" s="5">
        <f>IF(DONBIW!I32=6,J531,0)</f>
        <v>0</v>
      </c>
    </row>
    <row r="532" spans="1:11" s="5" customFormat="1" x14ac:dyDescent="0.2">
      <c r="E532" s="5">
        <f>IF(DONBIW!I32=7,E523*28%,0)</f>
        <v>0</v>
      </c>
      <c r="F532" s="5">
        <f>IF(E532&gt;868,868,E532)</f>
        <v>0</v>
      </c>
      <c r="I532" s="5">
        <f>14%*E523</f>
        <v>0</v>
      </c>
      <c r="J532" s="5">
        <f>IF(I532&gt;434,434,I532)</f>
        <v>0</v>
      </c>
      <c r="K532" s="5">
        <f>IF(DONBIW!I32=7,J532,0)</f>
        <v>0</v>
      </c>
    </row>
    <row r="533" spans="1:11" s="5" customFormat="1" x14ac:dyDescent="0.2">
      <c r="E533" s="5">
        <f>IF(DONBIW!I32=8,E523*32%,0)</f>
        <v>0</v>
      </c>
      <c r="F533" s="5">
        <f>IF(E533&gt;992,992,E533)</f>
        <v>0</v>
      </c>
      <c r="I533" s="5">
        <f>16%*E523</f>
        <v>0</v>
      </c>
      <c r="J533" s="5">
        <f>IF(I533&gt;496,496,I533)</f>
        <v>0</v>
      </c>
      <c r="K533" s="5">
        <f>IF(DONBIW!I32=8,J533,0)</f>
        <v>0</v>
      </c>
    </row>
    <row r="534" spans="1:11" s="5" customFormat="1" x14ac:dyDescent="0.2">
      <c r="E534" s="5">
        <f>IF(DONBIW!I32=9,E523*36%,0)</f>
        <v>0</v>
      </c>
      <c r="F534" s="5">
        <f>IF(E534&gt;1116,1116,E534)</f>
        <v>0</v>
      </c>
      <c r="I534" s="5">
        <f>18%*E523</f>
        <v>0</v>
      </c>
      <c r="J534" s="5">
        <f>IF(I534&gt;558,558,I534)</f>
        <v>0</v>
      </c>
      <c r="K534" s="5">
        <f>IF(DONBIW!I32=9,J534,0)</f>
        <v>0</v>
      </c>
    </row>
    <row r="535" spans="1:11" s="5" customFormat="1" x14ac:dyDescent="0.2">
      <c r="E535" s="5">
        <f>IF(DONBIW!I32=10,E523*40%,0)</f>
        <v>0</v>
      </c>
      <c r="F535" s="5">
        <f>IF(E535&gt;1240,1240,E535)</f>
        <v>0</v>
      </c>
      <c r="I535" s="5">
        <f>20%*E523</f>
        <v>0</v>
      </c>
      <c r="J535" s="5">
        <f>IF(I535&gt;620,620,I535)</f>
        <v>0</v>
      </c>
      <c r="K535" s="5">
        <f>IF(DONBIW!I32=10,J535,0)</f>
        <v>0</v>
      </c>
    </row>
    <row r="536" spans="1:11" s="5" customFormat="1" x14ac:dyDescent="0.2"/>
    <row r="537" spans="1:11" s="5" customFormat="1" x14ac:dyDescent="0.2">
      <c r="F537" s="5">
        <f>SUM(F528:F536)</f>
        <v>0</v>
      </c>
      <c r="K537" s="5">
        <f>SUM(K528:K536)</f>
        <v>0</v>
      </c>
    </row>
    <row r="538" spans="1:11" s="5" customFormat="1" x14ac:dyDescent="0.2">
      <c r="F538" s="18"/>
    </row>
    <row r="539" spans="1:11" s="5" customFormat="1" x14ac:dyDescent="0.2">
      <c r="F539" s="18"/>
    </row>
    <row r="540" spans="1:11" s="5" customFormat="1" x14ac:dyDescent="0.2">
      <c r="F540" s="18"/>
    </row>
    <row r="541" spans="1:11" s="5" customFormat="1" x14ac:dyDescent="0.2">
      <c r="A541" s="5" t="s">
        <v>33</v>
      </c>
      <c r="E541" s="20">
        <f>E523-F537</f>
        <v>0</v>
      </c>
      <c r="F541" s="18"/>
      <c r="G541" s="5" t="s">
        <v>34</v>
      </c>
      <c r="H541" s="47">
        <f>E523-K537</f>
        <v>0</v>
      </c>
    </row>
    <row r="542" spans="1:11" s="5" customFormat="1" x14ac:dyDescent="0.2">
      <c r="F542" s="18"/>
    </row>
    <row r="543" spans="1:11" s="5" customFormat="1" x14ac:dyDescent="0.2">
      <c r="F543" s="18"/>
    </row>
    <row r="544" spans="1:11" s="5" customFormat="1" x14ac:dyDescent="0.2">
      <c r="F544" s="18"/>
    </row>
    <row r="545" spans="6:6" s="5" customFormat="1" x14ac:dyDescent="0.2">
      <c r="F545" s="18"/>
    </row>
    <row r="546" spans="6:6" s="5" customFormat="1" x14ac:dyDescent="0.2">
      <c r="F546" s="18"/>
    </row>
    <row r="547" spans="6:6" s="5" customFormat="1" x14ac:dyDescent="0.2">
      <c r="F547" s="18"/>
    </row>
    <row r="548" spans="6:6" s="5" customFormat="1" x14ac:dyDescent="0.2">
      <c r="F548" s="18"/>
    </row>
    <row r="549" spans="6:6" s="5" customFormat="1" x14ac:dyDescent="0.2">
      <c r="F549" s="18"/>
    </row>
    <row r="550" spans="6:6" s="5" customFormat="1" x14ac:dyDescent="0.2">
      <c r="F550" s="18"/>
    </row>
    <row r="551" spans="6:6" s="5" customFormat="1" x14ac:dyDescent="0.2">
      <c r="F551" s="18"/>
    </row>
    <row r="552" spans="6:6" s="5" customFormat="1" x14ac:dyDescent="0.2">
      <c r="F552" s="18"/>
    </row>
    <row r="553" spans="6:6" s="5" customFormat="1" x14ac:dyDescent="0.2">
      <c r="F553" s="18"/>
    </row>
    <row r="554" spans="6:6" s="5" customFormat="1" x14ac:dyDescent="0.2">
      <c r="F554" s="18"/>
    </row>
    <row r="555" spans="6:6" s="5" customFormat="1" x14ac:dyDescent="0.2">
      <c r="F555" s="18"/>
    </row>
    <row r="556" spans="6:6" s="5" customFormat="1" x14ac:dyDescent="0.2">
      <c r="F556" s="18"/>
    </row>
    <row r="557" spans="6:6" s="5" customFormat="1" x14ac:dyDescent="0.2">
      <c r="F557" s="18"/>
    </row>
    <row r="558" spans="6:6" s="5" customFormat="1" x14ac:dyDescent="0.2">
      <c r="F558" s="18"/>
    </row>
    <row r="559" spans="6:6" s="5" customFormat="1" x14ac:dyDescent="0.2">
      <c r="F559" s="18"/>
    </row>
    <row r="560" spans="6:6" s="5" customFormat="1" x14ac:dyDescent="0.2">
      <c r="F560" s="18"/>
    </row>
    <row r="561" spans="1:9" s="5" customFormat="1" x14ac:dyDescent="0.2">
      <c r="F561" s="18"/>
    </row>
    <row r="562" spans="1:9" s="5" customFormat="1" x14ac:dyDescent="0.2">
      <c r="F562" s="18"/>
    </row>
    <row r="563" spans="1:9" s="5" customFormat="1" x14ac:dyDescent="0.2">
      <c r="F563" s="18"/>
    </row>
    <row r="564" spans="1:9" s="5" customFormat="1" x14ac:dyDescent="0.2">
      <c r="F564" s="18"/>
    </row>
    <row r="565" spans="1:9" s="5" customFormat="1" x14ac:dyDescent="0.2">
      <c r="F565" s="18"/>
    </row>
    <row r="566" spans="1:9" s="5" customFormat="1" x14ac:dyDescent="0.2">
      <c r="F566" s="18"/>
    </row>
    <row r="567" spans="1:9" s="5" customFormat="1" x14ac:dyDescent="0.2">
      <c r="F567" s="18"/>
    </row>
    <row r="568" spans="1:9" s="5" customFormat="1" x14ac:dyDescent="0.2">
      <c r="F568" s="18"/>
    </row>
    <row r="569" spans="1:9" s="5" customFormat="1" x14ac:dyDescent="0.2">
      <c r="F569" s="18"/>
    </row>
    <row r="570" spans="1:9" s="5" customFormat="1" x14ac:dyDescent="0.2">
      <c r="F570" s="18"/>
    </row>
    <row r="571" spans="1:9" s="5" customFormat="1" x14ac:dyDescent="0.2">
      <c r="F571" s="18"/>
    </row>
    <row r="572" spans="1:9" s="5" customFormat="1" x14ac:dyDescent="0.2">
      <c r="F572" s="18"/>
      <c r="H572" s="28">
        <f>DONBIW!G39</f>
        <v>0</v>
      </c>
    </row>
    <row r="573" spans="1:9" s="5" customFormat="1" x14ac:dyDescent="0.2">
      <c r="F573" s="18"/>
    </row>
    <row r="574" spans="1:9" s="5" customFormat="1" x14ac:dyDescent="0.2">
      <c r="A574" s="43" t="s">
        <v>2</v>
      </c>
      <c r="B574" s="43"/>
      <c r="C574" s="43"/>
      <c r="D574" s="43"/>
      <c r="E574" s="31"/>
      <c r="F574" s="32"/>
      <c r="G574" s="31"/>
      <c r="H574" s="31"/>
      <c r="I574" s="44" t="s">
        <v>3</v>
      </c>
    </row>
    <row r="575" spans="1:9" s="5" customFormat="1" x14ac:dyDescent="0.2">
      <c r="A575" s="31">
        <v>0</v>
      </c>
      <c r="B575" s="31"/>
      <c r="C575" s="31"/>
      <c r="D575" s="31"/>
      <c r="E575" s="31">
        <v>12500</v>
      </c>
      <c r="F575" s="32"/>
      <c r="G575" s="31"/>
      <c r="H575" s="31">
        <f>IF(AND(H572&gt;A575,H572&lt;=E575),H572,0)</f>
        <v>0</v>
      </c>
      <c r="I575" s="31">
        <f>0+(3/100)*(-A575+H575)</f>
        <v>0</v>
      </c>
    </row>
    <row r="576" spans="1:9" s="5" customFormat="1" x14ac:dyDescent="0.2">
      <c r="A576" s="31">
        <f t="shared" ref="A576:A583" si="3">E575</f>
        <v>12500</v>
      </c>
      <c r="B576" s="31"/>
      <c r="C576" s="31"/>
      <c r="D576" s="31"/>
      <c r="E576" s="31">
        <v>25000</v>
      </c>
      <c r="F576" s="32"/>
      <c r="G576" s="31"/>
      <c r="H576" s="31">
        <f>IF(AND(H572&gt;A576, H572&lt;=E576),H572,0)</f>
        <v>0</v>
      </c>
      <c r="I576" s="31">
        <f>(12500/100*3)+(4/100)*(-A576+H576)</f>
        <v>-125</v>
      </c>
    </row>
    <row r="577" spans="1:9" s="5" customFormat="1" x14ac:dyDescent="0.2">
      <c r="A577" s="31">
        <f t="shared" si="3"/>
        <v>25000</v>
      </c>
      <c r="B577" s="31"/>
      <c r="C577" s="31"/>
      <c r="D577" s="31"/>
      <c r="E577" s="31">
        <v>50000</v>
      </c>
      <c r="F577" s="32"/>
      <c r="G577" s="31"/>
      <c r="H577" s="31">
        <f>IF(AND(H572&gt;A577, H572&lt;=E577),H572,0)</f>
        <v>0</v>
      </c>
      <c r="I577" s="31">
        <f>(12500/100*3)+(12500/100*4)+((5/100)*(-A577+H577))</f>
        <v>-375</v>
      </c>
    </row>
    <row r="578" spans="1:9" s="5" customFormat="1" x14ac:dyDescent="0.2">
      <c r="A578" s="31">
        <f t="shared" si="3"/>
        <v>50000</v>
      </c>
      <c r="B578" s="31"/>
      <c r="C578" s="31"/>
      <c r="D578" s="31"/>
      <c r="E578" s="31">
        <v>100000</v>
      </c>
      <c r="F578" s="32"/>
      <c r="G578" s="31"/>
      <c r="H578" s="31">
        <f>IF(AND(H572&gt;A578, H572&lt;=E578),H572,0)</f>
        <v>0</v>
      </c>
      <c r="I578" s="31">
        <f>(12500/100*3)+(12500/100*4)+(25000/100*5)+((7/100)*(-A578+H578))</f>
        <v>-1375.0000000000005</v>
      </c>
    </row>
    <row r="579" spans="1:9" s="5" customFormat="1" x14ac:dyDescent="0.2">
      <c r="A579" s="31">
        <f t="shared" si="3"/>
        <v>100000</v>
      </c>
      <c r="B579" s="31"/>
      <c r="C579" s="31"/>
      <c r="D579" s="31"/>
      <c r="E579" s="31">
        <v>150000</v>
      </c>
      <c r="F579" s="32"/>
      <c r="G579" s="31"/>
      <c r="H579" s="31">
        <f>IF(AND(H572&gt;A579, H572&lt;=E579),H572,0)</f>
        <v>0</v>
      </c>
      <c r="I579" s="31">
        <f>(12500/100*3)+(12500/100*4)+(25000/100*5)+(50000/100*7)+((10/100)*(-A579+H579))</f>
        <v>-4375</v>
      </c>
    </row>
    <row r="580" spans="1:9" s="5" customFormat="1" x14ac:dyDescent="0.2">
      <c r="A580" s="31">
        <f t="shared" si="3"/>
        <v>150000</v>
      </c>
      <c r="B580" s="31"/>
      <c r="C580" s="31"/>
      <c r="D580" s="31"/>
      <c r="E580" s="31">
        <v>200000</v>
      </c>
      <c r="F580" s="32"/>
      <c r="G580" s="31"/>
      <c r="H580" s="31">
        <f>IF(AND(H572&gt;A580, H572&lt;=E580),H572,0)</f>
        <v>0</v>
      </c>
      <c r="I580" s="31">
        <f>(12500/100*3)+(12500/100*4)+(25000/100*5)+(50000/100*7)+(50000/100*10)+((14/100)*(-A580+H580))</f>
        <v>-10375.000000000004</v>
      </c>
    </row>
    <row r="581" spans="1:9" s="5" customFormat="1" x14ac:dyDescent="0.2">
      <c r="A581" s="31">
        <f t="shared" si="3"/>
        <v>200000</v>
      </c>
      <c r="B581" s="31"/>
      <c r="C581" s="31"/>
      <c r="D581" s="31"/>
      <c r="E581" s="31">
        <v>250000</v>
      </c>
      <c r="F581" s="32"/>
      <c r="G581" s="31"/>
      <c r="H581" s="31">
        <f>IF(AND(H572&gt;A581, H572&lt;=E581),H572,0)</f>
        <v>0</v>
      </c>
      <c r="I581" s="31">
        <f>(12500/100*3)+(12500/100*4)+(25000/100*5)+(50000/100*7)+(50000/100*10)+(50000/100*14)+((18/100)*(-A581+H581))</f>
        <v>-18375</v>
      </c>
    </row>
    <row r="582" spans="1:9" s="5" customFormat="1" x14ac:dyDescent="0.2">
      <c r="A582" s="31">
        <f t="shared" si="3"/>
        <v>250000</v>
      </c>
      <c r="B582" s="31"/>
      <c r="C582" s="31"/>
      <c r="D582" s="31"/>
      <c r="E582" s="31">
        <v>500000</v>
      </c>
      <c r="F582" s="32"/>
      <c r="G582" s="31"/>
      <c r="H582" s="31">
        <f>IF(AND(H572&gt;A582, H572&lt;=E582),H572,0)</f>
        <v>0</v>
      </c>
      <c r="I582" s="31">
        <f>(12500/100*3)+(12500/100*4)+(25000/100*5)+(50000/100*7)+(50000/100*10)+(50000/100*14)+(50000/100*18)+((24/100)*(-A582+H582))</f>
        <v>-33375</v>
      </c>
    </row>
    <row r="583" spans="1:9" s="5" customFormat="1" x14ac:dyDescent="0.2">
      <c r="A583" s="31">
        <f t="shared" si="3"/>
        <v>500000</v>
      </c>
      <c r="B583" s="31"/>
      <c r="C583" s="31"/>
      <c r="D583" s="31"/>
      <c r="E583" s="31">
        <v>999999999</v>
      </c>
      <c r="F583" s="32"/>
      <c r="G583" s="31"/>
      <c r="H583" s="31">
        <f>IF(AND(H572&gt;A583, H572&lt;=E583),H572,0)</f>
        <v>0</v>
      </c>
      <c r="I583" s="31">
        <f>(12500/100*3)+(12500/100*4)+(25000/100*5)+(50000/100*7)+(50000/100*10)+(50000/100*14)+(50000/100*18)+(250000/100*24)+((30/100)*(-A583+H583))</f>
        <v>-63375</v>
      </c>
    </row>
    <row r="584" spans="1:9" s="5" customFormat="1" x14ac:dyDescent="0.2">
      <c r="A584" s="45" t="s">
        <v>4</v>
      </c>
      <c r="B584" s="45"/>
      <c r="C584" s="45"/>
      <c r="D584" s="45"/>
      <c r="E584" s="31"/>
      <c r="F584" s="32"/>
      <c r="G584" s="31"/>
      <c r="H584" s="31"/>
      <c r="I584" s="31">
        <f>VLOOKUP(H572,H575:I583,2,FALSE)</f>
        <v>0</v>
      </c>
    </row>
    <row r="585" spans="1:9" s="5" customFormat="1" x14ac:dyDescent="0.2">
      <c r="A585" s="45"/>
      <c r="B585" s="45"/>
      <c r="C585" s="45"/>
      <c r="D585" s="45"/>
      <c r="E585" s="31"/>
      <c r="F585" s="32"/>
      <c r="G585" s="31"/>
      <c r="H585" s="31"/>
      <c r="I585" s="31"/>
    </row>
    <row r="586" spans="1:9" s="5" customFormat="1" x14ac:dyDescent="0.2">
      <c r="A586" s="46" t="s">
        <v>24</v>
      </c>
      <c r="B586" s="46"/>
      <c r="C586" s="46"/>
      <c r="D586" s="46"/>
      <c r="E586" s="31"/>
      <c r="F586" s="32"/>
      <c r="G586" s="31"/>
      <c r="H586" s="31"/>
      <c r="I586" s="44" t="s">
        <v>25</v>
      </c>
    </row>
    <row r="587" spans="1:9" s="5" customFormat="1" x14ac:dyDescent="0.2">
      <c r="A587" s="31">
        <v>0</v>
      </c>
      <c r="B587" s="31"/>
      <c r="C587" s="31"/>
      <c r="D587" s="31"/>
      <c r="E587" s="31">
        <v>25000</v>
      </c>
      <c r="F587" s="32"/>
      <c r="G587" s="31"/>
      <c r="H587" s="31">
        <f>IF(AND(H572&gt;A587, H572&lt;=E587),H572,0)</f>
        <v>0</v>
      </c>
      <c r="I587" s="31">
        <f>0+(1/100)*(-A587+H587)</f>
        <v>0</v>
      </c>
    </row>
    <row r="588" spans="1:9" s="5" customFormat="1" x14ac:dyDescent="0.2">
      <c r="A588" s="31">
        <f>E587</f>
        <v>25000</v>
      </c>
      <c r="B588" s="31"/>
      <c r="C588" s="31"/>
      <c r="D588" s="31"/>
      <c r="E588" s="31">
        <v>50000</v>
      </c>
      <c r="F588" s="32"/>
      <c r="G588" s="31"/>
      <c r="H588" s="31">
        <f>IF(AND(H572&gt;A588, H572&lt;=E588),H572,0)</f>
        <v>0</v>
      </c>
      <c r="I588" s="31">
        <f>(25000/100*1)+(2/100)*(-A588+H588)</f>
        <v>-250</v>
      </c>
    </row>
    <row r="589" spans="1:9" s="5" customFormat="1" x14ac:dyDescent="0.2">
      <c r="A589" s="31">
        <f>E588</f>
        <v>50000</v>
      </c>
      <c r="B589" s="31"/>
      <c r="C589" s="31"/>
      <c r="D589" s="31"/>
      <c r="E589" s="31">
        <v>175000</v>
      </c>
      <c r="F589" s="32"/>
      <c r="G589" s="31"/>
      <c r="H589" s="31">
        <f>IF(AND(H572&gt;A589, H572&lt;=E589),H572,0)</f>
        <v>0</v>
      </c>
      <c r="I589" s="31">
        <f>(25000/100*1)+(25000/100*2)+((5/100)*(-A589+H589))</f>
        <v>-1750</v>
      </c>
    </row>
    <row r="590" spans="1:9" s="5" customFormat="1" x14ac:dyDescent="0.2">
      <c r="A590" s="31">
        <f>E589</f>
        <v>175000</v>
      </c>
      <c r="B590" s="31"/>
      <c r="C590" s="31"/>
      <c r="D590" s="31"/>
      <c r="E590" s="31">
        <v>250000</v>
      </c>
      <c r="F590" s="32"/>
      <c r="G590" s="31"/>
      <c r="H590" s="31">
        <f>IF(AND(H572&gt;A590, H572&lt;=E590),H572,0)</f>
        <v>0</v>
      </c>
      <c r="I590" s="31">
        <f>(25000/100*1)+(25000/100*2)+(125000/100*5)+((12/100)*(-A590+H590))</f>
        <v>-14000</v>
      </c>
    </row>
    <row r="591" spans="1:9" s="5" customFormat="1" x14ac:dyDescent="0.2">
      <c r="A591" s="31">
        <f>E590</f>
        <v>250000</v>
      </c>
      <c r="B591" s="31"/>
      <c r="C591" s="31"/>
      <c r="D591" s="31"/>
      <c r="E591" s="31">
        <v>500000</v>
      </c>
      <c r="F591" s="32"/>
      <c r="G591" s="31"/>
      <c r="H591" s="31">
        <f>IF(AND(H572&gt;A591, H572&lt;=E591),H572,0)</f>
        <v>0</v>
      </c>
      <c r="I591" s="31">
        <f>(25000/100*1)+(25000/100*2)+(125000/100*5)+(75000/100*12)+((24/100)*(-A591+H591))</f>
        <v>-44000</v>
      </c>
    </row>
    <row r="592" spans="1:9" s="5" customFormat="1" x14ac:dyDescent="0.2">
      <c r="A592" s="31">
        <f>E591</f>
        <v>500000</v>
      </c>
      <c r="B592" s="31"/>
      <c r="C592" s="31"/>
      <c r="D592" s="31"/>
      <c r="E592" s="31">
        <v>999999999</v>
      </c>
      <c r="F592" s="32"/>
      <c r="G592" s="31"/>
      <c r="H592" s="31">
        <f>IF(AND(H572&gt;A592, H572&lt;=E592),H572,0)</f>
        <v>0</v>
      </c>
      <c r="I592" s="31">
        <f>(25000/100*1)+(25000/100*2)+(125000/100*5)+(75000/100*12)+(250000/100*24)+((30/100)*(-A592+H592))</f>
        <v>-74000</v>
      </c>
    </row>
    <row r="593" spans="1:15" s="5" customFormat="1" x14ac:dyDescent="0.2">
      <c r="A593" s="45" t="s">
        <v>4</v>
      </c>
      <c r="B593" s="45"/>
      <c r="C593" s="45"/>
      <c r="D593" s="45"/>
      <c r="E593" s="31"/>
      <c r="F593" s="32"/>
      <c r="G593" s="31"/>
      <c r="H593" s="31"/>
      <c r="I593" s="31">
        <f>VLOOKUP(H572,H587:I592,2,FALSE)</f>
        <v>0</v>
      </c>
    </row>
    <row r="594" spans="1:15" s="5" customFormat="1" x14ac:dyDescent="0.2">
      <c r="A594" s="45"/>
      <c r="B594" s="45"/>
      <c r="C594" s="45"/>
      <c r="D594" s="45"/>
      <c r="E594" s="31"/>
      <c r="F594" s="32"/>
      <c r="G594" s="31"/>
      <c r="H594" s="31"/>
      <c r="I594" s="31"/>
    </row>
    <row r="595" spans="1:15" s="5" customFormat="1" x14ac:dyDescent="0.2">
      <c r="A595" s="43" t="s">
        <v>5</v>
      </c>
      <c r="B595" s="43"/>
      <c r="C595" s="43"/>
      <c r="D595" s="43"/>
      <c r="E595" s="31"/>
      <c r="F595" s="32"/>
      <c r="G595" s="31"/>
      <c r="H595" s="31"/>
      <c r="I595" s="44" t="s">
        <v>6</v>
      </c>
    </row>
    <row r="596" spans="1:15" s="5" customFormat="1" x14ac:dyDescent="0.2">
      <c r="A596" s="31">
        <v>0</v>
      </c>
      <c r="B596" s="31"/>
      <c r="C596" s="31"/>
      <c r="D596" s="31"/>
      <c r="E596" s="31">
        <v>12500</v>
      </c>
      <c r="F596" s="32"/>
      <c r="G596" s="31"/>
      <c r="H596" s="31">
        <f>IF(AND(H572&gt;A596, H572&lt;=E596),H572,0)</f>
        <v>0</v>
      </c>
      <c r="I596" s="31">
        <f>0+(20/100)*(-A596+H596)</f>
        <v>0</v>
      </c>
    </row>
    <row r="597" spans="1:15" s="5" customFormat="1" x14ac:dyDescent="0.2">
      <c r="A597" s="31">
        <f>E596</f>
        <v>12500</v>
      </c>
      <c r="B597" s="31"/>
      <c r="C597" s="31"/>
      <c r="D597" s="31"/>
      <c r="E597" s="31">
        <v>25000</v>
      </c>
      <c r="F597" s="32"/>
      <c r="G597" s="31"/>
      <c r="H597" s="31">
        <f>IF(AND(H572&gt;A597, H572&lt;=E597),H572,0)</f>
        <v>0</v>
      </c>
      <c r="I597" s="31">
        <f>(12500/100*20)+((25/100)*(-A597+H597))</f>
        <v>-625</v>
      </c>
    </row>
    <row r="598" spans="1:15" s="5" customFormat="1" x14ac:dyDescent="0.2">
      <c r="A598" s="31">
        <f>E597</f>
        <v>25000</v>
      </c>
      <c r="B598" s="31"/>
      <c r="C598" s="31"/>
      <c r="D598" s="31"/>
      <c r="E598" s="31">
        <v>75000</v>
      </c>
      <c r="F598" s="32"/>
      <c r="G598" s="31"/>
      <c r="H598" s="31">
        <f>IF(AND(H572&gt;A598, H572&lt;=E598),H572,0)</f>
        <v>0</v>
      </c>
      <c r="I598" s="31">
        <f>(12500/100*20)+(12500/100*25)+((35/100)*(-A598+H598))</f>
        <v>-3125</v>
      </c>
    </row>
    <row r="599" spans="1:15" s="5" customFormat="1" x14ac:dyDescent="0.2">
      <c r="A599" s="31">
        <f>E598</f>
        <v>75000</v>
      </c>
      <c r="B599" s="31"/>
      <c r="C599" s="31"/>
      <c r="D599" s="31"/>
      <c r="E599" s="31">
        <v>175000</v>
      </c>
      <c r="F599" s="32"/>
      <c r="G599" s="31"/>
      <c r="H599" s="31">
        <f>IF(AND(H572&gt;A599, H572&lt;=E599),H572,0)</f>
        <v>0</v>
      </c>
      <c r="I599" s="31">
        <f>(12500/100*20)+(12500/100*25)+(50000/100*35)+((50/100)*(-A599+H599))</f>
        <v>-14375</v>
      </c>
    </row>
    <row r="600" spans="1:15" s="5" customFormat="1" x14ac:dyDescent="0.2">
      <c r="A600" s="31">
        <f>E599</f>
        <v>175000</v>
      </c>
      <c r="B600" s="31"/>
      <c r="C600" s="31"/>
      <c r="D600" s="31"/>
      <c r="E600" s="31">
        <v>999999999</v>
      </c>
      <c r="F600" s="32"/>
      <c r="G600" s="31"/>
      <c r="H600" s="31">
        <f>IF(AND(H572&gt;A600, H572&lt;=E600),H572,0)</f>
        <v>0</v>
      </c>
      <c r="I600" s="31">
        <f>(12500/100*20)+(12500/100*25)+(50000/100*35)+(100000/100*50)+((65/100)*(-A600+H600))</f>
        <v>-40625</v>
      </c>
    </row>
    <row r="601" spans="1:15" s="5" customFormat="1" x14ac:dyDescent="0.2">
      <c r="A601" s="45" t="s">
        <v>4</v>
      </c>
      <c r="B601" s="45"/>
      <c r="C601" s="45"/>
      <c r="D601" s="45"/>
      <c r="E601" s="31"/>
      <c r="F601" s="32"/>
      <c r="G601" s="31"/>
      <c r="H601" s="31"/>
      <c r="I601" s="31">
        <f>VLOOKUP(H572,H596:I600,2,FALSE)</f>
        <v>0</v>
      </c>
    </row>
    <row r="602" spans="1:15" s="5" customFormat="1" x14ac:dyDescent="0.2">
      <c r="F602" s="18"/>
    </row>
    <row r="603" spans="1:15" s="5" customFormat="1" x14ac:dyDescent="0.2">
      <c r="E603" s="28">
        <f>E484</f>
        <v>0</v>
      </c>
      <c r="F603" s="29"/>
      <c r="G603" s="28"/>
      <c r="H603" s="28"/>
      <c r="I603" s="28"/>
    </row>
    <row r="604" spans="1:15" s="5" customFormat="1" x14ac:dyDescent="0.2">
      <c r="E604" s="28"/>
      <c r="F604" s="29"/>
      <c r="G604" s="28"/>
      <c r="H604" s="28"/>
      <c r="I604" s="28"/>
      <c r="N604" s="31"/>
      <c r="O604" s="44" t="s">
        <v>8</v>
      </c>
    </row>
    <row r="605" spans="1:15" s="5" customFormat="1" x14ac:dyDescent="0.2">
      <c r="E605" s="28"/>
      <c r="F605" s="29"/>
      <c r="G605" s="28"/>
      <c r="H605" s="28"/>
      <c r="I605" s="28"/>
      <c r="N605" s="31">
        <f>IF(AND(H572&gt;K607, H572&lt;=M607),H572,0)</f>
        <v>0</v>
      </c>
      <c r="O605" s="31">
        <f>0+(30/100)*(-K607+N605)</f>
        <v>0</v>
      </c>
    </row>
    <row r="606" spans="1:15" s="5" customFormat="1" x14ac:dyDescent="0.2">
      <c r="A606" s="43" t="s">
        <v>22</v>
      </c>
      <c r="B606" s="43"/>
      <c r="C606" s="43"/>
      <c r="D606" s="43"/>
      <c r="E606" s="31"/>
      <c r="F606" s="32"/>
      <c r="G606" s="31"/>
      <c r="H606" s="31"/>
      <c r="I606" s="44" t="s">
        <v>7</v>
      </c>
      <c r="K606" s="43" t="s">
        <v>23</v>
      </c>
      <c r="L606" s="43"/>
      <c r="M606" s="31"/>
      <c r="N606" s="31">
        <f>IF(AND(H572&gt;K608, H572&lt;=M608),H572,0)</f>
        <v>0</v>
      </c>
      <c r="O606" s="31">
        <f>(12500/100*30)+((35/100)*(-K608+N606))</f>
        <v>-625</v>
      </c>
    </row>
    <row r="607" spans="1:15" s="5" customFormat="1" x14ac:dyDescent="0.2">
      <c r="A607" s="31">
        <v>0</v>
      </c>
      <c r="B607" s="31"/>
      <c r="C607" s="31"/>
      <c r="D607" s="31"/>
      <c r="E607" s="31">
        <v>12500</v>
      </c>
      <c r="F607" s="32"/>
      <c r="G607" s="31"/>
      <c r="H607" s="31">
        <f>IF(AND(H572&gt;A607, H572&lt;=E607),H572,0)</f>
        <v>0</v>
      </c>
      <c r="I607" s="31">
        <f>0+(25/100)*(-A607+H607)</f>
        <v>0</v>
      </c>
      <c r="K607" s="31">
        <v>0</v>
      </c>
      <c r="L607" s="31"/>
      <c r="M607" s="31">
        <v>12500</v>
      </c>
      <c r="N607" s="31">
        <f>IF(AND(H572&gt;K609, H572&lt;=M609),H572,0)</f>
        <v>0</v>
      </c>
      <c r="O607" s="31">
        <f>(12500/100*30)+(12500/100*35)+((60/100)*(-K609+N607))</f>
        <v>-6875</v>
      </c>
    </row>
    <row r="608" spans="1:15" s="5" customFormat="1" x14ac:dyDescent="0.2">
      <c r="A608" s="31">
        <f>E607</f>
        <v>12500</v>
      </c>
      <c r="B608" s="31"/>
      <c r="C608" s="31"/>
      <c r="D608" s="31"/>
      <c r="E608" s="31">
        <v>25000</v>
      </c>
      <c r="F608" s="32"/>
      <c r="G608" s="31"/>
      <c r="H608" s="31">
        <f>IF(AND(H572&gt;A608, H572&lt;=E608),H572,0)</f>
        <v>0</v>
      </c>
      <c r="I608" s="31">
        <f>(12500/100*25)+((30/100)*(-A608+H608))</f>
        <v>-625</v>
      </c>
      <c r="K608" s="31">
        <f>M607</f>
        <v>12500</v>
      </c>
      <c r="L608" s="31"/>
      <c r="M608" s="31">
        <v>25000</v>
      </c>
      <c r="N608" s="31">
        <f>IF(AND(H572&gt;K610, H572&lt;=M610),H572,0)</f>
        <v>0</v>
      </c>
      <c r="O608" s="31">
        <f>(12500/100*30)+(12500/100*35)+(50000/100*60)+((80/100)*(-K610+N608))</f>
        <v>-21875</v>
      </c>
    </row>
    <row r="609" spans="1:15" s="5" customFormat="1" x14ac:dyDescent="0.2">
      <c r="A609" s="31">
        <f>E608</f>
        <v>25000</v>
      </c>
      <c r="B609" s="31"/>
      <c r="C609" s="31"/>
      <c r="D609" s="31"/>
      <c r="E609" s="31">
        <v>75000</v>
      </c>
      <c r="F609" s="32"/>
      <c r="G609" s="31"/>
      <c r="H609" s="31">
        <f>IF(AND(H572&gt;A609, H572&lt;=E609),H572,0)</f>
        <v>0</v>
      </c>
      <c r="I609" s="31">
        <f>(12500/100*25)+(12500/100*30)+((40/100)*(-A609+H609))</f>
        <v>-3125</v>
      </c>
      <c r="K609" s="31">
        <f>M608</f>
        <v>25000</v>
      </c>
      <c r="L609" s="31"/>
      <c r="M609" s="31">
        <v>75000</v>
      </c>
      <c r="N609" s="31">
        <f>IF(AND(H572&gt;K611, H572&lt;=M611),H572,0)</f>
        <v>0</v>
      </c>
      <c r="O609" s="31">
        <f>(12500/100*30)+(12500/100*35)+(50000/100*60)+(100000/100*80)+((80/100)*(-K611+N609))</f>
        <v>-21875</v>
      </c>
    </row>
    <row r="610" spans="1:15" s="5" customFormat="1" x14ac:dyDescent="0.2">
      <c r="A610" s="31">
        <f>E609</f>
        <v>75000</v>
      </c>
      <c r="B610" s="31"/>
      <c r="C610" s="31"/>
      <c r="D610" s="31"/>
      <c r="E610" s="31">
        <v>175000</v>
      </c>
      <c r="F610" s="32"/>
      <c r="G610" s="31"/>
      <c r="H610" s="31">
        <f>IF(AND(H572&gt;A610, H572&lt;=E610),H572,0)</f>
        <v>0</v>
      </c>
      <c r="I610" s="31">
        <f>(12500/100*25)+(12500/100*30)+(50000/100*40)+((55/100)*(-A610+H610))</f>
        <v>-14375</v>
      </c>
      <c r="K610" s="31">
        <f>M609</f>
        <v>75000</v>
      </c>
      <c r="L610" s="31"/>
      <c r="M610" s="31">
        <v>175000</v>
      </c>
      <c r="N610" s="31"/>
      <c r="O610" s="31">
        <f>VLOOKUP(H572,N605:O609,2,FALSE)</f>
        <v>0</v>
      </c>
    </row>
    <row r="611" spans="1:15" s="5" customFormat="1" x14ac:dyDescent="0.2">
      <c r="A611" s="31">
        <f>E610</f>
        <v>175000</v>
      </c>
      <c r="B611" s="31"/>
      <c r="C611" s="31"/>
      <c r="D611" s="31"/>
      <c r="E611" s="31">
        <v>999999999</v>
      </c>
      <c r="F611" s="32"/>
      <c r="G611" s="31"/>
      <c r="H611" s="31">
        <f>IF(AND(H572&gt;A611, H572&lt;=E611),H572,0)</f>
        <v>0</v>
      </c>
      <c r="I611" s="31">
        <f>(12500/100*25)+(12500/100*30)+(50000/100*40)+(100000/100*55)+((70/100)*(-A611+H611))</f>
        <v>-40624.999999999985</v>
      </c>
      <c r="K611" s="31">
        <f>M610</f>
        <v>175000</v>
      </c>
      <c r="L611" s="31"/>
      <c r="M611" s="31">
        <v>999999999</v>
      </c>
    </row>
    <row r="612" spans="1:15" s="5" customFormat="1" x14ac:dyDescent="0.2">
      <c r="A612" s="45" t="s">
        <v>4</v>
      </c>
      <c r="B612" s="45"/>
      <c r="C612" s="45"/>
      <c r="D612" s="45"/>
      <c r="E612" s="31"/>
      <c r="F612" s="32"/>
      <c r="G612" s="31"/>
      <c r="H612" s="31"/>
      <c r="I612" s="31">
        <f>VLOOKUP(H572,H607:I611,2,FALSE)</f>
        <v>0</v>
      </c>
      <c r="K612" s="45" t="s">
        <v>4</v>
      </c>
      <c r="L612" s="45"/>
      <c r="M612" s="31"/>
    </row>
    <row r="613" spans="1:15" s="5" customFormat="1" x14ac:dyDescent="0.2">
      <c r="F613" s="18"/>
    </row>
    <row r="614" spans="1:15" s="5" customFormat="1" x14ac:dyDescent="0.2">
      <c r="A614" s="149"/>
      <c r="B614" s="149"/>
      <c r="C614" s="149"/>
      <c r="D614" s="149"/>
      <c r="E614" s="149">
        <f>IF(A615&gt;0,A615-F619,0)</f>
        <v>0</v>
      </c>
      <c r="F614" s="150"/>
      <c r="G614" s="149"/>
      <c r="H614" s="149"/>
      <c r="I614" s="149"/>
      <c r="J614" s="149"/>
      <c r="K614" s="149"/>
      <c r="L614" s="149"/>
    </row>
    <row r="615" spans="1:15" s="5" customFormat="1" x14ac:dyDescent="0.2">
      <c r="A615" s="149">
        <f>IF(AND(DONBIW!E17="oui",DONBIW!F37="ligne directe"),I593,0)</f>
        <v>0</v>
      </c>
      <c r="B615" s="149"/>
      <c r="C615" s="149"/>
      <c r="D615" s="149"/>
      <c r="E615" s="149">
        <f>IF(E614&gt;0,E614,0)</f>
        <v>0</v>
      </c>
      <c r="F615" s="149">
        <f>IF(AND(DONBIW!F37="ligne directe",H572&lt;=125000,DONBIW!E17="oui"),250,0)</f>
        <v>0</v>
      </c>
      <c r="G615" s="149">
        <f>IF(AND(F615&gt;0,(I593-F615&gt;=0)),I593-F615,0)</f>
        <v>0</v>
      </c>
      <c r="H615" s="149"/>
      <c r="I615" s="149"/>
      <c r="J615" s="149"/>
      <c r="K615" s="149"/>
      <c r="L615" s="149"/>
    </row>
    <row r="616" spans="1:15" s="5" customFormat="1" x14ac:dyDescent="0.2">
      <c r="A616" s="149">
        <f>IF(AND(DONBIW!E17="oui",DONBIW!F37="épou(x)(se)"),I593,0)</f>
        <v>0</v>
      </c>
      <c r="B616" s="149"/>
      <c r="C616" s="149"/>
      <c r="D616" s="149"/>
      <c r="E616" s="149">
        <f>IF(A616&gt;0,A616-F619,0)</f>
        <v>0</v>
      </c>
      <c r="F616" s="149">
        <f>IF(AND(DONBIW!F37="ligne directe",H572&gt;125000,DONBIW!E17="oui"),125,0)</f>
        <v>0</v>
      </c>
      <c r="G616" s="149">
        <f>IF(AND(F616&gt;0,(I593-F616&gt;=0)),I593-F616,0)</f>
        <v>0</v>
      </c>
      <c r="H616" s="149"/>
      <c r="I616" s="149"/>
      <c r="J616" s="149"/>
      <c r="K616" s="149"/>
      <c r="L616" s="149"/>
    </row>
    <row r="617" spans="1:15" s="5" customFormat="1" x14ac:dyDescent="0.2">
      <c r="A617" s="149">
        <f>IF(AND(DONBIW!E17="non",DONBIW!F37="ligne directe"),I584,0)</f>
        <v>0</v>
      </c>
      <c r="B617" s="149"/>
      <c r="C617" s="149"/>
      <c r="D617" s="149"/>
      <c r="E617" s="149">
        <f>IF(AND(DONBIW!E17="non",DONBIW!F37="ligne directe"),I584,0)</f>
        <v>0</v>
      </c>
      <c r="F617" s="149">
        <f>IF(AND(DONBIW!F37="épou(x)(se)",H572&lt;=125000,DONBIW!E17="oui"),250,0)</f>
        <v>0</v>
      </c>
      <c r="G617" s="149">
        <f>IF(AND(F617&gt;0,(I593-F617&gt;=0)),I593-F617,0)</f>
        <v>0</v>
      </c>
      <c r="H617" s="149"/>
      <c r="I617" s="149"/>
      <c r="J617" s="149"/>
      <c r="K617" s="149"/>
      <c r="L617" s="149"/>
    </row>
    <row r="618" spans="1:15" s="5" customFormat="1" x14ac:dyDescent="0.2">
      <c r="A618" s="149">
        <f>IF(AND(DONBIW!E17="non",DONBIW!F37="épou(x)(se)"),I584,0)</f>
        <v>0</v>
      </c>
      <c r="B618" s="149"/>
      <c r="C618" s="149"/>
      <c r="D618" s="149"/>
      <c r="E618" s="149">
        <f>IF(AND(DONBIW!E17="non",DONBIW!F37="épou(x)(se)"),I584,0)</f>
        <v>0</v>
      </c>
      <c r="F618" s="149">
        <f>IF(AND(DONBIW!F37="épou(x)(se)",H572&gt;125000,DONBIW!E17="oui"),125,0)</f>
        <v>0</v>
      </c>
      <c r="G618" s="149">
        <f>IF(AND(F618&gt;0,(I593-F618&gt;=0)),I593-F618,0)</f>
        <v>0</v>
      </c>
      <c r="H618" s="149"/>
      <c r="I618" s="149"/>
      <c r="J618" s="149"/>
      <c r="K618" s="149"/>
      <c r="L618" s="149"/>
    </row>
    <row r="619" spans="1:15" s="5" customFormat="1" x14ac:dyDescent="0.2">
      <c r="A619" s="149">
        <f>IF(DONBIW!F37="frère/soeur",I601,0)</f>
        <v>0</v>
      </c>
      <c r="B619" s="149"/>
      <c r="C619" s="149"/>
      <c r="D619" s="149"/>
      <c r="E619" s="149">
        <f>IF(DONBIW!F37="frère/soeur",I601,0)</f>
        <v>0</v>
      </c>
      <c r="F619" s="149">
        <f>SUM(F615:F618)</f>
        <v>0</v>
      </c>
      <c r="G619" s="149">
        <f>SUM(G615:G618)</f>
        <v>0</v>
      </c>
      <c r="H619" s="149"/>
      <c r="I619" s="149"/>
      <c r="J619" s="149"/>
      <c r="K619" s="149"/>
      <c r="L619" s="149"/>
    </row>
    <row r="620" spans="1:15" s="5" customFormat="1" x14ac:dyDescent="0.2">
      <c r="A620" s="149">
        <f>IF(DONBIW!F37="oncle-tante/neveu-nièce",I612,0)</f>
        <v>0</v>
      </c>
      <c r="B620" s="149"/>
      <c r="C620" s="149"/>
      <c r="D620" s="149"/>
      <c r="E620" s="149">
        <f>IF(DONBIW!F37="oncle-tante/neveu-nièce",I612,0)</f>
        <v>0</v>
      </c>
      <c r="F620" s="149"/>
      <c r="G620" s="149"/>
      <c r="H620" s="149"/>
      <c r="I620" s="149"/>
      <c r="J620" s="149"/>
      <c r="K620" s="149"/>
      <c r="L620" s="149"/>
    </row>
    <row r="621" spans="1:15" s="5" customFormat="1" x14ac:dyDescent="0.2">
      <c r="A621" s="149">
        <f>IF(DONBIW!F37="étrangers",O610,0)</f>
        <v>0</v>
      </c>
      <c r="B621" s="149"/>
      <c r="C621" s="149"/>
      <c r="D621" s="149"/>
      <c r="E621" s="149">
        <f>IF(DONBIW!F37="étrangers",O610,0)</f>
        <v>0</v>
      </c>
      <c r="F621" s="149"/>
      <c r="G621" s="149"/>
      <c r="H621" s="149"/>
      <c r="I621" s="149"/>
      <c r="J621" s="149"/>
      <c r="K621" s="149"/>
      <c r="L621" s="149"/>
    </row>
    <row r="622" spans="1:15" s="5" customFormat="1" x14ac:dyDescent="0.2">
      <c r="A622" s="149"/>
      <c r="B622" s="149"/>
      <c r="C622" s="149"/>
      <c r="D622" s="149"/>
      <c r="E622" s="149"/>
      <c r="F622" s="149"/>
      <c r="G622" s="149"/>
      <c r="H622" s="149"/>
      <c r="I622" s="149"/>
      <c r="J622" s="149"/>
      <c r="K622" s="149"/>
      <c r="L622" s="149"/>
    </row>
    <row r="623" spans="1:15" s="5" customFormat="1" x14ac:dyDescent="0.2">
      <c r="A623" s="149">
        <f>SUM(A615:A622)</f>
        <v>0</v>
      </c>
      <c r="B623" s="149"/>
      <c r="C623" s="149"/>
      <c r="D623" s="149"/>
      <c r="E623" s="149">
        <f>SUM(E615:E622)</f>
        <v>0</v>
      </c>
      <c r="F623" s="149"/>
      <c r="G623" s="149"/>
      <c r="H623" s="149"/>
      <c r="I623" s="149"/>
      <c r="J623" s="149"/>
      <c r="K623" s="149"/>
      <c r="L623" s="149"/>
    </row>
    <row r="624" spans="1:15" s="5" customFormat="1" x14ac:dyDescent="0.2"/>
    <row r="625" spans="1:11" s="5" customFormat="1" x14ac:dyDescent="0.2"/>
    <row r="626" spans="1:11" s="5" customFormat="1" x14ac:dyDescent="0.2">
      <c r="A626" s="5" t="s">
        <v>93</v>
      </c>
      <c r="E626" s="5" t="s">
        <v>100</v>
      </c>
    </row>
    <row r="627" spans="1:11" s="5" customFormat="1" x14ac:dyDescent="0.2"/>
    <row r="628" spans="1:11" s="5" customFormat="1" x14ac:dyDescent="0.2">
      <c r="A628" s="5" t="s">
        <v>93</v>
      </c>
      <c r="E628" s="5">
        <f>IF(DONBIW!I37=3,E623*12%,0)</f>
        <v>0</v>
      </c>
      <c r="F628" s="5">
        <f>IF(E628&gt;372,372,E628)</f>
        <v>0</v>
      </c>
      <c r="H628" s="5" t="s">
        <v>26</v>
      </c>
      <c r="I628" s="5">
        <f>6%*E623</f>
        <v>0</v>
      </c>
      <c r="J628" s="5">
        <f>IF(I628&gt;186,186,I628)</f>
        <v>0</v>
      </c>
      <c r="K628" s="5">
        <f>IF(DONBIW!I37=3,J628,0)</f>
        <v>0</v>
      </c>
    </row>
    <row r="629" spans="1:11" s="5" customFormat="1" x14ac:dyDescent="0.2">
      <c r="E629" s="5">
        <f>IF(DONBIW!I37=4,E623*16%,0)</f>
        <v>0</v>
      </c>
      <c r="F629" s="5">
        <f>IF(E629&gt;496,496,E629)</f>
        <v>0</v>
      </c>
      <c r="H629" s="5" t="s">
        <v>27</v>
      </c>
      <c r="I629" s="5">
        <f>8%*E623</f>
        <v>0</v>
      </c>
      <c r="J629" s="5">
        <f>IF(I629&gt;248,248,I629)</f>
        <v>0</v>
      </c>
      <c r="K629" s="5">
        <f>IF(DONBIW!I37=4,J629,0)</f>
        <v>0</v>
      </c>
    </row>
    <row r="630" spans="1:11" s="5" customFormat="1" x14ac:dyDescent="0.2">
      <c r="E630" s="5">
        <f>IF(DONBIW!I37=5,E623*20%,0)</f>
        <v>0</v>
      </c>
      <c r="F630" s="5">
        <f>IF(E630&gt;620,620,E630)</f>
        <v>0</v>
      </c>
      <c r="I630" s="5">
        <f>10%*E623</f>
        <v>0</v>
      </c>
      <c r="J630" s="5">
        <f>IF(I630&gt;310,310,I630)</f>
        <v>0</v>
      </c>
      <c r="K630" s="5">
        <f>IF(DONBIW!I37=5,J630,0)</f>
        <v>0</v>
      </c>
    </row>
    <row r="631" spans="1:11" s="5" customFormat="1" x14ac:dyDescent="0.2">
      <c r="E631" s="5">
        <f>IF(DONBIW!I37=6,E623*24%,0)</f>
        <v>0</v>
      </c>
      <c r="F631" s="5">
        <f>IF(E631&gt;744,744,E631)</f>
        <v>0</v>
      </c>
      <c r="I631" s="5">
        <f>12%*E623</f>
        <v>0</v>
      </c>
      <c r="J631" s="5">
        <f>IF(I631&gt;372,372,I631)</f>
        <v>0</v>
      </c>
      <c r="K631" s="5">
        <f>IF(DONBIW!I37=6,J631,0)</f>
        <v>0</v>
      </c>
    </row>
    <row r="632" spans="1:11" s="5" customFormat="1" x14ac:dyDescent="0.2">
      <c r="E632" s="5">
        <f>IF(DONBIW!I37=7,E623*28%,0)</f>
        <v>0</v>
      </c>
      <c r="F632" s="5">
        <f>IF(E632&gt;868,868,E632)</f>
        <v>0</v>
      </c>
      <c r="I632" s="5">
        <f>14%*E623</f>
        <v>0</v>
      </c>
      <c r="J632" s="5">
        <f>IF(I632&gt;434,434,I632)</f>
        <v>0</v>
      </c>
      <c r="K632" s="5">
        <f>IF(DONBIW!I37=7,J632,0)</f>
        <v>0</v>
      </c>
    </row>
    <row r="633" spans="1:11" s="5" customFormat="1" x14ac:dyDescent="0.2">
      <c r="E633" s="5">
        <f>IF(DONBIW!I37=8,E623*32%,0)</f>
        <v>0</v>
      </c>
      <c r="F633" s="5">
        <f>IF(E633&gt;992,992,E633)</f>
        <v>0</v>
      </c>
      <c r="I633" s="5">
        <f>16%*E623</f>
        <v>0</v>
      </c>
      <c r="J633" s="5">
        <f>IF(I633&gt;496,496,I633)</f>
        <v>0</v>
      </c>
      <c r="K633" s="5">
        <f>IF(DONBIW!I37=8,J633,0)</f>
        <v>0</v>
      </c>
    </row>
    <row r="634" spans="1:11" s="5" customFormat="1" x14ac:dyDescent="0.2">
      <c r="E634" s="5">
        <f>IF(DONBIW!I37=9,E623*36%,0)</f>
        <v>0</v>
      </c>
      <c r="F634" s="5">
        <f>IF(E634&gt;1116,1116,E634)</f>
        <v>0</v>
      </c>
      <c r="I634" s="5">
        <f>18%*E623</f>
        <v>0</v>
      </c>
      <c r="J634" s="5">
        <f>IF(I634&gt;558,558,I634)</f>
        <v>0</v>
      </c>
      <c r="K634" s="5">
        <f>IF(DONBIW!I37=9,J634,0)</f>
        <v>0</v>
      </c>
    </row>
    <row r="635" spans="1:11" s="5" customFormat="1" x14ac:dyDescent="0.2">
      <c r="E635" s="5">
        <f>IF(DONBIW!I37=10,E623*40%,0)</f>
        <v>0</v>
      </c>
      <c r="F635" s="5">
        <f>IF(E635&gt;1240,1240,E635)</f>
        <v>0</v>
      </c>
      <c r="I635" s="5">
        <f>20%*E623</f>
        <v>0</v>
      </c>
      <c r="J635" s="5">
        <f>IF(I635&gt;620,620,I635)</f>
        <v>0</v>
      </c>
      <c r="K635" s="5">
        <f>IF(DONBIW!I37=10,J635,0)</f>
        <v>0</v>
      </c>
    </row>
    <row r="636" spans="1:11" s="5" customFormat="1" x14ac:dyDescent="0.2"/>
    <row r="637" spans="1:11" s="5" customFormat="1" x14ac:dyDescent="0.2">
      <c r="F637" s="5">
        <f>SUM(F628:F636)</f>
        <v>0</v>
      </c>
      <c r="K637" s="5">
        <f>SUM(K628:K636)</f>
        <v>0</v>
      </c>
    </row>
    <row r="638" spans="1:11" s="5" customFormat="1" x14ac:dyDescent="0.2">
      <c r="F638" s="18"/>
    </row>
    <row r="639" spans="1:11" s="5" customFormat="1" x14ac:dyDescent="0.2">
      <c r="F639" s="18"/>
    </row>
    <row r="640" spans="1:11" s="5" customFormat="1" x14ac:dyDescent="0.2">
      <c r="F640" s="18"/>
    </row>
    <row r="641" spans="1:8" s="5" customFormat="1" x14ac:dyDescent="0.2">
      <c r="A641" s="5" t="s">
        <v>33</v>
      </c>
      <c r="E641" s="20">
        <f>E623-F637</f>
        <v>0</v>
      </c>
      <c r="F641" s="18"/>
      <c r="G641" s="5" t="s">
        <v>34</v>
      </c>
      <c r="H641" s="47">
        <f>E623-K637</f>
        <v>0</v>
      </c>
    </row>
    <row r="642" spans="1:8" s="5" customFormat="1" x14ac:dyDescent="0.2">
      <c r="F642" s="18"/>
    </row>
    <row r="643" spans="1:8" s="5" customFormat="1" x14ac:dyDescent="0.2">
      <c r="F643" s="18"/>
    </row>
    <row r="644" spans="1:8" s="5" customFormat="1" x14ac:dyDescent="0.2">
      <c r="F644" s="18"/>
    </row>
    <row r="645" spans="1:8" s="5" customFormat="1" x14ac:dyDescent="0.2">
      <c r="F645" s="18"/>
    </row>
    <row r="646" spans="1:8" s="5" customFormat="1" x14ac:dyDescent="0.2">
      <c r="F646" s="18"/>
    </row>
    <row r="647" spans="1:8" s="5" customFormat="1" x14ac:dyDescent="0.2">
      <c r="F647" s="18"/>
    </row>
    <row r="648" spans="1:8" s="5" customFormat="1" x14ac:dyDescent="0.2">
      <c r="F648" s="18"/>
    </row>
    <row r="649" spans="1:8" s="5" customFormat="1" x14ac:dyDescent="0.2">
      <c r="F649" s="18"/>
    </row>
    <row r="650" spans="1:8" s="5" customFormat="1" x14ac:dyDescent="0.2">
      <c r="F650" s="18"/>
    </row>
    <row r="651" spans="1:8" s="5" customFormat="1" x14ac:dyDescent="0.2">
      <c r="F651" s="18"/>
    </row>
    <row r="652" spans="1:8" s="5" customFormat="1" x14ac:dyDescent="0.2">
      <c r="F652" s="18"/>
    </row>
    <row r="653" spans="1:8" s="5" customFormat="1" x14ac:dyDescent="0.2">
      <c r="F653" s="18"/>
    </row>
    <row r="654" spans="1:8" s="5" customFormat="1" x14ac:dyDescent="0.2">
      <c r="F654" s="18"/>
    </row>
    <row r="655" spans="1:8" s="5" customFormat="1" x14ac:dyDescent="0.2">
      <c r="F655" s="18"/>
    </row>
    <row r="656" spans="1:8" s="5" customFormat="1" x14ac:dyDescent="0.2">
      <c r="F656" s="18"/>
    </row>
    <row r="657" spans="6:8" s="5" customFormat="1" x14ac:dyDescent="0.2">
      <c r="F657" s="18"/>
    </row>
    <row r="658" spans="6:8" s="5" customFormat="1" x14ac:dyDescent="0.2">
      <c r="F658" s="18"/>
    </row>
    <row r="659" spans="6:8" s="5" customFormat="1" x14ac:dyDescent="0.2">
      <c r="F659" s="18"/>
    </row>
    <row r="660" spans="6:8" s="5" customFormat="1" x14ac:dyDescent="0.2">
      <c r="F660" s="18"/>
    </row>
    <row r="661" spans="6:8" s="5" customFormat="1" x14ac:dyDescent="0.2">
      <c r="F661" s="18"/>
    </row>
    <row r="662" spans="6:8" s="5" customFormat="1" x14ac:dyDescent="0.2">
      <c r="F662" s="18"/>
    </row>
    <row r="663" spans="6:8" s="5" customFormat="1" x14ac:dyDescent="0.2">
      <c r="F663" s="18"/>
    </row>
    <row r="664" spans="6:8" s="5" customFormat="1" x14ac:dyDescent="0.2">
      <c r="F664" s="18"/>
    </row>
    <row r="665" spans="6:8" s="5" customFormat="1" x14ac:dyDescent="0.2">
      <c r="F665" s="18"/>
    </row>
    <row r="666" spans="6:8" s="5" customFormat="1" x14ac:dyDescent="0.2">
      <c r="F666" s="18"/>
    </row>
    <row r="667" spans="6:8" s="5" customFormat="1" x14ac:dyDescent="0.2">
      <c r="F667" s="18"/>
    </row>
    <row r="668" spans="6:8" s="5" customFormat="1" x14ac:dyDescent="0.2">
      <c r="F668" s="18"/>
    </row>
    <row r="669" spans="6:8" s="5" customFormat="1" x14ac:dyDescent="0.2">
      <c r="F669" s="18"/>
    </row>
    <row r="670" spans="6:8" s="5" customFormat="1" x14ac:dyDescent="0.2">
      <c r="F670" s="18"/>
    </row>
    <row r="671" spans="6:8" s="5" customFormat="1" x14ac:dyDescent="0.2">
      <c r="F671" s="18"/>
    </row>
    <row r="672" spans="6:8" s="5" customFormat="1" x14ac:dyDescent="0.2">
      <c r="F672" s="18"/>
      <c r="H672" s="28">
        <f>DONBIW!G44</f>
        <v>0</v>
      </c>
    </row>
    <row r="673" spans="1:9" s="5" customFormat="1" x14ac:dyDescent="0.2">
      <c r="F673" s="18"/>
    </row>
    <row r="674" spans="1:9" s="5" customFormat="1" x14ac:dyDescent="0.2">
      <c r="A674" s="43" t="s">
        <v>2</v>
      </c>
      <c r="B674" s="43"/>
      <c r="C674" s="43"/>
      <c r="D674" s="43"/>
      <c r="E674" s="31"/>
      <c r="F674" s="32"/>
      <c r="G674" s="31"/>
      <c r="H674" s="31"/>
      <c r="I674" s="44" t="s">
        <v>3</v>
      </c>
    </row>
    <row r="675" spans="1:9" s="5" customFormat="1" x14ac:dyDescent="0.2">
      <c r="A675" s="31">
        <v>0</v>
      </c>
      <c r="B675" s="31"/>
      <c r="C675" s="31"/>
      <c r="D675" s="31"/>
      <c r="E675" s="31">
        <v>12500</v>
      </c>
      <c r="F675" s="32"/>
      <c r="G675" s="31"/>
      <c r="H675" s="31">
        <f>IF(AND(H672&gt;A675,H672&lt;=E675),H672,0)</f>
        <v>0</v>
      </c>
      <c r="I675" s="31">
        <f>0+(3/100)*(-A675+H675)</f>
        <v>0</v>
      </c>
    </row>
    <row r="676" spans="1:9" s="5" customFormat="1" x14ac:dyDescent="0.2">
      <c r="A676" s="31">
        <f t="shared" ref="A676:A683" si="4">E675</f>
        <v>12500</v>
      </c>
      <c r="B676" s="31"/>
      <c r="C676" s="31"/>
      <c r="D676" s="31"/>
      <c r="E676" s="31">
        <v>25000</v>
      </c>
      <c r="F676" s="32"/>
      <c r="G676" s="31"/>
      <c r="H676" s="31">
        <f>IF(AND(H672&gt;A676, H672&lt;=E676),H672,0)</f>
        <v>0</v>
      </c>
      <c r="I676" s="31">
        <f>(12500/100*3)+(4/100)*(-A676+H676)</f>
        <v>-125</v>
      </c>
    </row>
    <row r="677" spans="1:9" s="5" customFormat="1" x14ac:dyDescent="0.2">
      <c r="A677" s="31">
        <f t="shared" si="4"/>
        <v>25000</v>
      </c>
      <c r="B677" s="31"/>
      <c r="C677" s="31"/>
      <c r="D677" s="31"/>
      <c r="E677" s="31">
        <v>50000</v>
      </c>
      <c r="F677" s="32"/>
      <c r="G677" s="31"/>
      <c r="H677" s="31">
        <f>IF(AND(H672&gt;A677, H672&lt;=E677),H672,0)</f>
        <v>0</v>
      </c>
      <c r="I677" s="31">
        <f>(12500/100*3)+(12500/100*4)+((5/100)*(-A677+H677))</f>
        <v>-375</v>
      </c>
    </row>
    <row r="678" spans="1:9" s="5" customFormat="1" x14ac:dyDescent="0.2">
      <c r="A678" s="31">
        <f t="shared" si="4"/>
        <v>50000</v>
      </c>
      <c r="B678" s="31"/>
      <c r="C678" s="31"/>
      <c r="D678" s="31"/>
      <c r="E678" s="31">
        <v>100000</v>
      </c>
      <c r="F678" s="32"/>
      <c r="G678" s="31"/>
      <c r="H678" s="31">
        <f>IF(AND(H672&gt;A678, H672&lt;=E678),H672,0)</f>
        <v>0</v>
      </c>
      <c r="I678" s="31">
        <f>(12500/100*3)+(12500/100*4)+(25000/100*5)+((7/100)*(-A678+H678))</f>
        <v>-1375.0000000000005</v>
      </c>
    </row>
    <row r="679" spans="1:9" s="5" customFormat="1" x14ac:dyDescent="0.2">
      <c r="A679" s="31">
        <f t="shared" si="4"/>
        <v>100000</v>
      </c>
      <c r="B679" s="31"/>
      <c r="C679" s="31"/>
      <c r="D679" s="31"/>
      <c r="E679" s="31">
        <v>150000</v>
      </c>
      <c r="F679" s="32"/>
      <c r="G679" s="31"/>
      <c r="H679" s="31">
        <f>IF(AND(H672&gt;A679, H672&lt;=E679),H672,0)</f>
        <v>0</v>
      </c>
      <c r="I679" s="31">
        <f>(12500/100*3)+(12500/100*4)+(25000/100*5)+(50000/100*7)+((10/100)*(-A679+H679))</f>
        <v>-4375</v>
      </c>
    </row>
    <row r="680" spans="1:9" s="5" customFormat="1" x14ac:dyDescent="0.2">
      <c r="A680" s="31">
        <f t="shared" si="4"/>
        <v>150000</v>
      </c>
      <c r="B680" s="31"/>
      <c r="C680" s="31"/>
      <c r="D680" s="31"/>
      <c r="E680" s="31">
        <v>200000</v>
      </c>
      <c r="F680" s="32"/>
      <c r="G680" s="31"/>
      <c r="H680" s="31">
        <f>IF(AND(H672&gt;A680, H672&lt;=E680),H672,0)</f>
        <v>0</v>
      </c>
      <c r="I680" s="31">
        <f>(12500/100*3)+(12500/100*4)+(25000/100*5)+(50000/100*7)+(50000/100*10)+((14/100)*(-A680+H680))</f>
        <v>-10375.000000000004</v>
      </c>
    </row>
    <row r="681" spans="1:9" s="5" customFormat="1" x14ac:dyDescent="0.2">
      <c r="A681" s="31">
        <f t="shared" si="4"/>
        <v>200000</v>
      </c>
      <c r="B681" s="31"/>
      <c r="C681" s="31"/>
      <c r="D681" s="31"/>
      <c r="E681" s="31">
        <v>250000</v>
      </c>
      <c r="F681" s="32"/>
      <c r="G681" s="31"/>
      <c r="H681" s="31">
        <f>IF(AND(H672&gt;A681, H672&lt;=E681),H672,0)</f>
        <v>0</v>
      </c>
      <c r="I681" s="31">
        <f>(12500/100*3)+(12500/100*4)+(25000/100*5)+(50000/100*7)+(50000/100*10)+(50000/100*14)+((18/100)*(-A681+H681))</f>
        <v>-18375</v>
      </c>
    </row>
    <row r="682" spans="1:9" s="5" customFormat="1" x14ac:dyDescent="0.2">
      <c r="A682" s="31">
        <f t="shared" si="4"/>
        <v>250000</v>
      </c>
      <c r="B682" s="31"/>
      <c r="C682" s="31"/>
      <c r="D682" s="31"/>
      <c r="E682" s="31">
        <v>500000</v>
      </c>
      <c r="F682" s="32"/>
      <c r="G682" s="31"/>
      <c r="H682" s="31">
        <f>IF(AND(H672&gt;A682, H672&lt;=E682),H672,0)</f>
        <v>0</v>
      </c>
      <c r="I682" s="31">
        <f>(12500/100*3)+(12500/100*4)+(25000/100*5)+(50000/100*7)+(50000/100*10)+(50000/100*14)+(50000/100*18)+((24/100)*(-A682+H682))</f>
        <v>-33375</v>
      </c>
    </row>
    <row r="683" spans="1:9" s="5" customFormat="1" x14ac:dyDescent="0.2">
      <c r="A683" s="31">
        <f t="shared" si="4"/>
        <v>500000</v>
      </c>
      <c r="B683" s="31"/>
      <c r="C683" s="31"/>
      <c r="D683" s="31"/>
      <c r="E683" s="31">
        <v>999999999</v>
      </c>
      <c r="F683" s="32"/>
      <c r="G683" s="31"/>
      <c r="H683" s="31">
        <f>IF(AND(H672&gt;A683, H672&lt;=E683),H672,0)</f>
        <v>0</v>
      </c>
      <c r="I683" s="31">
        <f>(12500/100*3)+(12500/100*4)+(25000/100*5)+(50000/100*7)+(50000/100*10)+(50000/100*14)+(50000/100*18)+(250000/100*24)+((30/100)*(-A683+H683))</f>
        <v>-63375</v>
      </c>
    </row>
    <row r="684" spans="1:9" s="5" customFormat="1" x14ac:dyDescent="0.2">
      <c r="A684" s="45" t="s">
        <v>4</v>
      </c>
      <c r="B684" s="45"/>
      <c r="C684" s="45"/>
      <c r="D684" s="45"/>
      <c r="E684" s="31"/>
      <c r="F684" s="32"/>
      <c r="G684" s="31"/>
      <c r="H684" s="31"/>
      <c r="I684" s="31">
        <f>VLOOKUP(H672,H675:I683,2,FALSE)</f>
        <v>0</v>
      </c>
    </row>
    <row r="685" spans="1:9" s="5" customFormat="1" x14ac:dyDescent="0.2">
      <c r="A685" s="45"/>
      <c r="B685" s="45"/>
      <c r="C685" s="45"/>
      <c r="D685" s="45"/>
      <c r="E685" s="31"/>
      <c r="F685" s="32"/>
      <c r="G685" s="31"/>
      <c r="H685" s="31"/>
      <c r="I685" s="31"/>
    </row>
    <row r="686" spans="1:9" s="5" customFormat="1" x14ac:dyDescent="0.2">
      <c r="A686" s="46" t="s">
        <v>24</v>
      </c>
      <c r="B686" s="46"/>
      <c r="C686" s="46"/>
      <c r="D686" s="46"/>
      <c r="E686" s="31"/>
      <c r="F686" s="32"/>
      <c r="G686" s="31"/>
      <c r="H686" s="31"/>
      <c r="I686" s="44" t="s">
        <v>25</v>
      </c>
    </row>
    <row r="687" spans="1:9" s="5" customFormat="1" x14ac:dyDescent="0.2">
      <c r="A687" s="31">
        <v>0</v>
      </c>
      <c r="B687" s="31"/>
      <c r="C687" s="31"/>
      <c r="D687" s="31"/>
      <c r="E687" s="31">
        <v>25000</v>
      </c>
      <c r="F687" s="32"/>
      <c r="G687" s="31"/>
      <c r="H687" s="31">
        <f>IF(AND(H672&gt;A687, H672&lt;=E687),H672,0)</f>
        <v>0</v>
      </c>
      <c r="I687" s="31">
        <f>0+(1/100)*(-A687+H687)</f>
        <v>0</v>
      </c>
    </row>
    <row r="688" spans="1:9" s="5" customFormat="1" x14ac:dyDescent="0.2">
      <c r="A688" s="31">
        <f>E687</f>
        <v>25000</v>
      </c>
      <c r="B688" s="31"/>
      <c r="C688" s="31"/>
      <c r="D688" s="31"/>
      <c r="E688" s="31">
        <v>50000</v>
      </c>
      <c r="F688" s="32"/>
      <c r="G688" s="31"/>
      <c r="H688" s="31">
        <f>IF(AND(H672&gt;A688, H672&lt;=E688),H672,0)</f>
        <v>0</v>
      </c>
      <c r="I688" s="31">
        <f>(25000/100*1)+(2/100)*(-A688+H688)</f>
        <v>-250</v>
      </c>
    </row>
    <row r="689" spans="1:15" s="5" customFormat="1" x14ac:dyDescent="0.2">
      <c r="A689" s="31">
        <f>E688</f>
        <v>50000</v>
      </c>
      <c r="B689" s="31"/>
      <c r="C689" s="31"/>
      <c r="D689" s="31"/>
      <c r="E689" s="31">
        <v>175000</v>
      </c>
      <c r="F689" s="32"/>
      <c r="G689" s="31"/>
      <c r="H689" s="31">
        <f>IF(AND(H672&gt;A689, H672&lt;=E689),H672,0)</f>
        <v>0</v>
      </c>
      <c r="I689" s="31">
        <f>(25000/100*1)+(25000/100*2)+((5/100)*(-A689+H689))</f>
        <v>-1750</v>
      </c>
    </row>
    <row r="690" spans="1:15" s="5" customFormat="1" x14ac:dyDescent="0.2">
      <c r="A690" s="31">
        <f>E689</f>
        <v>175000</v>
      </c>
      <c r="B690" s="31"/>
      <c r="C690" s="31"/>
      <c r="D690" s="31"/>
      <c r="E690" s="31">
        <v>250000</v>
      </c>
      <c r="F690" s="32"/>
      <c r="G690" s="31"/>
      <c r="H690" s="31">
        <f>IF(AND(H672&gt;A690, H672&lt;=E690),H672,0)</f>
        <v>0</v>
      </c>
      <c r="I690" s="31">
        <f>(25000/100*1)+(25000/100*2)+(125000/100*5)+((12/100)*(-A690+H690))</f>
        <v>-14000</v>
      </c>
    </row>
    <row r="691" spans="1:15" s="5" customFormat="1" x14ac:dyDescent="0.2">
      <c r="A691" s="31">
        <f>E690</f>
        <v>250000</v>
      </c>
      <c r="B691" s="31"/>
      <c r="C691" s="31"/>
      <c r="D691" s="31"/>
      <c r="E691" s="31">
        <v>500000</v>
      </c>
      <c r="F691" s="32"/>
      <c r="G691" s="31"/>
      <c r="H691" s="31">
        <f>IF(AND(H672&gt;A691, H672&lt;=E691),H672,0)</f>
        <v>0</v>
      </c>
      <c r="I691" s="31">
        <f>(25000/100*1)+(25000/100*2)+(125000/100*5)+(75000/100*12)+((24/100)*(-A691+H691))</f>
        <v>-44000</v>
      </c>
    </row>
    <row r="692" spans="1:15" s="5" customFormat="1" x14ac:dyDescent="0.2">
      <c r="A692" s="31">
        <f>E691</f>
        <v>500000</v>
      </c>
      <c r="B692" s="31"/>
      <c r="C692" s="31"/>
      <c r="D692" s="31"/>
      <c r="E692" s="31">
        <v>999999999</v>
      </c>
      <c r="F692" s="32"/>
      <c r="G692" s="31"/>
      <c r="H692" s="31">
        <f>IF(AND(H672&gt;A692, H672&lt;=E692),H672,0)</f>
        <v>0</v>
      </c>
      <c r="I692" s="31">
        <f>(25000/100*1)+(25000/100*2)+(125000/100*5)+(75000/100*12)+(250000/100*24)+((30/100)*(-A692+H692))</f>
        <v>-74000</v>
      </c>
    </row>
    <row r="693" spans="1:15" s="5" customFormat="1" x14ac:dyDescent="0.2">
      <c r="A693" s="45" t="s">
        <v>4</v>
      </c>
      <c r="B693" s="45"/>
      <c r="C693" s="45"/>
      <c r="D693" s="45"/>
      <c r="E693" s="31"/>
      <c r="F693" s="32"/>
      <c r="G693" s="31"/>
      <c r="H693" s="31"/>
      <c r="I693" s="31">
        <f>VLOOKUP(H672,H687:I692,2,FALSE)</f>
        <v>0</v>
      </c>
    </row>
    <row r="694" spans="1:15" s="5" customFormat="1" x14ac:dyDescent="0.2">
      <c r="A694" s="45"/>
      <c r="B694" s="45"/>
      <c r="C694" s="45"/>
      <c r="D694" s="45"/>
      <c r="E694" s="31"/>
      <c r="F694" s="32"/>
      <c r="G694" s="31"/>
      <c r="H694" s="31"/>
      <c r="I694" s="31"/>
    </row>
    <row r="695" spans="1:15" s="5" customFormat="1" x14ac:dyDescent="0.2">
      <c r="A695" s="43" t="s">
        <v>5</v>
      </c>
      <c r="B695" s="43"/>
      <c r="C695" s="43"/>
      <c r="D695" s="43"/>
      <c r="E695" s="31"/>
      <c r="F695" s="32"/>
      <c r="G695" s="31"/>
      <c r="H695" s="31"/>
      <c r="I695" s="44" t="s">
        <v>6</v>
      </c>
    </row>
    <row r="696" spans="1:15" s="5" customFormat="1" x14ac:dyDescent="0.2">
      <c r="A696" s="31">
        <v>0</v>
      </c>
      <c r="B696" s="31"/>
      <c r="C696" s="31"/>
      <c r="D696" s="31"/>
      <c r="E696" s="31">
        <v>12500</v>
      </c>
      <c r="F696" s="32"/>
      <c r="G696" s="31"/>
      <c r="H696" s="31">
        <f>IF(AND(H672&gt;A696, H672&lt;=E696),H672,0)</f>
        <v>0</v>
      </c>
      <c r="I696" s="31">
        <f>0+(20/100)*(-A696+H696)</f>
        <v>0</v>
      </c>
    </row>
    <row r="697" spans="1:15" s="5" customFormat="1" x14ac:dyDescent="0.2">
      <c r="A697" s="31">
        <f>E696</f>
        <v>12500</v>
      </c>
      <c r="B697" s="31"/>
      <c r="C697" s="31"/>
      <c r="D697" s="31"/>
      <c r="E697" s="31">
        <v>25000</v>
      </c>
      <c r="F697" s="32"/>
      <c r="G697" s="31"/>
      <c r="H697" s="31">
        <f>IF(AND(H672&gt;A697, H672&lt;=E697),H672,0)</f>
        <v>0</v>
      </c>
      <c r="I697" s="31">
        <f>(12500/100*20)+((25/100)*(-A697+H697))</f>
        <v>-625</v>
      </c>
    </row>
    <row r="698" spans="1:15" s="5" customFormat="1" x14ac:dyDescent="0.2">
      <c r="A698" s="31">
        <f>E697</f>
        <v>25000</v>
      </c>
      <c r="B698" s="31"/>
      <c r="C698" s="31"/>
      <c r="D698" s="31"/>
      <c r="E698" s="31">
        <v>75000</v>
      </c>
      <c r="F698" s="32"/>
      <c r="G698" s="31"/>
      <c r="H698" s="31">
        <f>IF(AND(H672&gt;A698, H672&lt;=E698),H672,0)</f>
        <v>0</v>
      </c>
      <c r="I698" s="31">
        <f>(12500/100*20)+(12500/100*25)+((35/100)*(-A698+H698))</f>
        <v>-3125</v>
      </c>
    </row>
    <row r="699" spans="1:15" s="5" customFormat="1" x14ac:dyDescent="0.2">
      <c r="A699" s="31">
        <f>E698</f>
        <v>75000</v>
      </c>
      <c r="B699" s="31"/>
      <c r="C699" s="31"/>
      <c r="D699" s="31"/>
      <c r="E699" s="31">
        <v>175000</v>
      </c>
      <c r="F699" s="32"/>
      <c r="G699" s="31"/>
      <c r="H699" s="31">
        <f>IF(AND(H672&gt;A699, H672&lt;=E699),H672,0)</f>
        <v>0</v>
      </c>
      <c r="I699" s="31">
        <f>(12500/100*20)+(12500/100*25)+(50000/100*35)+((50/100)*(-A699+H699))</f>
        <v>-14375</v>
      </c>
    </row>
    <row r="700" spans="1:15" s="5" customFormat="1" x14ac:dyDescent="0.2">
      <c r="A700" s="31">
        <f>E699</f>
        <v>175000</v>
      </c>
      <c r="B700" s="31"/>
      <c r="C700" s="31"/>
      <c r="D700" s="31"/>
      <c r="E700" s="31">
        <v>999999999</v>
      </c>
      <c r="F700" s="32"/>
      <c r="G700" s="31"/>
      <c r="H700" s="31">
        <f>IF(AND(H672&gt;A700, H672&lt;=E700),H672,0)</f>
        <v>0</v>
      </c>
      <c r="I700" s="31">
        <f>(12500/100*20)+(12500/100*25)+(50000/100*35)+(100000/100*50)+((65/100)*(-A700+H700))</f>
        <v>-40625</v>
      </c>
    </row>
    <row r="701" spans="1:15" s="5" customFormat="1" x14ac:dyDescent="0.2">
      <c r="A701" s="45" t="s">
        <v>4</v>
      </c>
      <c r="B701" s="45"/>
      <c r="C701" s="45"/>
      <c r="D701" s="45"/>
      <c r="E701" s="31"/>
      <c r="F701" s="32"/>
      <c r="G701" s="31"/>
      <c r="H701" s="31"/>
      <c r="I701" s="31">
        <f>VLOOKUP(H672,H696:I700,2,FALSE)</f>
        <v>0</v>
      </c>
    </row>
    <row r="702" spans="1:15" s="5" customFormat="1" x14ac:dyDescent="0.2">
      <c r="F702" s="18"/>
    </row>
    <row r="703" spans="1:15" s="5" customFormat="1" x14ac:dyDescent="0.2">
      <c r="E703" s="28">
        <f>E584</f>
        <v>0</v>
      </c>
      <c r="F703" s="29"/>
      <c r="G703" s="28"/>
      <c r="H703" s="28"/>
      <c r="I703" s="28"/>
    </row>
    <row r="704" spans="1:15" s="5" customFormat="1" x14ac:dyDescent="0.2">
      <c r="E704" s="28"/>
      <c r="F704" s="29"/>
      <c r="G704" s="28"/>
      <c r="H704" s="28"/>
      <c r="I704" s="28"/>
      <c r="N704" s="31"/>
      <c r="O704" s="44" t="s">
        <v>8</v>
      </c>
    </row>
    <row r="705" spans="1:15" s="5" customFormat="1" x14ac:dyDescent="0.2">
      <c r="E705" s="28"/>
      <c r="F705" s="29"/>
      <c r="G705" s="28"/>
      <c r="H705" s="28"/>
      <c r="I705" s="28"/>
      <c r="N705" s="31">
        <f>IF(AND(H672&gt;K707, H672&lt;=M707),H672,0)</f>
        <v>0</v>
      </c>
      <c r="O705" s="31">
        <f>0+(30/100)*(-K707+N705)</f>
        <v>0</v>
      </c>
    </row>
    <row r="706" spans="1:15" s="5" customFormat="1" x14ac:dyDescent="0.2">
      <c r="A706" s="43" t="s">
        <v>22</v>
      </c>
      <c r="B706" s="43"/>
      <c r="C706" s="43"/>
      <c r="D706" s="43"/>
      <c r="E706" s="31"/>
      <c r="F706" s="32"/>
      <c r="G706" s="31"/>
      <c r="H706" s="31"/>
      <c r="I706" s="44" t="s">
        <v>7</v>
      </c>
      <c r="K706" s="43" t="s">
        <v>23</v>
      </c>
      <c r="L706" s="43"/>
      <c r="M706" s="31"/>
      <c r="N706" s="31">
        <f>IF(AND(H672&gt;K708, H672&lt;=M708),H672,0)</f>
        <v>0</v>
      </c>
      <c r="O706" s="31">
        <f>(12500/100*30)+((35/100)*(-K708+N706))</f>
        <v>-625</v>
      </c>
    </row>
    <row r="707" spans="1:15" s="5" customFormat="1" x14ac:dyDescent="0.2">
      <c r="A707" s="31">
        <v>0</v>
      </c>
      <c r="B707" s="31"/>
      <c r="C707" s="31"/>
      <c r="D707" s="31"/>
      <c r="E707" s="31">
        <v>12500</v>
      </c>
      <c r="F707" s="32"/>
      <c r="G707" s="31"/>
      <c r="H707" s="31">
        <f>IF(AND(H672&gt;A707, H672&lt;=E707),H672,0)</f>
        <v>0</v>
      </c>
      <c r="I707" s="31">
        <f>0+(25/100)*(-A707+H707)</f>
        <v>0</v>
      </c>
      <c r="K707" s="31">
        <v>0</v>
      </c>
      <c r="L707" s="31"/>
      <c r="M707" s="31">
        <v>12500</v>
      </c>
      <c r="N707" s="31">
        <f>IF(AND(H672&gt;K709, H672&lt;=M709),H672,0)</f>
        <v>0</v>
      </c>
      <c r="O707" s="31">
        <f>(12500/100*30)+(12500/100*35)+((60/100)*(-K709+N707))</f>
        <v>-6875</v>
      </c>
    </row>
    <row r="708" spans="1:15" s="5" customFormat="1" x14ac:dyDescent="0.2">
      <c r="A708" s="31">
        <f>E707</f>
        <v>12500</v>
      </c>
      <c r="B708" s="31"/>
      <c r="C708" s="31"/>
      <c r="D708" s="31"/>
      <c r="E708" s="31">
        <v>25000</v>
      </c>
      <c r="F708" s="32"/>
      <c r="G708" s="31"/>
      <c r="H708" s="31">
        <f>IF(AND(H672&gt;A708, H672&lt;=E708),H672,0)</f>
        <v>0</v>
      </c>
      <c r="I708" s="31">
        <f>(12500/100*25)+((30/100)*(-A708+H708))</f>
        <v>-625</v>
      </c>
      <c r="K708" s="31">
        <f>M707</f>
        <v>12500</v>
      </c>
      <c r="L708" s="31"/>
      <c r="M708" s="31">
        <v>25000</v>
      </c>
      <c r="N708" s="31">
        <f>IF(AND(H672&gt;K710, H672&lt;=M710),H672,0)</f>
        <v>0</v>
      </c>
      <c r="O708" s="31">
        <f>(12500/100*30)+(12500/100*35)+(50000/100*60)+((80/100)*(-K710+N708))</f>
        <v>-21875</v>
      </c>
    </row>
    <row r="709" spans="1:15" s="5" customFormat="1" x14ac:dyDescent="0.2">
      <c r="A709" s="31">
        <f>E708</f>
        <v>25000</v>
      </c>
      <c r="B709" s="31"/>
      <c r="C709" s="31"/>
      <c r="D709" s="31"/>
      <c r="E709" s="31">
        <v>75000</v>
      </c>
      <c r="F709" s="32"/>
      <c r="G709" s="31"/>
      <c r="H709" s="31">
        <f>IF(AND(H672&gt;A709, H672&lt;=E709),H672,0)</f>
        <v>0</v>
      </c>
      <c r="I709" s="31">
        <f>(12500/100*25)+(12500/100*30)+((40/100)*(-A709+H709))</f>
        <v>-3125</v>
      </c>
      <c r="K709" s="31">
        <f>M708</f>
        <v>25000</v>
      </c>
      <c r="L709" s="31"/>
      <c r="M709" s="31">
        <v>75000</v>
      </c>
      <c r="N709" s="31">
        <f>IF(AND(H672&gt;K711, H672&lt;=M711),H672,0)</f>
        <v>0</v>
      </c>
      <c r="O709" s="31">
        <f>(12500/100*30)+(12500/100*35)+(50000/100*60)+(100000/100*80)+((80/100)*(-K711+N709))</f>
        <v>-21875</v>
      </c>
    </row>
    <row r="710" spans="1:15" s="5" customFormat="1" x14ac:dyDescent="0.2">
      <c r="A710" s="31">
        <f>E709</f>
        <v>75000</v>
      </c>
      <c r="B710" s="31"/>
      <c r="C710" s="31"/>
      <c r="D710" s="31"/>
      <c r="E710" s="31">
        <v>175000</v>
      </c>
      <c r="F710" s="32"/>
      <c r="G710" s="31"/>
      <c r="H710" s="31">
        <f>IF(AND(H672&gt;A710, H672&lt;=E710),H672,0)</f>
        <v>0</v>
      </c>
      <c r="I710" s="31">
        <f>(12500/100*25)+(12500/100*30)+(50000/100*40)+((55/100)*(-A710+H710))</f>
        <v>-14375</v>
      </c>
      <c r="K710" s="31">
        <f>M709</f>
        <v>75000</v>
      </c>
      <c r="L710" s="31"/>
      <c r="M710" s="31">
        <v>175000</v>
      </c>
      <c r="N710" s="31"/>
      <c r="O710" s="31">
        <f>VLOOKUP(H672,N705:O709,2,FALSE)</f>
        <v>0</v>
      </c>
    </row>
    <row r="711" spans="1:15" s="5" customFormat="1" x14ac:dyDescent="0.2">
      <c r="A711" s="31">
        <f>E710</f>
        <v>175000</v>
      </c>
      <c r="B711" s="31"/>
      <c r="C711" s="31"/>
      <c r="D711" s="31"/>
      <c r="E711" s="31">
        <v>999999999</v>
      </c>
      <c r="F711" s="32"/>
      <c r="G711" s="31"/>
      <c r="H711" s="31">
        <f>IF(AND(H672&gt;A711, H672&lt;=E711),H672,0)</f>
        <v>0</v>
      </c>
      <c r="I711" s="31">
        <f>(12500/100*25)+(12500/100*30)+(50000/100*40)+(100000/100*55)+((70/100)*(-A711+H711))</f>
        <v>-40624.999999999985</v>
      </c>
      <c r="K711" s="31">
        <f>M710</f>
        <v>175000</v>
      </c>
      <c r="L711" s="31"/>
      <c r="M711" s="31">
        <v>999999999</v>
      </c>
    </row>
    <row r="712" spans="1:15" s="5" customFormat="1" x14ac:dyDescent="0.2">
      <c r="A712" s="45" t="s">
        <v>4</v>
      </c>
      <c r="B712" s="45"/>
      <c r="C712" s="45"/>
      <c r="D712" s="45"/>
      <c r="E712" s="31"/>
      <c r="F712" s="32"/>
      <c r="G712" s="31"/>
      <c r="H712" s="31"/>
      <c r="I712" s="31">
        <f>VLOOKUP(H672,H707:I711,2,FALSE)</f>
        <v>0</v>
      </c>
      <c r="K712" s="45" t="s">
        <v>4</v>
      </c>
      <c r="L712" s="45"/>
      <c r="M712" s="31"/>
    </row>
    <row r="713" spans="1:15" s="5" customFormat="1" x14ac:dyDescent="0.2">
      <c r="F713" s="18"/>
    </row>
    <row r="714" spans="1:15" s="5" customFormat="1" x14ac:dyDescent="0.2">
      <c r="E714" s="5">
        <f>IF(A715&gt;0,A715-F719,0)</f>
        <v>0</v>
      </c>
      <c r="F714" s="18"/>
    </row>
    <row r="715" spans="1:15" s="5" customFormat="1" x14ac:dyDescent="0.2">
      <c r="A715" s="5">
        <f>IF(AND(DONBIW!E17="oui",DONBIW!F42="ligne directe"),I693,0)</f>
        <v>0</v>
      </c>
      <c r="E715" s="5">
        <f>IF(E714&gt;0,E714,0)</f>
        <v>0</v>
      </c>
      <c r="F715" s="5">
        <f>IF(AND(DONBIW!F42="ligne directe",H672&lt;=125000,DONBIW!E17="oui"),250,0)</f>
        <v>0</v>
      </c>
      <c r="G715" s="5">
        <f>IF(AND(F715&gt;0,(I693-F715&gt;=0)),I693-F715,0)</f>
        <v>0</v>
      </c>
    </row>
    <row r="716" spans="1:15" s="5" customFormat="1" x14ac:dyDescent="0.2">
      <c r="A716" s="5">
        <f>IF(AND(DONBIW!E17="oui",DONBIW!F42="épou(x)(se)"),I693,0)</f>
        <v>0</v>
      </c>
      <c r="E716" s="5">
        <f>IF(A716&gt;0,A716-F719,0)</f>
        <v>0</v>
      </c>
      <c r="F716" s="5">
        <f>IF(AND(DONBIW!F42="ligne directe",H672&gt;125000,DONBIW!E17="oui"),125,0)</f>
        <v>0</v>
      </c>
      <c r="G716" s="5">
        <f>IF(AND(F716&gt;0,(I693-F716&gt;=0)),I693-F716,0)</f>
        <v>0</v>
      </c>
    </row>
    <row r="717" spans="1:15" s="5" customFormat="1" x14ac:dyDescent="0.2">
      <c r="A717" s="5">
        <f>IF(AND(DONBIW!E17="non",DONBIW!F42="ligne directe"),I684,0)</f>
        <v>0</v>
      </c>
      <c r="E717" s="5">
        <f>IF(AND(DONBIW!E17="non",DONBIW!F42="ligne directe"),I684,0)</f>
        <v>0</v>
      </c>
      <c r="F717" s="5">
        <f>IF(AND(DONBIW!F42="épou(x)(se)",H672&lt;=125000,DONBIW!E17="oui"),250,0)</f>
        <v>0</v>
      </c>
      <c r="G717" s="5">
        <f>IF(AND(F717&gt;0,(I693-F717&gt;=0)),I693-F717,0)</f>
        <v>0</v>
      </c>
    </row>
    <row r="718" spans="1:15" s="5" customFormat="1" x14ac:dyDescent="0.2">
      <c r="A718" s="5">
        <f>IF(AND(DONBIW!E17="non",DONBIW!F42="épou(x)(se)"),I684,0)</f>
        <v>0</v>
      </c>
      <c r="E718" s="5">
        <f>IF(AND(DONBIW!E17="non",DONBIW!F42="épou(x)(se)"),I684,0)</f>
        <v>0</v>
      </c>
      <c r="F718" s="5">
        <f>IF(AND(DONBIW!F42="épou(x)(se)",H672&gt;125000,DONBIW!E17="oui"),125,0)</f>
        <v>0</v>
      </c>
      <c r="G718" s="5">
        <f>IF(AND(F718&gt;0,(I693-F718&gt;=0)),I693-F718,0)</f>
        <v>0</v>
      </c>
    </row>
    <row r="719" spans="1:15" s="5" customFormat="1" x14ac:dyDescent="0.2">
      <c r="A719" s="5">
        <f>IF(DONBIW!F42="frère/soeur",I701,0)</f>
        <v>0</v>
      </c>
      <c r="E719" s="5">
        <f>IF(DONBIW!F42="frère/soeur",I701,0)</f>
        <v>0</v>
      </c>
      <c r="F719" s="5">
        <f>SUM(F715:F718)</f>
        <v>0</v>
      </c>
      <c r="G719" s="5">
        <f>SUM(G715:G718)</f>
        <v>0</v>
      </c>
    </row>
    <row r="720" spans="1:15" s="5" customFormat="1" x14ac:dyDescent="0.2">
      <c r="A720" s="5">
        <f>IF(DONBIW!F42="oncle-tante/neveu-nièce",I712,0)</f>
        <v>0</v>
      </c>
      <c r="E720" s="5">
        <f>IF(DONBIW!F42="oncle-tante/neveu-nièce",I712,0)</f>
        <v>0</v>
      </c>
    </row>
    <row r="721" spans="1:11" s="5" customFormat="1" x14ac:dyDescent="0.2">
      <c r="A721" s="5">
        <f>IF(DONBIW!F42="étrangers",O710,0)</f>
        <v>0</v>
      </c>
      <c r="E721" s="5">
        <f>IF(DONBIW!F42="étrangers",O710,0)</f>
        <v>0</v>
      </c>
    </row>
    <row r="722" spans="1:11" s="5" customFormat="1" x14ac:dyDescent="0.2"/>
    <row r="723" spans="1:11" s="5" customFormat="1" x14ac:dyDescent="0.2">
      <c r="A723" s="5">
        <f>SUM(A715:A722)</f>
        <v>0</v>
      </c>
      <c r="E723" s="5">
        <f>SUM(E715:E722)</f>
        <v>0</v>
      </c>
    </row>
    <row r="724" spans="1:11" s="5" customFormat="1" x14ac:dyDescent="0.2"/>
    <row r="725" spans="1:11" s="5" customFormat="1" x14ac:dyDescent="0.2"/>
    <row r="726" spans="1:11" s="5" customFormat="1" x14ac:dyDescent="0.2">
      <c r="A726" s="5" t="s">
        <v>93</v>
      </c>
      <c r="E726" s="5" t="s">
        <v>100</v>
      </c>
    </row>
    <row r="727" spans="1:11" s="5" customFormat="1" x14ac:dyDescent="0.2"/>
    <row r="728" spans="1:11" s="5" customFormat="1" x14ac:dyDescent="0.2">
      <c r="A728" s="5" t="s">
        <v>93</v>
      </c>
      <c r="E728" s="5">
        <f>IF(DONBIW!I42=3,E723*12%,0)</f>
        <v>0</v>
      </c>
      <c r="F728" s="5">
        <f>IF(E728&gt;372,372,E728)</f>
        <v>0</v>
      </c>
      <c r="H728" s="5" t="s">
        <v>26</v>
      </c>
      <c r="I728" s="5">
        <f>6%*E723</f>
        <v>0</v>
      </c>
      <c r="J728" s="5">
        <f>IF(I728&gt;186,186,I728)</f>
        <v>0</v>
      </c>
      <c r="K728" s="5">
        <f>IF(DONBIW!I42=3,J728,0)</f>
        <v>0</v>
      </c>
    </row>
    <row r="729" spans="1:11" s="5" customFormat="1" x14ac:dyDescent="0.2">
      <c r="E729" s="5">
        <f>IF(DONBIW!I42=4,E723*16%,0)</f>
        <v>0</v>
      </c>
      <c r="F729" s="5">
        <f>IF(E729&gt;496,496,E729)</f>
        <v>0</v>
      </c>
      <c r="H729" s="5" t="s">
        <v>27</v>
      </c>
      <c r="I729" s="5">
        <f>8%*E723</f>
        <v>0</v>
      </c>
      <c r="J729" s="5">
        <f>IF(I729&gt;248,248,I729)</f>
        <v>0</v>
      </c>
      <c r="K729" s="5">
        <f>IF(DONBIW!I42=4,J729,0)</f>
        <v>0</v>
      </c>
    </row>
    <row r="730" spans="1:11" s="5" customFormat="1" x14ac:dyDescent="0.2">
      <c r="E730" s="5">
        <f>IF(DONBIW!I42=5,E723*20%,0)</f>
        <v>0</v>
      </c>
      <c r="F730" s="5">
        <f>IF(E730&gt;620,620,E730)</f>
        <v>0</v>
      </c>
      <c r="I730" s="5">
        <f>10%*E723</f>
        <v>0</v>
      </c>
      <c r="J730" s="5">
        <f>IF(I730&gt;310,310,I730)</f>
        <v>0</v>
      </c>
      <c r="K730" s="5">
        <f>IF(DONBIW!I42=5,J730,0)</f>
        <v>0</v>
      </c>
    </row>
    <row r="731" spans="1:11" s="5" customFormat="1" x14ac:dyDescent="0.2">
      <c r="E731" s="5">
        <f>IF(DONBIW!I42=6,E723*24%,0)</f>
        <v>0</v>
      </c>
      <c r="F731" s="5">
        <f>IF(E731&gt;744,744,E731)</f>
        <v>0</v>
      </c>
      <c r="I731" s="5">
        <f>12%*E723</f>
        <v>0</v>
      </c>
      <c r="J731" s="5">
        <f>IF(I731&gt;372,372,I731)</f>
        <v>0</v>
      </c>
      <c r="K731" s="5">
        <f>IF(DONBIW!I42=6,J731,0)</f>
        <v>0</v>
      </c>
    </row>
    <row r="732" spans="1:11" s="5" customFormat="1" x14ac:dyDescent="0.2">
      <c r="E732" s="5">
        <f>IF(DONBIW!I42=7,E723*28%,0)</f>
        <v>0</v>
      </c>
      <c r="F732" s="5">
        <f>IF(E732&gt;868,868,E732)</f>
        <v>0</v>
      </c>
      <c r="I732" s="5">
        <f>14%*E723</f>
        <v>0</v>
      </c>
      <c r="J732" s="5">
        <f>IF(I732&gt;434,434,I732)</f>
        <v>0</v>
      </c>
      <c r="K732" s="5">
        <f>IF(DONBIW!I42=7,J732,0)</f>
        <v>0</v>
      </c>
    </row>
    <row r="733" spans="1:11" s="5" customFormat="1" x14ac:dyDescent="0.2">
      <c r="E733" s="5">
        <f>IF(DONBIW!I42=8,E723*32%,0)</f>
        <v>0</v>
      </c>
      <c r="F733" s="5">
        <f>IF(E733&gt;992,992,E733)</f>
        <v>0</v>
      </c>
      <c r="I733" s="5">
        <f>16%*E723</f>
        <v>0</v>
      </c>
      <c r="J733" s="5">
        <f>IF(I733&gt;496,496,I733)</f>
        <v>0</v>
      </c>
      <c r="K733" s="5">
        <f>IF(DONBIW!I42=8,J733,0)</f>
        <v>0</v>
      </c>
    </row>
    <row r="734" spans="1:11" s="5" customFormat="1" x14ac:dyDescent="0.2">
      <c r="E734" s="5">
        <f>IF(DONBIW!I42=9,E723*36%,0)</f>
        <v>0</v>
      </c>
      <c r="F734" s="5">
        <f>IF(E734&gt;1116,1116,E734)</f>
        <v>0</v>
      </c>
      <c r="I734" s="5">
        <f>18%*E723</f>
        <v>0</v>
      </c>
      <c r="J734" s="5">
        <f>IF(I734&gt;558,558,I734)</f>
        <v>0</v>
      </c>
      <c r="K734" s="5">
        <f>IF(DONBIW!I42=9,J734,0)</f>
        <v>0</v>
      </c>
    </row>
    <row r="735" spans="1:11" s="5" customFormat="1" x14ac:dyDescent="0.2">
      <c r="E735" s="5">
        <f>IF(DONBIW!I42=10,E723*40%,0)</f>
        <v>0</v>
      </c>
      <c r="F735" s="5">
        <f>IF(E735&gt;1240,1240,E735)</f>
        <v>0</v>
      </c>
      <c r="I735" s="5">
        <f>20%*E723</f>
        <v>0</v>
      </c>
      <c r="J735" s="5">
        <f>IF(I735&gt;620,620,I735)</f>
        <v>0</v>
      </c>
      <c r="K735" s="5">
        <f>IF(DONBIW!I42=10,J735,0)</f>
        <v>0</v>
      </c>
    </row>
    <row r="736" spans="1:11" s="5" customFormat="1" x14ac:dyDescent="0.2"/>
    <row r="737" spans="1:11" s="5" customFormat="1" x14ac:dyDescent="0.2">
      <c r="F737" s="5">
        <f>SUM(F728:F736)</f>
        <v>0</v>
      </c>
      <c r="K737" s="5">
        <f>SUM(K728:K736)</f>
        <v>0</v>
      </c>
    </row>
    <row r="738" spans="1:11" s="5" customFormat="1" x14ac:dyDescent="0.2">
      <c r="F738" s="18"/>
    </row>
    <row r="739" spans="1:11" s="5" customFormat="1" x14ac:dyDescent="0.2">
      <c r="F739" s="18"/>
    </row>
    <row r="740" spans="1:11" s="5" customFormat="1" x14ac:dyDescent="0.2">
      <c r="F740" s="18"/>
    </row>
    <row r="741" spans="1:11" s="5" customFormat="1" x14ac:dyDescent="0.2">
      <c r="A741" s="5" t="s">
        <v>33</v>
      </c>
      <c r="E741" s="20">
        <f>E723-F737</f>
        <v>0</v>
      </c>
      <c r="F741" s="18"/>
      <c r="G741" s="5" t="s">
        <v>34</v>
      </c>
      <c r="H741" s="47">
        <f>E723-K737</f>
        <v>0</v>
      </c>
    </row>
    <row r="742" spans="1:11" s="5" customFormat="1" x14ac:dyDescent="0.2">
      <c r="F742" s="18"/>
    </row>
    <row r="743" spans="1:11" s="5" customFormat="1" x14ac:dyDescent="0.2">
      <c r="F743" s="18"/>
    </row>
    <row r="744" spans="1:11" s="5" customFormat="1" x14ac:dyDescent="0.2">
      <c r="F744" s="18"/>
    </row>
    <row r="745" spans="1:11" s="5" customFormat="1" x14ac:dyDescent="0.2">
      <c r="F745" s="18"/>
    </row>
    <row r="746" spans="1:11" s="5" customFormat="1" x14ac:dyDescent="0.2">
      <c r="F746" s="18"/>
    </row>
    <row r="747" spans="1:11" s="5" customFormat="1" x14ac:dyDescent="0.2">
      <c r="F747" s="18"/>
    </row>
    <row r="748" spans="1:11" s="5" customFormat="1" x14ac:dyDescent="0.2">
      <c r="F748" s="18"/>
    </row>
    <row r="749" spans="1:11" s="5" customFormat="1" x14ac:dyDescent="0.2">
      <c r="F749" s="18"/>
    </row>
    <row r="750" spans="1:11" s="5" customFormat="1" x14ac:dyDescent="0.2">
      <c r="F750" s="18"/>
    </row>
    <row r="751" spans="1:11" s="5" customFormat="1" x14ac:dyDescent="0.2">
      <c r="F751" s="18"/>
    </row>
    <row r="752" spans="1:11" s="5" customFormat="1" x14ac:dyDescent="0.2">
      <c r="F752" s="18"/>
    </row>
    <row r="753" spans="6:6" s="5" customFormat="1" x14ac:dyDescent="0.2">
      <c r="F753" s="18"/>
    </row>
    <row r="754" spans="6:6" s="5" customFormat="1" x14ac:dyDescent="0.2">
      <c r="F754" s="18"/>
    </row>
    <row r="755" spans="6:6" s="5" customFormat="1" x14ac:dyDescent="0.2">
      <c r="F755" s="18"/>
    </row>
    <row r="756" spans="6:6" s="5" customFormat="1" x14ac:dyDescent="0.2">
      <c r="F756" s="18"/>
    </row>
    <row r="757" spans="6:6" s="5" customFormat="1" x14ac:dyDescent="0.2">
      <c r="F757" s="18"/>
    </row>
    <row r="758" spans="6:6" s="5" customFormat="1" x14ac:dyDescent="0.2">
      <c r="F758" s="18"/>
    </row>
    <row r="759" spans="6:6" s="5" customFormat="1" x14ac:dyDescent="0.2">
      <c r="F759" s="18"/>
    </row>
    <row r="760" spans="6:6" s="5" customFormat="1" x14ac:dyDescent="0.2">
      <c r="F760" s="18"/>
    </row>
    <row r="761" spans="6:6" s="5" customFormat="1" x14ac:dyDescent="0.2">
      <c r="F761" s="18"/>
    </row>
    <row r="762" spans="6:6" s="5" customFormat="1" x14ac:dyDescent="0.2">
      <c r="F762" s="18"/>
    </row>
    <row r="763" spans="6:6" s="5" customFormat="1" x14ac:dyDescent="0.2">
      <c r="F763" s="18"/>
    </row>
    <row r="764" spans="6:6" s="5" customFormat="1" x14ac:dyDescent="0.2">
      <c r="F764" s="18"/>
    </row>
    <row r="765" spans="6:6" s="5" customFormat="1" x14ac:dyDescent="0.2">
      <c r="F765" s="18"/>
    </row>
    <row r="766" spans="6:6" s="5" customFormat="1" x14ac:dyDescent="0.2">
      <c r="F766" s="18"/>
    </row>
    <row r="767" spans="6:6" s="5" customFormat="1" x14ac:dyDescent="0.2">
      <c r="F767" s="18"/>
    </row>
    <row r="768" spans="6:6" s="5" customFormat="1" x14ac:dyDescent="0.2">
      <c r="F768" s="18"/>
    </row>
    <row r="769" spans="1:9" s="5" customFormat="1" x14ac:dyDescent="0.2">
      <c r="F769" s="18"/>
    </row>
    <row r="770" spans="1:9" s="5" customFormat="1" x14ac:dyDescent="0.2">
      <c r="F770" s="18"/>
    </row>
    <row r="771" spans="1:9" s="5" customFormat="1" x14ac:dyDescent="0.2">
      <c r="F771" s="18"/>
    </row>
    <row r="772" spans="1:9" s="5" customFormat="1" x14ac:dyDescent="0.2">
      <c r="F772" s="18"/>
      <c r="H772" s="28">
        <f>DONBIW!G49</f>
        <v>0</v>
      </c>
    </row>
    <row r="773" spans="1:9" s="5" customFormat="1" x14ac:dyDescent="0.2">
      <c r="F773" s="18"/>
    </row>
    <row r="774" spans="1:9" s="5" customFormat="1" x14ac:dyDescent="0.2">
      <c r="A774" s="43" t="s">
        <v>2</v>
      </c>
      <c r="B774" s="43"/>
      <c r="C774" s="43"/>
      <c r="D774" s="43"/>
      <c r="E774" s="31"/>
      <c r="F774" s="32"/>
      <c r="G774" s="31"/>
      <c r="H774" s="31"/>
      <c r="I774" s="44" t="s">
        <v>3</v>
      </c>
    </row>
    <row r="775" spans="1:9" s="5" customFormat="1" x14ac:dyDescent="0.2">
      <c r="A775" s="31">
        <v>0</v>
      </c>
      <c r="B775" s="31"/>
      <c r="C775" s="31"/>
      <c r="D775" s="31"/>
      <c r="E775" s="31">
        <v>12500</v>
      </c>
      <c r="F775" s="32"/>
      <c r="G775" s="31"/>
      <c r="H775" s="31">
        <f>IF(AND(H772&gt;A775,H772&lt;=E775),H772,0)</f>
        <v>0</v>
      </c>
      <c r="I775" s="31">
        <f>0+(3/100)*(-A775+H775)</f>
        <v>0</v>
      </c>
    </row>
    <row r="776" spans="1:9" s="5" customFormat="1" x14ac:dyDescent="0.2">
      <c r="A776" s="31">
        <f t="shared" ref="A776:A783" si="5">E775</f>
        <v>12500</v>
      </c>
      <c r="B776" s="31"/>
      <c r="C776" s="31"/>
      <c r="D776" s="31"/>
      <c r="E776" s="31">
        <v>25000</v>
      </c>
      <c r="F776" s="32"/>
      <c r="G776" s="31"/>
      <c r="H776" s="31">
        <f>IF(AND(H772&gt;A776, H772&lt;=E776),H772,0)</f>
        <v>0</v>
      </c>
      <c r="I776" s="31">
        <f>(12500/100*3)+(4/100)*(-A776+H776)</f>
        <v>-125</v>
      </c>
    </row>
    <row r="777" spans="1:9" s="5" customFormat="1" x14ac:dyDescent="0.2">
      <c r="A777" s="31">
        <f t="shared" si="5"/>
        <v>25000</v>
      </c>
      <c r="B777" s="31"/>
      <c r="C777" s="31"/>
      <c r="D777" s="31"/>
      <c r="E777" s="31">
        <v>50000</v>
      </c>
      <c r="F777" s="32"/>
      <c r="G777" s="31"/>
      <c r="H777" s="31">
        <f>IF(AND(H772&gt;A777, H772&lt;=E777),H772,0)</f>
        <v>0</v>
      </c>
      <c r="I777" s="31">
        <f>(12500/100*3)+(12500/100*4)+((5/100)*(-A777+H777))</f>
        <v>-375</v>
      </c>
    </row>
    <row r="778" spans="1:9" s="5" customFormat="1" x14ac:dyDescent="0.2">
      <c r="A778" s="31">
        <f t="shared" si="5"/>
        <v>50000</v>
      </c>
      <c r="B778" s="31"/>
      <c r="C778" s="31"/>
      <c r="D778" s="31"/>
      <c r="E778" s="31">
        <v>100000</v>
      </c>
      <c r="F778" s="32"/>
      <c r="G778" s="31"/>
      <c r="H778" s="31">
        <f>IF(AND(H772&gt;A778, H772&lt;=E778),H772,0)</f>
        <v>0</v>
      </c>
      <c r="I778" s="31">
        <f>(12500/100*3)+(12500/100*4)+(25000/100*5)+((7/100)*(-A778+H778))</f>
        <v>-1375.0000000000005</v>
      </c>
    </row>
    <row r="779" spans="1:9" s="5" customFormat="1" x14ac:dyDescent="0.2">
      <c r="A779" s="31">
        <f t="shared" si="5"/>
        <v>100000</v>
      </c>
      <c r="B779" s="31"/>
      <c r="C779" s="31"/>
      <c r="D779" s="31"/>
      <c r="E779" s="31">
        <v>150000</v>
      </c>
      <c r="F779" s="32"/>
      <c r="G779" s="31"/>
      <c r="H779" s="31">
        <f>IF(AND(H772&gt;A779, H772&lt;=E779),H772,0)</f>
        <v>0</v>
      </c>
      <c r="I779" s="31">
        <f>(12500/100*3)+(12500/100*4)+(25000/100*5)+(50000/100*7)+((10/100)*(-A779+H779))</f>
        <v>-4375</v>
      </c>
    </row>
    <row r="780" spans="1:9" s="5" customFormat="1" x14ac:dyDescent="0.2">
      <c r="A780" s="31">
        <f t="shared" si="5"/>
        <v>150000</v>
      </c>
      <c r="B780" s="31"/>
      <c r="C780" s="31"/>
      <c r="D780" s="31"/>
      <c r="E780" s="31">
        <v>200000</v>
      </c>
      <c r="F780" s="32"/>
      <c r="G780" s="31"/>
      <c r="H780" s="31">
        <f>IF(AND(H772&gt;A780, H772&lt;=E780),H772,0)</f>
        <v>0</v>
      </c>
      <c r="I780" s="31">
        <f>(12500/100*3)+(12500/100*4)+(25000/100*5)+(50000/100*7)+(50000/100*10)+((14/100)*(-A780+H780))</f>
        <v>-10375.000000000004</v>
      </c>
    </row>
    <row r="781" spans="1:9" s="5" customFormat="1" x14ac:dyDescent="0.2">
      <c r="A781" s="31">
        <f t="shared" si="5"/>
        <v>200000</v>
      </c>
      <c r="B781" s="31"/>
      <c r="C781" s="31"/>
      <c r="D781" s="31"/>
      <c r="E781" s="31">
        <v>250000</v>
      </c>
      <c r="F781" s="32"/>
      <c r="G781" s="31"/>
      <c r="H781" s="31">
        <f>IF(AND(H772&gt;A781, H772&lt;=E781),H772,0)</f>
        <v>0</v>
      </c>
      <c r="I781" s="31">
        <f>(12500/100*3)+(12500/100*4)+(25000/100*5)+(50000/100*7)+(50000/100*10)+(50000/100*14)+((18/100)*(-A781+H781))</f>
        <v>-18375</v>
      </c>
    </row>
    <row r="782" spans="1:9" s="5" customFormat="1" x14ac:dyDescent="0.2">
      <c r="A782" s="31">
        <f t="shared" si="5"/>
        <v>250000</v>
      </c>
      <c r="B782" s="31"/>
      <c r="C782" s="31"/>
      <c r="D782" s="31"/>
      <c r="E782" s="31">
        <v>500000</v>
      </c>
      <c r="F782" s="32"/>
      <c r="G782" s="31"/>
      <c r="H782" s="31">
        <f>IF(AND(H772&gt;A782, H772&lt;=E782),H772,0)</f>
        <v>0</v>
      </c>
      <c r="I782" s="31">
        <f>(12500/100*3)+(12500/100*4)+(25000/100*5)+(50000/100*7)+(50000/100*10)+(50000/100*14)+(50000/100*18)+((24/100)*(-A782+H782))</f>
        <v>-33375</v>
      </c>
    </row>
    <row r="783" spans="1:9" s="5" customFormat="1" x14ac:dyDescent="0.2">
      <c r="A783" s="31">
        <f t="shared" si="5"/>
        <v>500000</v>
      </c>
      <c r="B783" s="31"/>
      <c r="C783" s="31"/>
      <c r="D783" s="31"/>
      <c r="E783" s="31">
        <v>999999999</v>
      </c>
      <c r="F783" s="32"/>
      <c r="G783" s="31"/>
      <c r="H783" s="31">
        <f>IF(AND(H772&gt;A783, H772&lt;=E783),H772,0)</f>
        <v>0</v>
      </c>
      <c r="I783" s="31">
        <f>(12500/100*3)+(12500/100*4)+(25000/100*5)+(50000/100*7)+(50000/100*10)+(50000/100*14)+(50000/100*18)+(250000/100*24)+((30/100)*(-A783+H783))</f>
        <v>-63375</v>
      </c>
    </row>
    <row r="784" spans="1:9" s="5" customFormat="1" x14ac:dyDescent="0.2">
      <c r="A784" s="45" t="s">
        <v>4</v>
      </c>
      <c r="B784" s="45"/>
      <c r="C784" s="45"/>
      <c r="D784" s="45"/>
      <c r="E784" s="31"/>
      <c r="F784" s="32"/>
      <c r="G784" s="31"/>
      <c r="H784" s="31"/>
      <c r="I784" s="31">
        <f>VLOOKUP(H772,H775:I783,2,FALSE)</f>
        <v>0</v>
      </c>
    </row>
    <row r="785" spans="1:9" s="5" customFormat="1" x14ac:dyDescent="0.2">
      <c r="A785" s="45"/>
      <c r="B785" s="45"/>
      <c r="C785" s="45"/>
      <c r="D785" s="45"/>
      <c r="E785" s="31"/>
      <c r="F785" s="32"/>
      <c r="G785" s="31"/>
      <c r="H785" s="31"/>
      <c r="I785" s="31"/>
    </row>
    <row r="786" spans="1:9" s="5" customFormat="1" x14ac:dyDescent="0.2">
      <c r="A786" s="46" t="s">
        <v>24</v>
      </c>
      <c r="B786" s="46"/>
      <c r="C786" s="46"/>
      <c r="D786" s="46"/>
      <c r="E786" s="31"/>
      <c r="F786" s="32"/>
      <c r="G786" s="31"/>
      <c r="H786" s="31"/>
      <c r="I786" s="44" t="s">
        <v>25</v>
      </c>
    </row>
    <row r="787" spans="1:9" s="5" customFormat="1" x14ac:dyDescent="0.2">
      <c r="A787" s="31">
        <v>0</v>
      </c>
      <c r="B787" s="31"/>
      <c r="C787" s="31"/>
      <c r="D787" s="31"/>
      <c r="E787" s="31">
        <v>25000</v>
      </c>
      <c r="F787" s="32"/>
      <c r="G787" s="31"/>
      <c r="H787" s="31">
        <f>IF(AND(H772&gt;A787, H772&lt;=E787),H772,0)</f>
        <v>0</v>
      </c>
      <c r="I787" s="31">
        <f>0+(1/100)*(-A787+H787)</f>
        <v>0</v>
      </c>
    </row>
    <row r="788" spans="1:9" s="5" customFormat="1" x14ac:dyDescent="0.2">
      <c r="A788" s="31">
        <f>E787</f>
        <v>25000</v>
      </c>
      <c r="B788" s="31"/>
      <c r="C788" s="31"/>
      <c r="D788" s="31"/>
      <c r="E788" s="31">
        <v>50000</v>
      </c>
      <c r="F788" s="32"/>
      <c r="G788" s="31"/>
      <c r="H788" s="31">
        <f>IF(AND(H772&gt;A788, H772&lt;=E788),H772,0)</f>
        <v>0</v>
      </c>
      <c r="I788" s="31">
        <f>(25000/100*1)+(2/100)*(-A788+H788)</f>
        <v>-250</v>
      </c>
    </row>
    <row r="789" spans="1:9" s="5" customFormat="1" x14ac:dyDescent="0.2">
      <c r="A789" s="31">
        <f>E788</f>
        <v>50000</v>
      </c>
      <c r="B789" s="31"/>
      <c r="C789" s="31"/>
      <c r="D789" s="31"/>
      <c r="E789" s="31">
        <v>175000</v>
      </c>
      <c r="F789" s="32"/>
      <c r="G789" s="31"/>
      <c r="H789" s="31">
        <f>IF(AND(H772&gt;A789, H772&lt;=E789),H772,0)</f>
        <v>0</v>
      </c>
      <c r="I789" s="31">
        <f>(25000/100*1)+(25000/100*2)+((5/100)*(-A789+H789))</f>
        <v>-1750</v>
      </c>
    </row>
    <row r="790" spans="1:9" s="5" customFormat="1" x14ac:dyDescent="0.2">
      <c r="A790" s="31">
        <f>E789</f>
        <v>175000</v>
      </c>
      <c r="B790" s="31"/>
      <c r="C790" s="31"/>
      <c r="D790" s="31"/>
      <c r="E790" s="31">
        <v>250000</v>
      </c>
      <c r="F790" s="32"/>
      <c r="G790" s="31"/>
      <c r="H790" s="31">
        <f>IF(AND(H772&gt;A790, H772&lt;=E790),H772,0)</f>
        <v>0</v>
      </c>
      <c r="I790" s="31">
        <f>(25000/100*1)+(25000/100*2)+(125000/100*5)+((12/100)*(-A790+H790))</f>
        <v>-14000</v>
      </c>
    </row>
    <row r="791" spans="1:9" s="5" customFormat="1" x14ac:dyDescent="0.2">
      <c r="A791" s="31">
        <f>E790</f>
        <v>250000</v>
      </c>
      <c r="B791" s="31"/>
      <c r="C791" s="31"/>
      <c r="D791" s="31"/>
      <c r="E791" s="31">
        <v>500000</v>
      </c>
      <c r="F791" s="32"/>
      <c r="G791" s="31"/>
      <c r="H791" s="31">
        <f>IF(AND(H772&gt;A791, H772&lt;=E791),H772,0)</f>
        <v>0</v>
      </c>
      <c r="I791" s="31">
        <f>(25000/100*1)+(25000/100*2)+(125000/100*5)+(75000/100*12)+((24/100)*(-A791+H791))</f>
        <v>-44000</v>
      </c>
    </row>
    <row r="792" spans="1:9" s="5" customFormat="1" x14ac:dyDescent="0.2">
      <c r="A792" s="31">
        <f>E791</f>
        <v>500000</v>
      </c>
      <c r="B792" s="31"/>
      <c r="C792" s="31"/>
      <c r="D792" s="31"/>
      <c r="E792" s="31">
        <v>999999999</v>
      </c>
      <c r="F792" s="32"/>
      <c r="G792" s="31"/>
      <c r="H792" s="31">
        <f>IF(AND(H772&gt;A792, H772&lt;=E792),H772,0)</f>
        <v>0</v>
      </c>
      <c r="I792" s="31">
        <f>(25000/100*1)+(25000/100*2)+(125000/100*5)+(75000/100*12)+(250000/100*24)+((30/100)*(-A792+H792))</f>
        <v>-74000</v>
      </c>
    </row>
    <row r="793" spans="1:9" s="5" customFormat="1" x14ac:dyDescent="0.2">
      <c r="A793" s="45" t="s">
        <v>4</v>
      </c>
      <c r="B793" s="45"/>
      <c r="C793" s="45"/>
      <c r="D793" s="45"/>
      <c r="E793" s="31"/>
      <c r="F793" s="32"/>
      <c r="G793" s="31"/>
      <c r="H793" s="31"/>
      <c r="I793" s="31">
        <f>VLOOKUP(H772,H787:I792,2,FALSE)</f>
        <v>0</v>
      </c>
    </row>
    <row r="794" spans="1:9" s="5" customFormat="1" x14ac:dyDescent="0.2">
      <c r="A794" s="45"/>
      <c r="B794" s="45"/>
      <c r="C794" s="45"/>
      <c r="D794" s="45"/>
      <c r="E794" s="31"/>
      <c r="F794" s="32"/>
      <c r="G794" s="31"/>
      <c r="H794" s="31"/>
      <c r="I794" s="31"/>
    </row>
    <row r="795" spans="1:9" s="5" customFormat="1" x14ac:dyDescent="0.2">
      <c r="A795" s="43" t="s">
        <v>5</v>
      </c>
      <c r="B795" s="43"/>
      <c r="C795" s="43"/>
      <c r="D795" s="43"/>
      <c r="E795" s="31"/>
      <c r="F795" s="32"/>
      <c r="G795" s="31"/>
      <c r="H795" s="31"/>
      <c r="I795" s="44" t="s">
        <v>6</v>
      </c>
    </row>
    <row r="796" spans="1:9" s="5" customFormat="1" x14ac:dyDescent="0.2">
      <c r="A796" s="31">
        <v>0</v>
      </c>
      <c r="B796" s="31"/>
      <c r="C796" s="31"/>
      <c r="D796" s="31"/>
      <c r="E796" s="31">
        <v>12500</v>
      </c>
      <c r="F796" s="32"/>
      <c r="G796" s="31"/>
      <c r="H796" s="31">
        <f>IF(AND(H772&gt;A796, H772&lt;=E796),H772,0)</f>
        <v>0</v>
      </c>
      <c r="I796" s="31">
        <f>0+(20/100)*(-A796+H796)</f>
        <v>0</v>
      </c>
    </row>
    <row r="797" spans="1:9" s="5" customFormat="1" x14ac:dyDescent="0.2">
      <c r="A797" s="31">
        <f>E796</f>
        <v>12500</v>
      </c>
      <c r="B797" s="31"/>
      <c r="C797" s="31"/>
      <c r="D797" s="31"/>
      <c r="E797" s="31">
        <v>25000</v>
      </c>
      <c r="F797" s="32"/>
      <c r="G797" s="31"/>
      <c r="H797" s="31">
        <f>IF(AND(H772&gt;A797, H772&lt;=E797),H772,0)</f>
        <v>0</v>
      </c>
      <c r="I797" s="31">
        <f>(12500/100*20)+((25/100)*(-A797+H797))</f>
        <v>-625</v>
      </c>
    </row>
    <row r="798" spans="1:9" s="5" customFormat="1" x14ac:dyDescent="0.2">
      <c r="A798" s="31">
        <f>E797</f>
        <v>25000</v>
      </c>
      <c r="B798" s="31"/>
      <c r="C798" s="31"/>
      <c r="D798" s="31"/>
      <c r="E798" s="31">
        <v>75000</v>
      </c>
      <c r="F798" s="32"/>
      <c r="G798" s="31"/>
      <c r="H798" s="31">
        <f>IF(AND(H772&gt;A798, H772&lt;=E798),H772,0)</f>
        <v>0</v>
      </c>
      <c r="I798" s="31">
        <f>(12500/100*20)+(12500/100*25)+((35/100)*(-A798+H798))</f>
        <v>-3125</v>
      </c>
    </row>
    <row r="799" spans="1:9" s="5" customFormat="1" x14ac:dyDescent="0.2">
      <c r="A799" s="31">
        <f>E798</f>
        <v>75000</v>
      </c>
      <c r="B799" s="31"/>
      <c r="C799" s="31"/>
      <c r="D799" s="31"/>
      <c r="E799" s="31">
        <v>175000</v>
      </c>
      <c r="F799" s="32"/>
      <c r="G799" s="31"/>
      <c r="H799" s="31">
        <f>IF(AND(H772&gt;A799, H772&lt;=E799),H772,0)</f>
        <v>0</v>
      </c>
      <c r="I799" s="31">
        <f>(12500/100*20)+(12500/100*25)+(50000/100*35)+((50/100)*(-A799+H799))</f>
        <v>-14375</v>
      </c>
    </row>
    <row r="800" spans="1:9" s="5" customFormat="1" x14ac:dyDescent="0.2">
      <c r="A800" s="31">
        <f>E799</f>
        <v>175000</v>
      </c>
      <c r="B800" s="31"/>
      <c r="C800" s="31"/>
      <c r="D800" s="31"/>
      <c r="E800" s="31">
        <v>999999999</v>
      </c>
      <c r="F800" s="32"/>
      <c r="G800" s="31"/>
      <c r="H800" s="31">
        <f>IF(AND(H772&gt;A800, H772&lt;=E800),H772,0)</f>
        <v>0</v>
      </c>
      <c r="I800" s="31">
        <f>(12500/100*20)+(12500/100*25)+(50000/100*35)+(100000/100*50)+((65/100)*(-A800+H800))</f>
        <v>-40625</v>
      </c>
    </row>
    <row r="801" spans="1:15" s="5" customFormat="1" x14ac:dyDescent="0.2">
      <c r="A801" s="45" t="s">
        <v>4</v>
      </c>
      <c r="B801" s="45"/>
      <c r="C801" s="45"/>
      <c r="D801" s="45"/>
      <c r="E801" s="31"/>
      <c r="F801" s="32"/>
      <c r="G801" s="31"/>
      <c r="H801" s="31"/>
      <c r="I801" s="31">
        <f>VLOOKUP(H772,H796:I800,2,FALSE)</f>
        <v>0</v>
      </c>
    </row>
    <row r="802" spans="1:15" s="5" customFormat="1" x14ac:dyDescent="0.2">
      <c r="F802" s="18"/>
    </row>
    <row r="803" spans="1:15" s="5" customFormat="1" x14ac:dyDescent="0.2">
      <c r="E803" s="28">
        <f>E684</f>
        <v>0</v>
      </c>
      <c r="F803" s="29"/>
      <c r="G803" s="28"/>
      <c r="H803" s="28"/>
      <c r="I803" s="28"/>
    </row>
    <row r="804" spans="1:15" s="5" customFormat="1" x14ac:dyDescent="0.2">
      <c r="E804" s="28"/>
      <c r="F804" s="29"/>
      <c r="G804" s="28"/>
      <c r="H804" s="28"/>
      <c r="I804" s="28"/>
      <c r="N804" s="31"/>
      <c r="O804" s="44" t="s">
        <v>8</v>
      </c>
    </row>
    <row r="805" spans="1:15" s="5" customFormat="1" x14ac:dyDescent="0.2">
      <c r="E805" s="28"/>
      <c r="F805" s="29"/>
      <c r="G805" s="28"/>
      <c r="H805" s="28"/>
      <c r="I805" s="28"/>
      <c r="N805" s="31">
        <f>IF(AND(H772&gt;K807, H772&lt;=M807),H772,0)</f>
        <v>0</v>
      </c>
      <c r="O805" s="31">
        <f>0+(30/100)*(-K807+N805)</f>
        <v>0</v>
      </c>
    </row>
    <row r="806" spans="1:15" s="5" customFormat="1" x14ac:dyDescent="0.2">
      <c r="A806" s="43" t="s">
        <v>22</v>
      </c>
      <c r="B806" s="43"/>
      <c r="C806" s="43"/>
      <c r="D806" s="43"/>
      <c r="E806" s="31"/>
      <c r="F806" s="32"/>
      <c r="G806" s="31"/>
      <c r="H806" s="31"/>
      <c r="I806" s="44" t="s">
        <v>7</v>
      </c>
      <c r="K806" s="43" t="s">
        <v>23</v>
      </c>
      <c r="L806" s="43"/>
      <c r="M806" s="31"/>
      <c r="N806" s="31">
        <f>IF(AND(H772&gt;K808, H772&lt;=M808),H772,0)</f>
        <v>0</v>
      </c>
      <c r="O806" s="31">
        <f>(12500/100*30)+((35/100)*(-K808+N806))</f>
        <v>-625</v>
      </c>
    </row>
    <row r="807" spans="1:15" s="5" customFormat="1" x14ac:dyDescent="0.2">
      <c r="A807" s="31">
        <v>0</v>
      </c>
      <c r="B807" s="31"/>
      <c r="C807" s="31"/>
      <c r="D807" s="31"/>
      <c r="E807" s="31">
        <v>12500</v>
      </c>
      <c r="F807" s="32"/>
      <c r="G807" s="31"/>
      <c r="H807" s="31">
        <f>IF(AND(H772&gt;A807, H772&lt;=E807),H772,0)</f>
        <v>0</v>
      </c>
      <c r="I807" s="31">
        <f>0+(25/100)*(-A807+H807)</f>
        <v>0</v>
      </c>
      <c r="K807" s="31">
        <v>0</v>
      </c>
      <c r="L807" s="31"/>
      <c r="M807" s="31">
        <v>12500</v>
      </c>
      <c r="N807" s="31">
        <f>IF(AND(H772&gt;K809, H772&lt;=M809),H772,0)</f>
        <v>0</v>
      </c>
      <c r="O807" s="31">
        <f>(12500/100*30)+(12500/100*35)+((60/100)*(-K809+N807))</f>
        <v>-6875</v>
      </c>
    </row>
    <row r="808" spans="1:15" s="5" customFormat="1" x14ac:dyDescent="0.2">
      <c r="A808" s="31">
        <f>E807</f>
        <v>12500</v>
      </c>
      <c r="B808" s="31"/>
      <c r="C808" s="31"/>
      <c r="D808" s="31"/>
      <c r="E808" s="31">
        <v>25000</v>
      </c>
      <c r="F808" s="32"/>
      <c r="G808" s="31"/>
      <c r="H808" s="31">
        <f>IF(AND(H772&gt;A808, H772&lt;=E808),H772,0)</f>
        <v>0</v>
      </c>
      <c r="I808" s="31">
        <f>(12500/100*25)+((30/100)*(-A808+H808))</f>
        <v>-625</v>
      </c>
      <c r="K808" s="31">
        <f>M807</f>
        <v>12500</v>
      </c>
      <c r="L808" s="31"/>
      <c r="M808" s="31">
        <v>25000</v>
      </c>
      <c r="N808" s="31">
        <f>IF(AND(H772&gt;K810, H772&lt;=M810),H772,0)</f>
        <v>0</v>
      </c>
      <c r="O808" s="31">
        <f>(12500/100*30)+(12500/100*35)+(50000/100*60)+((80/100)*(-K810+N808))</f>
        <v>-21875</v>
      </c>
    </row>
    <row r="809" spans="1:15" s="5" customFormat="1" x14ac:dyDescent="0.2">
      <c r="A809" s="31">
        <f>E808</f>
        <v>25000</v>
      </c>
      <c r="B809" s="31"/>
      <c r="C809" s="31"/>
      <c r="D809" s="31"/>
      <c r="E809" s="31">
        <v>75000</v>
      </c>
      <c r="F809" s="32"/>
      <c r="G809" s="31"/>
      <c r="H809" s="31">
        <f>IF(AND(H772&gt;A809, H772&lt;=E809),H772,0)</f>
        <v>0</v>
      </c>
      <c r="I809" s="31">
        <f>(12500/100*25)+(12500/100*30)+((40/100)*(-A809+H809))</f>
        <v>-3125</v>
      </c>
      <c r="K809" s="31">
        <f>M808</f>
        <v>25000</v>
      </c>
      <c r="L809" s="31"/>
      <c r="M809" s="31">
        <v>75000</v>
      </c>
      <c r="N809" s="31">
        <f>IF(AND(H772&gt;K811, H772&lt;=M811),H772,0)</f>
        <v>0</v>
      </c>
      <c r="O809" s="31">
        <f>(12500/100*30)+(12500/100*35)+(50000/100*60)+(100000/100*80)+((80/100)*(-K811+N809))</f>
        <v>-21875</v>
      </c>
    </row>
    <row r="810" spans="1:15" s="5" customFormat="1" x14ac:dyDescent="0.2">
      <c r="A810" s="31">
        <f>E809</f>
        <v>75000</v>
      </c>
      <c r="B810" s="31"/>
      <c r="C810" s="31"/>
      <c r="D810" s="31"/>
      <c r="E810" s="31">
        <v>175000</v>
      </c>
      <c r="F810" s="32"/>
      <c r="G810" s="31"/>
      <c r="H810" s="31">
        <f>IF(AND(H772&gt;A810, H772&lt;=E810),H772,0)</f>
        <v>0</v>
      </c>
      <c r="I810" s="31">
        <f>(12500/100*25)+(12500/100*30)+(50000/100*40)+((55/100)*(-A810+H810))</f>
        <v>-14375</v>
      </c>
      <c r="K810" s="31">
        <f>M809</f>
        <v>75000</v>
      </c>
      <c r="L810" s="31"/>
      <c r="M810" s="31">
        <v>175000</v>
      </c>
      <c r="N810" s="31"/>
      <c r="O810" s="31">
        <f>VLOOKUP(H772,N805:O809,2,FALSE)</f>
        <v>0</v>
      </c>
    </row>
    <row r="811" spans="1:15" s="5" customFormat="1" x14ac:dyDescent="0.2">
      <c r="A811" s="31">
        <f>E810</f>
        <v>175000</v>
      </c>
      <c r="B811" s="31"/>
      <c r="C811" s="31"/>
      <c r="D811" s="31"/>
      <c r="E811" s="31">
        <v>999999999</v>
      </c>
      <c r="F811" s="32"/>
      <c r="G811" s="31"/>
      <c r="H811" s="31">
        <f>IF(AND(H772&gt;A811, H772&lt;=E811),H772,0)</f>
        <v>0</v>
      </c>
      <c r="I811" s="31">
        <f>(12500/100*25)+(12500/100*30)+(50000/100*40)+(100000/100*55)+((70/100)*(-A811+H811))</f>
        <v>-40624.999999999985</v>
      </c>
      <c r="K811" s="31">
        <f>M810</f>
        <v>175000</v>
      </c>
      <c r="L811" s="31"/>
      <c r="M811" s="31">
        <v>999999999</v>
      </c>
    </row>
    <row r="812" spans="1:15" s="5" customFormat="1" x14ac:dyDescent="0.2">
      <c r="A812" s="45" t="s">
        <v>4</v>
      </c>
      <c r="B812" s="45"/>
      <c r="C812" s="45"/>
      <c r="D812" s="45"/>
      <c r="E812" s="31"/>
      <c r="F812" s="32"/>
      <c r="G812" s="31"/>
      <c r="H812" s="31"/>
      <c r="I812" s="31">
        <f>VLOOKUP(H772,H807:I811,2,FALSE)</f>
        <v>0</v>
      </c>
      <c r="K812" s="45" t="s">
        <v>4</v>
      </c>
      <c r="L812" s="45"/>
      <c r="M812" s="31"/>
    </row>
    <row r="813" spans="1:15" s="5" customFormat="1" x14ac:dyDescent="0.2">
      <c r="F813" s="18"/>
    </row>
    <row r="814" spans="1:15" s="5" customFormat="1" x14ac:dyDescent="0.2">
      <c r="E814" s="5">
        <f>IF(A815&gt;0,A815-F819,0)</f>
        <v>0</v>
      </c>
      <c r="F814" s="18"/>
    </row>
    <row r="815" spans="1:15" s="5" customFormat="1" x14ac:dyDescent="0.2">
      <c r="A815" s="5">
        <f>IF(AND(DONBIW!E17="oui",DONBIW!F47="ligne directe"),I793,0)</f>
        <v>0</v>
      </c>
      <c r="E815" s="5">
        <f>IF(E814&gt;0,E814,0)</f>
        <v>0</v>
      </c>
      <c r="F815" s="5">
        <f>IF(AND(DONBIW!F47="ligne directe",H772&lt;=125000,DONBIW!E17="oui"),250,0)</f>
        <v>0</v>
      </c>
      <c r="G815" s="5">
        <f>IF(AND(F815&gt;0,(I793-F815&gt;=0)),I793-F815,0)</f>
        <v>0</v>
      </c>
    </row>
    <row r="816" spans="1:15" s="5" customFormat="1" x14ac:dyDescent="0.2">
      <c r="A816" s="5">
        <f>IF(AND(DONBIW!E17="oui",DONBIW!F47="épou(x)(se)"),I793,0)</f>
        <v>0</v>
      </c>
      <c r="E816" s="5">
        <f>IF(A816&gt;0,A816-F819,0)</f>
        <v>0</v>
      </c>
      <c r="F816" s="5">
        <f>IF(AND(DONBIW!F47="ligne directe",H772&gt;125000,DONBIW!E17="oui"),125,0)</f>
        <v>0</v>
      </c>
      <c r="G816" s="5">
        <f>IF(AND(F816&gt;0,(I793-F816&gt;=0)),I793-F816,0)</f>
        <v>0</v>
      </c>
    </row>
    <row r="817" spans="1:11" s="5" customFormat="1" x14ac:dyDescent="0.2">
      <c r="A817" s="5">
        <f>IF(AND(DONBIW!E17="non",DONBIW!F47="ligne directe"),I784,0)</f>
        <v>0</v>
      </c>
      <c r="E817" s="5">
        <f>IF(AND(DONBIW!E17="non",DONBIW!F47="ligne directe"),I784,0)</f>
        <v>0</v>
      </c>
      <c r="F817" s="5">
        <f>IF(AND(DONBIW!F47="épou(x)(se)",H772&lt;=125000,DONBIW!E17="oui"),250,0)</f>
        <v>0</v>
      </c>
      <c r="G817" s="5">
        <f>IF(AND(F817&gt;0,(I793-F817&gt;=0)),I793-F817,0)</f>
        <v>0</v>
      </c>
    </row>
    <row r="818" spans="1:11" s="5" customFormat="1" x14ac:dyDescent="0.2">
      <c r="A818" s="5">
        <f>IF(AND(DONBIW!E17="non",DONBIW!F47="épou(x)(se)"),I784,0)</f>
        <v>0</v>
      </c>
      <c r="E818" s="5">
        <f>IF(AND(DONBIW!E17="non",DONBIW!F47="épou(x)(se)"),I784,0)</f>
        <v>0</v>
      </c>
      <c r="F818" s="5">
        <f>IF(AND(DONBIW!F47="épou(x)(se)",H772&gt;125000,DONBIW!E17="oui"),125,0)</f>
        <v>0</v>
      </c>
      <c r="G818" s="5">
        <f>IF(AND(F818&gt;0,(I793-F818&gt;=0)),I793-F818,0)</f>
        <v>0</v>
      </c>
    </row>
    <row r="819" spans="1:11" s="5" customFormat="1" x14ac:dyDescent="0.2">
      <c r="A819" s="5">
        <f>IF(DONBIW!F47="frère/soeur",I801,0)</f>
        <v>0</v>
      </c>
      <c r="E819" s="5">
        <f>IF(DONBIW!F47="frère/soeur",I801,0)</f>
        <v>0</v>
      </c>
      <c r="F819" s="5">
        <f>SUM(F815:F818)</f>
        <v>0</v>
      </c>
      <c r="G819" s="5">
        <f>SUM(G815:G818)</f>
        <v>0</v>
      </c>
    </row>
    <row r="820" spans="1:11" s="5" customFormat="1" x14ac:dyDescent="0.2">
      <c r="A820" s="5">
        <f>IF(DONBIW!F47="oncle-tante/neveu-nièce",I812,0)</f>
        <v>0</v>
      </c>
      <c r="E820" s="5">
        <f>IF(DONBIW!F47="oncle-tante/neveu-nièce",I812,0)</f>
        <v>0</v>
      </c>
    </row>
    <row r="821" spans="1:11" s="5" customFormat="1" x14ac:dyDescent="0.2">
      <c r="A821" s="5">
        <f>IF(DONBIW!F47="étrangers",O810,0)</f>
        <v>0</v>
      </c>
      <c r="E821" s="5">
        <f>IF(DONBIW!F47="étrangers",O810,0)</f>
        <v>0</v>
      </c>
    </row>
    <row r="822" spans="1:11" s="5" customFormat="1" x14ac:dyDescent="0.2"/>
    <row r="823" spans="1:11" s="5" customFormat="1" x14ac:dyDescent="0.2">
      <c r="A823" s="5">
        <f>SUM(A815:A822)</f>
        <v>0</v>
      </c>
      <c r="E823" s="5">
        <f>SUM(E815:E822)</f>
        <v>0</v>
      </c>
    </row>
    <row r="824" spans="1:11" s="5" customFormat="1" x14ac:dyDescent="0.2"/>
    <row r="825" spans="1:11" s="5" customFormat="1" x14ac:dyDescent="0.2"/>
    <row r="826" spans="1:11" s="5" customFormat="1" x14ac:dyDescent="0.2">
      <c r="A826" s="5" t="s">
        <v>93</v>
      </c>
      <c r="E826" s="5" t="s">
        <v>100</v>
      </c>
    </row>
    <row r="827" spans="1:11" s="5" customFormat="1" x14ac:dyDescent="0.2"/>
    <row r="828" spans="1:11" s="5" customFormat="1" x14ac:dyDescent="0.2">
      <c r="A828" s="5" t="s">
        <v>93</v>
      </c>
      <c r="E828" s="5">
        <f>IF(DONBIW!I47=3,E823*12%,0)</f>
        <v>0</v>
      </c>
      <c r="F828" s="5">
        <f>IF(E828&gt;372,372,E828)</f>
        <v>0</v>
      </c>
      <c r="H828" s="5" t="s">
        <v>26</v>
      </c>
      <c r="I828" s="5">
        <f>6%*E823</f>
        <v>0</v>
      </c>
      <c r="J828" s="5">
        <f>IF(I828&gt;186,186,I828)</f>
        <v>0</v>
      </c>
      <c r="K828" s="5">
        <f>IF(DONBIW!I47=3,J828,0)</f>
        <v>0</v>
      </c>
    </row>
    <row r="829" spans="1:11" s="5" customFormat="1" x14ac:dyDescent="0.2">
      <c r="E829" s="5">
        <f>IF(DONBIW!I47=4,E823*16%,0)</f>
        <v>0</v>
      </c>
      <c r="F829" s="5">
        <f>IF(E829&gt;496,496,E829)</f>
        <v>0</v>
      </c>
      <c r="H829" s="5" t="s">
        <v>27</v>
      </c>
      <c r="I829" s="5">
        <f>8%*E823</f>
        <v>0</v>
      </c>
      <c r="J829" s="5">
        <f>IF(I829&gt;248,248,I829)</f>
        <v>0</v>
      </c>
      <c r="K829" s="5">
        <f>IF(DONBIW!I47=4,J829,0)</f>
        <v>0</v>
      </c>
    </row>
    <row r="830" spans="1:11" s="5" customFormat="1" x14ac:dyDescent="0.2">
      <c r="E830" s="5">
        <f>IF(DONBIW!I47=5,E823*20%,0)</f>
        <v>0</v>
      </c>
      <c r="F830" s="5">
        <f>IF(E830&gt;620,620,E830)</f>
        <v>0</v>
      </c>
      <c r="I830" s="5">
        <f>10%*E823</f>
        <v>0</v>
      </c>
      <c r="J830" s="5">
        <f>IF(I830&gt;310,310,I830)</f>
        <v>0</v>
      </c>
      <c r="K830" s="5">
        <f>IF(DONBIW!I47=5,J830,0)</f>
        <v>0</v>
      </c>
    </row>
    <row r="831" spans="1:11" s="5" customFormat="1" x14ac:dyDescent="0.2">
      <c r="E831" s="5">
        <f>IF(DONBIW!I47=6,E823*24%,0)</f>
        <v>0</v>
      </c>
      <c r="F831" s="5">
        <f>IF(E831&gt;744,744,E831)</f>
        <v>0</v>
      </c>
      <c r="I831" s="5">
        <f>12%*E823</f>
        <v>0</v>
      </c>
      <c r="J831" s="5">
        <f>IF(I831&gt;372,372,I831)</f>
        <v>0</v>
      </c>
      <c r="K831" s="5">
        <f>IF(DONBIW!I47=6,J831,0)</f>
        <v>0</v>
      </c>
    </row>
    <row r="832" spans="1:11" s="5" customFormat="1" x14ac:dyDescent="0.2">
      <c r="E832" s="5">
        <f>IF(DONBIW!I47=7,E823*28%,0)</f>
        <v>0</v>
      </c>
      <c r="F832" s="5">
        <f>IF(E832&gt;868,868,E832)</f>
        <v>0</v>
      </c>
      <c r="I832" s="5">
        <f>14%*E823</f>
        <v>0</v>
      </c>
      <c r="J832" s="5">
        <f>IF(I832&gt;434,434,I832)</f>
        <v>0</v>
      </c>
      <c r="K832" s="5">
        <f>IF(DONBIW!I47=7,J832,0)</f>
        <v>0</v>
      </c>
    </row>
    <row r="833" spans="1:11" s="5" customFormat="1" x14ac:dyDescent="0.2">
      <c r="E833" s="5">
        <f>IF(DONBIW!I47=8,E823*32%,0)</f>
        <v>0</v>
      </c>
      <c r="F833" s="5">
        <f>IF(E833&gt;992,992,E833)</f>
        <v>0</v>
      </c>
      <c r="I833" s="5">
        <f>16%*E823</f>
        <v>0</v>
      </c>
      <c r="J833" s="5">
        <f>IF(I833&gt;496,496,I833)</f>
        <v>0</v>
      </c>
      <c r="K833" s="5">
        <f>IF(DONBIW!I47=8,J833,0)</f>
        <v>0</v>
      </c>
    </row>
    <row r="834" spans="1:11" s="5" customFormat="1" x14ac:dyDescent="0.2">
      <c r="E834" s="5">
        <f>IF(DONBIW!I47=9,E823*36%,0)</f>
        <v>0</v>
      </c>
      <c r="F834" s="5">
        <f>IF(E834&gt;1116,1116,E834)</f>
        <v>0</v>
      </c>
      <c r="I834" s="5">
        <f>18%*E823</f>
        <v>0</v>
      </c>
      <c r="J834" s="5">
        <f>IF(I834&gt;558,558,I834)</f>
        <v>0</v>
      </c>
      <c r="K834" s="5">
        <f>IF(DONBIW!I47=9,J834,0)</f>
        <v>0</v>
      </c>
    </row>
    <row r="835" spans="1:11" s="5" customFormat="1" x14ac:dyDescent="0.2">
      <c r="E835" s="5">
        <f>IF(DONBIW!I47=10,E823*40%,0)</f>
        <v>0</v>
      </c>
      <c r="F835" s="5">
        <f>IF(E835&gt;1240,1240,E835)</f>
        <v>0</v>
      </c>
      <c r="I835" s="5">
        <f>20%*E823</f>
        <v>0</v>
      </c>
      <c r="J835" s="5">
        <f>IF(I835&gt;620,620,I835)</f>
        <v>0</v>
      </c>
      <c r="K835" s="5">
        <f>IF(DONBIW!I47=10,J835,0)</f>
        <v>0</v>
      </c>
    </row>
    <row r="836" spans="1:11" s="5" customFormat="1" x14ac:dyDescent="0.2"/>
    <row r="837" spans="1:11" s="5" customFormat="1" x14ac:dyDescent="0.2">
      <c r="F837" s="5">
        <f>SUM(F828:F836)</f>
        <v>0</v>
      </c>
      <c r="K837" s="5">
        <f>SUM(K828:K836)</f>
        <v>0</v>
      </c>
    </row>
    <row r="838" spans="1:11" s="5" customFormat="1" x14ac:dyDescent="0.2">
      <c r="F838" s="18"/>
    </row>
    <row r="839" spans="1:11" s="5" customFormat="1" x14ac:dyDescent="0.2">
      <c r="F839" s="18"/>
    </row>
    <row r="840" spans="1:11" s="5" customFormat="1" x14ac:dyDescent="0.2">
      <c r="F840" s="18"/>
    </row>
    <row r="841" spans="1:11" s="5" customFormat="1" x14ac:dyDescent="0.2">
      <c r="A841" s="5" t="s">
        <v>33</v>
      </c>
      <c r="E841" s="20">
        <f>E823-F837</f>
        <v>0</v>
      </c>
      <c r="F841" s="18"/>
      <c r="G841" s="5" t="s">
        <v>34</v>
      </c>
      <c r="H841" s="47">
        <f>E823-K837</f>
        <v>0</v>
      </c>
    </row>
    <row r="842" spans="1:11" s="5" customFormat="1" x14ac:dyDescent="0.2">
      <c r="F842" s="18"/>
    </row>
    <row r="843" spans="1:11" s="5" customFormat="1" x14ac:dyDescent="0.2">
      <c r="F843" s="18"/>
    </row>
    <row r="844" spans="1:11" s="5" customFormat="1" x14ac:dyDescent="0.2">
      <c r="F844" s="18"/>
    </row>
    <row r="845" spans="1:11" s="5" customFormat="1" x14ac:dyDescent="0.2">
      <c r="F845" s="18"/>
    </row>
    <row r="846" spans="1:11" s="5" customFormat="1" x14ac:dyDescent="0.2">
      <c r="F846" s="18"/>
    </row>
    <row r="847" spans="1:11" s="5" customFormat="1" x14ac:dyDescent="0.2">
      <c r="F847" s="18"/>
    </row>
    <row r="848" spans="1:11" s="5" customFormat="1" x14ac:dyDescent="0.2">
      <c r="F848" s="18"/>
    </row>
    <row r="849" spans="6:6" s="5" customFormat="1" x14ac:dyDescent="0.2">
      <c r="F849" s="18"/>
    </row>
    <row r="850" spans="6:6" s="5" customFormat="1" x14ac:dyDescent="0.2">
      <c r="F850" s="18"/>
    </row>
    <row r="851" spans="6:6" s="5" customFormat="1" x14ac:dyDescent="0.2">
      <c r="F851" s="18"/>
    </row>
    <row r="852" spans="6:6" s="5" customFormat="1" x14ac:dyDescent="0.2">
      <c r="F852" s="18"/>
    </row>
    <row r="853" spans="6:6" s="5" customFormat="1" x14ac:dyDescent="0.2">
      <c r="F853" s="18"/>
    </row>
    <row r="854" spans="6:6" s="5" customFormat="1" x14ac:dyDescent="0.2">
      <c r="F854" s="18"/>
    </row>
    <row r="855" spans="6:6" s="5" customFormat="1" x14ac:dyDescent="0.2">
      <c r="F855" s="18"/>
    </row>
    <row r="856" spans="6:6" s="5" customFormat="1" x14ac:dyDescent="0.2">
      <c r="F856" s="18"/>
    </row>
    <row r="857" spans="6:6" s="5" customFormat="1" x14ac:dyDescent="0.2">
      <c r="F857" s="18"/>
    </row>
    <row r="858" spans="6:6" s="5" customFormat="1" x14ac:dyDescent="0.2">
      <c r="F858" s="18"/>
    </row>
    <row r="859" spans="6:6" s="5" customFormat="1" x14ac:dyDescent="0.2">
      <c r="F859" s="18"/>
    </row>
    <row r="860" spans="6:6" s="5" customFormat="1" x14ac:dyDescent="0.2">
      <c r="F860" s="18"/>
    </row>
    <row r="861" spans="6:6" s="5" customFormat="1" x14ac:dyDescent="0.2">
      <c r="F861" s="18"/>
    </row>
    <row r="862" spans="6:6" s="5" customFormat="1" x14ac:dyDescent="0.2">
      <c r="F862" s="18"/>
    </row>
    <row r="863" spans="6:6" s="5" customFormat="1" x14ac:dyDescent="0.2">
      <c r="F863" s="18"/>
    </row>
    <row r="864" spans="6:6" s="5" customFormat="1" x14ac:dyDescent="0.2">
      <c r="F864" s="18"/>
    </row>
    <row r="865" spans="1:9" s="5" customFormat="1" x14ac:dyDescent="0.2">
      <c r="F865" s="18"/>
    </row>
    <row r="866" spans="1:9" s="5" customFormat="1" x14ac:dyDescent="0.2">
      <c r="F866" s="18"/>
    </row>
    <row r="867" spans="1:9" s="5" customFormat="1" x14ac:dyDescent="0.2">
      <c r="F867" s="18"/>
    </row>
    <row r="868" spans="1:9" s="5" customFormat="1" x14ac:dyDescent="0.2">
      <c r="F868" s="18"/>
    </row>
    <row r="869" spans="1:9" s="5" customFormat="1" x14ac:dyDescent="0.2">
      <c r="F869" s="18"/>
    </row>
    <row r="870" spans="1:9" s="5" customFormat="1" x14ac:dyDescent="0.2">
      <c r="F870" s="18"/>
    </row>
    <row r="871" spans="1:9" s="5" customFormat="1" x14ac:dyDescent="0.2">
      <c r="F871" s="18"/>
    </row>
    <row r="872" spans="1:9" s="5" customFormat="1" x14ac:dyDescent="0.2">
      <c r="F872" s="18"/>
      <c r="H872" s="28">
        <f>DONBIW!G54</f>
        <v>0</v>
      </c>
    </row>
    <row r="873" spans="1:9" s="5" customFormat="1" x14ac:dyDescent="0.2">
      <c r="F873" s="18"/>
    </row>
    <row r="874" spans="1:9" s="5" customFormat="1" x14ac:dyDescent="0.2">
      <c r="A874" s="43" t="s">
        <v>2</v>
      </c>
      <c r="B874" s="43"/>
      <c r="C874" s="43"/>
      <c r="D874" s="43"/>
      <c r="E874" s="31"/>
      <c r="F874" s="32"/>
      <c r="G874" s="31"/>
      <c r="H874" s="31"/>
      <c r="I874" s="44" t="s">
        <v>3</v>
      </c>
    </row>
    <row r="875" spans="1:9" s="5" customFormat="1" x14ac:dyDescent="0.2">
      <c r="A875" s="31">
        <v>0</v>
      </c>
      <c r="B875" s="31"/>
      <c r="C875" s="31"/>
      <c r="D875" s="31"/>
      <c r="E875" s="31">
        <v>12500</v>
      </c>
      <c r="F875" s="32"/>
      <c r="G875" s="31"/>
      <c r="H875" s="31">
        <f>IF(AND(H872&gt;A875,H872&lt;=E875),H872,0)</f>
        <v>0</v>
      </c>
      <c r="I875" s="31">
        <f>0+(3/100)*(-A875+H875)</f>
        <v>0</v>
      </c>
    </row>
    <row r="876" spans="1:9" s="5" customFormat="1" x14ac:dyDescent="0.2">
      <c r="A876" s="31">
        <f t="shared" ref="A876:A883" si="6">E875</f>
        <v>12500</v>
      </c>
      <c r="B876" s="31"/>
      <c r="C876" s="31"/>
      <c r="D876" s="31"/>
      <c r="E876" s="31">
        <v>25000</v>
      </c>
      <c r="F876" s="32"/>
      <c r="G876" s="31"/>
      <c r="H876" s="31">
        <f>IF(AND(H872&gt;A876, H872&lt;=E876),H872,0)</f>
        <v>0</v>
      </c>
      <c r="I876" s="31">
        <f>(12500/100*3)+(4/100)*(-A876+H876)</f>
        <v>-125</v>
      </c>
    </row>
    <row r="877" spans="1:9" s="5" customFormat="1" x14ac:dyDescent="0.2">
      <c r="A877" s="31">
        <f t="shared" si="6"/>
        <v>25000</v>
      </c>
      <c r="B877" s="31"/>
      <c r="C877" s="31"/>
      <c r="D877" s="31"/>
      <c r="E877" s="31">
        <v>50000</v>
      </c>
      <c r="F877" s="32"/>
      <c r="G877" s="31"/>
      <c r="H877" s="31">
        <f>IF(AND(H872&gt;A877, H872&lt;=E877),H872,0)</f>
        <v>0</v>
      </c>
      <c r="I877" s="31">
        <f>(12500/100*3)+(12500/100*4)+((5/100)*(-A877+H877))</f>
        <v>-375</v>
      </c>
    </row>
    <row r="878" spans="1:9" s="5" customFormat="1" x14ac:dyDescent="0.2">
      <c r="A878" s="31">
        <f t="shared" si="6"/>
        <v>50000</v>
      </c>
      <c r="B878" s="31"/>
      <c r="C878" s="31"/>
      <c r="D878" s="31"/>
      <c r="E878" s="31">
        <v>100000</v>
      </c>
      <c r="F878" s="32"/>
      <c r="G878" s="31"/>
      <c r="H878" s="31">
        <f>IF(AND(H872&gt;A878, H872&lt;=E878),H872,0)</f>
        <v>0</v>
      </c>
      <c r="I878" s="31">
        <f>(12500/100*3)+(12500/100*4)+(25000/100*5)+((7/100)*(-A878+H878))</f>
        <v>-1375.0000000000005</v>
      </c>
    </row>
    <row r="879" spans="1:9" s="5" customFormat="1" x14ac:dyDescent="0.2">
      <c r="A879" s="31">
        <f t="shared" si="6"/>
        <v>100000</v>
      </c>
      <c r="B879" s="31"/>
      <c r="C879" s="31"/>
      <c r="D879" s="31"/>
      <c r="E879" s="31">
        <v>150000</v>
      </c>
      <c r="F879" s="32"/>
      <c r="G879" s="31"/>
      <c r="H879" s="31">
        <f>IF(AND(H872&gt;A879, H872&lt;=E879),H872,0)</f>
        <v>0</v>
      </c>
      <c r="I879" s="31">
        <f>(12500/100*3)+(12500/100*4)+(25000/100*5)+(50000/100*7)+((10/100)*(-A879+H879))</f>
        <v>-4375</v>
      </c>
    </row>
    <row r="880" spans="1:9" s="5" customFormat="1" x14ac:dyDescent="0.2">
      <c r="A880" s="31">
        <f t="shared" si="6"/>
        <v>150000</v>
      </c>
      <c r="B880" s="31"/>
      <c r="C880" s="31"/>
      <c r="D880" s="31"/>
      <c r="E880" s="31">
        <v>200000</v>
      </c>
      <c r="F880" s="32"/>
      <c r="G880" s="31"/>
      <c r="H880" s="31">
        <f>IF(AND(H872&gt;A880, H872&lt;=E880),H872,0)</f>
        <v>0</v>
      </c>
      <c r="I880" s="31">
        <f>(12500/100*3)+(12500/100*4)+(25000/100*5)+(50000/100*7)+(50000/100*10)+((14/100)*(-A880+H880))</f>
        <v>-10375.000000000004</v>
      </c>
    </row>
    <row r="881" spans="1:9" s="5" customFormat="1" x14ac:dyDescent="0.2">
      <c r="A881" s="31">
        <f t="shared" si="6"/>
        <v>200000</v>
      </c>
      <c r="B881" s="31"/>
      <c r="C881" s="31"/>
      <c r="D881" s="31"/>
      <c r="E881" s="31">
        <v>250000</v>
      </c>
      <c r="F881" s="32"/>
      <c r="G881" s="31"/>
      <c r="H881" s="31">
        <f>IF(AND(H872&gt;A881, H872&lt;=E881),H872,0)</f>
        <v>0</v>
      </c>
      <c r="I881" s="31">
        <f>(12500/100*3)+(12500/100*4)+(25000/100*5)+(50000/100*7)+(50000/100*10)+(50000/100*14)+((18/100)*(-A881+H881))</f>
        <v>-18375</v>
      </c>
    </row>
    <row r="882" spans="1:9" s="5" customFormat="1" x14ac:dyDescent="0.2">
      <c r="A882" s="31">
        <f t="shared" si="6"/>
        <v>250000</v>
      </c>
      <c r="B882" s="31"/>
      <c r="C882" s="31"/>
      <c r="D882" s="31"/>
      <c r="E882" s="31">
        <v>500000</v>
      </c>
      <c r="F882" s="32"/>
      <c r="G882" s="31"/>
      <c r="H882" s="31">
        <f>IF(AND(H872&gt;A882, H872&lt;=E882),H872,0)</f>
        <v>0</v>
      </c>
      <c r="I882" s="31">
        <f>(12500/100*3)+(12500/100*4)+(25000/100*5)+(50000/100*7)+(50000/100*10)+(50000/100*14)+(50000/100*18)+((24/100)*(-A882+H882))</f>
        <v>-33375</v>
      </c>
    </row>
    <row r="883" spans="1:9" s="5" customFormat="1" x14ac:dyDescent="0.2">
      <c r="A883" s="31">
        <f t="shared" si="6"/>
        <v>500000</v>
      </c>
      <c r="B883" s="31"/>
      <c r="C883" s="31"/>
      <c r="D883" s="31"/>
      <c r="E883" s="31">
        <v>999999999</v>
      </c>
      <c r="F883" s="32"/>
      <c r="G883" s="31"/>
      <c r="H883" s="31">
        <f>IF(AND(H872&gt;A883, H872&lt;=E883),H872,0)</f>
        <v>0</v>
      </c>
      <c r="I883" s="31">
        <f>(12500/100*3)+(12500/100*4)+(25000/100*5)+(50000/100*7)+(50000/100*10)+(50000/100*14)+(50000/100*18)+(250000/100*24)+((30/100)*(-A883+H883))</f>
        <v>-63375</v>
      </c>
    </row>
    <row r="884" spans="1:9" s="5" customFormat="1" x14ac:dyDescent="0.2">
      <c r="A884" s="45" t="s">
        <v>4</v>
      </c>
      <c r="B884" s="45"/>
      <c r="C884" s="45"/>
      <c r="D884" s="45"/>
      <c r="E884" s="31"/>
      <c r="F884" s="32"/>
      <c r="G884" s="31"/>
      <c r="H884" s="31"/>
      <c r="I884" s="31">
        <f>VLOOKUP(H872,H875:I883,2,FALSE)</f>
        <v>0</v>
      </c>
    </row>
    <row r="885" spans="1:9" s="5" customFormat="1" x14ac:dyDescent="0.2">
      <c r="A885" s="45"/>
      <c r="B885" s="45"/>
      <c r="C885" s="45"/>
      <c r="D885" s="45"/>
      <c r="E885" s="31"/>
      <c r="F885" s="32"/>
      <c r="G885" s="31"/>
      <c r="H885" s="31"/>
      <c r="I885" s="31"/>
    </row>
    <row r="886" spans="1:9" s="5" customFormat="1" x14ac:dyDescent="0.2">
      <c r="A886" s="46" t="s">
        <v>24</v>
      </c>
      <c r="B886" s="46"/>
      <c r="C886" s="46"/>
      <c r="D886" s="46"/>
      <c r="E886" s="31"/>
      <c r="F886" s="32"/>
      <c r="G886" s="31"/>
      <c r="H886" s="31"/>
      <c r="I886" s="44" t="s">
        <v>25</v>
      </c>
    </row>
    <row r="887" spans="1:9" s="5" customFormat="1" x14ac:dyDescent="0.2">
      <c r="A887" s="31">
        <v>0</v>
      </c>
      <c r="B887" s="31"/>
      <c r="C887" s="31"/>
      <c r="D887" s="31"/>
      <c r="E887" s="31">
        <v>25000</v>
      </c>
      <c r="F887" s="32"/>
      <c r="G887" s="31"/>
      <c r="H887" s="31">
        <f>IF(AND(H872&gt;A887, H872&lt;=E887),H872,0)</f>
        <v>0</v>
      </c>
      <c r="I887" s="31">
        <f>0+(1/100)*(-A887+H887)</f>
        <v>0</v>
      </c>
    </row>
    <row r="888" spans="1:9" s="5" customFormat="1" x14ac:dyDescent="0.2">
      <c r="A888" s="31">
        <f>E887</f>
        <v>25000</v>
      </c>
      <c r="B888" s="31"/>
      <c r="C888" s="31"/>
      <c r="D888" s="31"/>
      <c r="E888" s="31">
        <v>50000</v>
      </c>
      <c r="F888" s="32"/>
      <c r="G888" s="31"/>
      <c r="H888" s="31">
        <f>IF(AND(H872&gt;A888, H872&lt;=E888),H872,0)</f>
        <v>0</v>
      </c>
      <c r="I888" s="31">
        <f>(25000/100*1)+(2/100)*(-A888+H888)</f>
        <v>-250</v>
      </c>
    </row>
    <row r="889" spans="1:9" s="5" customFormat="1" x14ac:dyDescent="0.2">
      <c r="A889" s="31">
        <f>E888</f>
        <v>50000</v>
      </c>
      <c r="B889" s="31"/>
      <c r="C889" s="31"/>
      <c r="D889" s="31"/>
      <c r="E889" s="31">
        <v>175000</v>
      </c>
      <c r="F889" s="32"/>
      <c r="G889" s="31"/>
      <c r="H889" s="31">
        <f>IF(AND(H872&gt;A889, H872&lt;=E889),H872,0)</f>
        <v>0</v>
      </c>
      <c r="I889" s="31">
        <f>(25000/100*1)+(25000/100*2)+((5/100)*(-A889+H889))</f>
        <v>-1750</v>
      </c>
    </row>
    <row r="890" spans="1:9" s="5" customFormat="1" x14ac:dyDescent="0.2">
      <c r="A890" s="31">
        <f>E889</f>
        <v>175000</v>
      </c>
      <c r="B890" s="31"/>
      <c r="C890" s="31"/>
      <c r="D890" s="31"/>
      <c r="E890" s="31">
        <v>250000</v>
      </c>
      <c r="F890" s="32"/>
      <c r="G890" s="31"/>
      <c r="H890" s="31">
        <f>IF(AND(H872&gt;A890, H872&lt;=E890),H872,0)</f>
        <v>0</v>
      </c>
      <c r="I890" s="31">
        <f>(25000/100*1)+(25000/100*2)+(125000/100*5)+((12/100)*(-A890+H890))</f>
        <v>-14000</v>
      </c>
    </row>
    <row r="891" spans="1:9" s="5" customFormat="1" x14ac:dyDescent="0.2">
      <c r="A891" s="31">
        <f>E890</f>
        <v>250000</v>
      </c>
      <c r="B891" s="31"/>
      <c r="C891" s="31"/>
      <c r="D891" s="31"/>
      <c r="E891" s="31">
        <v>500000</v>
      </c>
      <c r="F891" s="32"/>
      <c r="G891" s="31"/>
      <c r="H891" s="31">
        <f>IF(AND(H872&gt;A891, H872&lt;=E891),H872,0)</f>
        <v>0</v>
      </c>
      <c r="I891" s="31">
        <f>(25000/100*1)+(25000/100*2)+(125000/100*5)+(75000/100*12)+((24/100)*(-A891+H891))</f>
        <v>-44000</v>
      </c>
    </row>
    <row r="892" spans="1:9" s="5" customFormat="1" x14ac:dyDescent="0.2">
      <c r="A892" s="31">
        <f>E891</f>
        <v>500000</v>
      </c>
      <c r="B892" s="31"/>
      <c r="C892" s="31"/>
      <c r="D892" s="31"/>
      <c r="E892" s="31">
        <v>999999999</v>
      </c>
      <c r="F892" s="32"/>
      <c r="G892" s="31"/>
      <c r="H892" s="31">
        <f>IF(AND(H872&gt;A892, H872&lt;=E892),H872,0)</f>
        <v>0</v>
      </c>
      <c r="I892" s="31">
        <f>(25000/100*1)+(25000/100*2)+(125000/100*5)+(75000/100*12)+(250000/100*24)+((30/100)*(-A892+H892))</f>
        <v>-74000</v>
      </c>
    </row>
    <row r="893" spans="1:9" s="5" customFormat="1" x14ac:dyDescent="0.2">
      <c r="A893" s="45" t="s">
        <v>4</v>
      </c>
      <c r="B893" s="45"/>
      <c r="C893" s="45"/>
      <c r="D893" s="45"/>
      <c r="E893" s="31"/>
      <c r="F893" s="32"/>
      <c r="G893" s="31"/>
      <c r="H893" s="31"/>
      <c r="I893" s="31">
        <f>VLOOKUP(H872,H887:I892,2,FALSE)</f>
        <v>0</v>
      </c>
    </row>
    <row r="894" spans="1:9" s="5" customFormat="1" x14ac:dyDescent="0.2">
      <c r="A894" s="45"/>
      <c r="B894" s="45"/>
      <c r="C894" s="45"/>
      <c r="D894" s="45"/>
      <c r="E894" s="31"/>
      <c r="F894" s="32"/>
      <c r="G894" s="31"/>
      <c r="H894" s="31"/>
      <c r="I894" s="31"/>
    </row>
    <row r="895" spans="1:9" s="5" customFormat="1" x14ac:dyDescent="0.2">
      <c r="A895" s="43" t="s">
        <v>5</v>
      </c>
      <c r="B895" s="43"/>
      <c r="C895" s="43"/>
      <c r="D895" s="43"/>
      <c r="E895" s="31"/>
      <c r="F895" s="32"/>
      <c r="G895" s="31"/>
      <c r="H895" s="31"/>
      <c r="I895" s="44" t="s">
        <v>6</v>
      </c>
    </row>
    <row r="896" spans="1:9" s="5" customFormat="1" x14ac:dyDescent="0.2">
      <c r="A896" s="31">
        <v>0</v>
      </c>
      <c r="B896" s="31"/>
      <c r="C896" s="31"/>
      <c r="D896" s="31"/>
      <c r="E896" s="31">
        <v>12500</v>
      </c>
      <c r="F896" s="32"/>
      <c r="G896" s="31"/>
      <c r="H896" s="31">
        <f>IF(AND(H872&gt;A896, H872&lt;=E896),H872,0)</f>
        <v>0</v>
      </c>
      <c r="I896" s="31">
        <f>0+(20/100)*(-A896+H896)</f>
        <v>0</v>
      </c>
    </row>
    <row r="897" spans="1:15" s="5" customFormat="1" x14ac:dyDescent="0.2">
      <c r="A897" s="31">
        <f>E896</f>
        <v>12500</v>
      </c>
      <c r="B897" s="31"/>
      <c r="C897" s="31"/>
      <c r="D897" s="31"/>
      <c r="E897" s="31">
        <v>25000</v>
      </c>
      <c r="F897" s="32"/>
      <c r="G897" s="31"/>
      <c r="H897" s="31">
        <f>IF(AND(H872&gt;A897, H872&lt;=E897),H872,0)</f>
        <v>0</v>
      </c>
      <c r="I897" s="31">
        <f>(12500/100*20)+((25/100)*(-A897+H897))</f>
        <v>-625</v>
      </c>
    </row>
    <row r="898" spans="1:15" s="5" customFormat="1" x14ac:dyDescent="0.2">
      <c r="A898" s="31">
        <f>E897</f>
        <v>25000</v>
      </c>
      <c r="B898" s="31"/>
      <c r="C898" s="31"/>
      <c r="D898" s="31"/>
      <c r="E898" s="31">
        <v>75000</v>
      </c>
      <c r="F898" s="32"/>
      <c r="G898" s="31"/>
      <c r="H898" s="31">
        <f>IF(AND(H872&gt;A898, H872&lt;=E898),H872,0)</f>
        <v>0</v>
      </c>
      <c r="I898" s="31">
        <f>(12500/100*20)+(12500/100*25)+((35/100)*(-A898+H898))</f>
        <v>-3125</v>
      </c>
    </row>
    <row r="899" spans="1:15" s="5" customFormat="1" x14ac:dyDescent="0.2">
      <c r="A899" s="31">
        <f>E898</f>
        <v>75000</v>
      </c>
      <c r="B899" s="31"/>
      <c r="C899" s="31"/>
      <c r="D899" s="31"/>
      <c r="E899" s="31">
        <v>175000</v>
      </c>
      <c r="F899" s="32"/>
      <c r="G899" s="31"/>
      <c r="H899" s="31">
        <f>IF(AND(H872&gt;A899, H872&lt;=E899),H872,0)</f>
        <v>0</v>
      </c>
      <c r="I899" s="31">
        <f>(12500/100*20)+(12500/100*25)+(50000/100*35)+((50/100)*(-A899+H899))</f>
        <v>-14375</v>
      </c>
    </row>
    <row r="900" spans="1:15" s="5" customFormat="1" x14ac:dyDescent="0.2">
      <c r="A900" s="31">
        <f>E899</f>
        <v>175000</v>
      </c>
      <c r="B900" s="31"/>
      <c r="C900" s="31"/>
      <c r="D900" s="31"/>
      <c r="E900" s="31">
        <v>999999999</v>
      </c>
      <c r="F900" s="32"/>
      <c r="G900" s="31"/>
      <c r="H900" s="31">
        <f>IF(AND(H872&gt;A900, H872&lt;=E900),H872,0)</f>
        <v>0</v>
      </c>
      <c r="I900" s="31">
        <f>(12500/100*20)+(12500/100*25)+(50000/100*35)+(100000/100*50)+((65/100)*(-A900+H900))</f>
        <v>-40625</v>
      </c>
    </row>
    <row r="901" spans="1:15" s="5" customFormat="1" x14ac:dyDescent="0.2">
      <c r="A901" s="45" t="s">
        <v>4</v>
      </c>
      <c r="B901" s="45"/>
      <c r="C901" s="45"/>
      <c r="D901" s="45"/>
      <c r="E901" s="31"/>
      <c r="F901" s="32"/>
      <c r="G901" s="31"/>
      <c r="H901" s="31"/>
      <c r="I901" s="31">
        <f>VLOOKUP(H872,H896:I900,2,FALSE)</f>
        <v>0</v>
      </c>
    </row>
    <row r="902" spans="1:15" s="5" customFormat="1" x14ac:dyDescent="0.2">
      <c r="F902" s="18"/>
    </row>
    <row r="903" spans="1:15" s="5" customFormat="1" x14ac:dyDescent="0.2">
      <c r="E903" s="28">
        <f>E784</f>
        <v>0</v>
      </c>
      <c r="F903" s="29"/>
      <c r="G903" s="28"/>
      <c r="H903" s="28"/>
      <c r="I903" s="28"/>
    </row>
    <row r="904" spans="1:15" s="5" customFormat="1" x14ac:dyDescent="0.2">
      <c r="E904" s="28"/>
      <c r="F904" s="29"/>
      <c r="G904" s="28"/>
      <c r="H904" s="28"/>
      <c r="I904" s="28"/>
      <c r="N904" s="31"/>
      <c r="O904" s="44" t="s">
        <v>8</v>
      </c>
    </row>
    <row r="905" spans="1:15" s="5" customFormat="1" x14ac:dyDescent="0.2">
      <c r="E905" s="28"/>
      <c r="F905" s="29"/>
      <c r="G905" s="28"/>
      <c r="H905" s="28"/>
      <c r="I905" s="28"/>
      <c r="N905" s="31">
        <f>IF(AND(H872&gt;K907, H872&lt;=M907),H872,0)</f>
        <v>0</v>
      </c>
      <c r="O905" s="31">
        <f>0+(30/100)*(-K907+N905)</f>
        <v>0</v>
      </c>
    </row>
    <row r="906" spans="1:15" s="5" customFormat="1" x14ac:dyDescent="0.2">
      <c r="A906" s="43" t="s">
        <v>22</v>
      </c>
      <c r="B906" s="43"/>
      <c r="C906" s="43"/>
      <c r="D906" s="43"/>
      <c r="E906" s="31"/>
      <c r="F906" s="32"/>
      <c r="G906" s="31"/>
      <c r="H906" s="31"/>
      <c r="I906" s="44" t="s">
        <v>7</v>
      </c>
      <c r="K906" s="43" t="s">
        <v>23</v>
      </c>
      <c r="L906" s="43"/>
      <c r="M906" s="31"/>
      <c r="N906" s="31">
        <f>IF(AND(H872&gt;K908, H872&lt;=M908),H872,0)</f>
        <v>0</v>
      </c>
      <c r="O906" s="31">
        <f>(12500/100*30)+((35/100)*(-K908+N906))</f>
        <v>-625</v>
      </c>
    </row>
    <row r="907" spans="1:15" s="5" customFormat="1" x14ac:dyDescent="0.2">
      <c r="A907" s="31">
        <v>0</v>
      </c>
      <c r="B907" s="31"/>
      <c r="C907" s="31"/>
      <c r="D907" s="31"/>
      <c r="E907" s="31">
        <v>12500</v>
      </c>
      <c r="F907" s="32"/>
      <c r="G907" s="31"/>
      <c r="H907" s="31">
        <f>IF(AND(H872&gt;A907, H872&lt;=E907),H872,0)</f>
        <v>0</v>
      </c>
      <c r="I907" s="31">
        <f>0+(25/100)*(-A907+H907)</f>
        <v>0</v>
      </c>
      <c r="K907" s="31">
        <v>0</v>
      </c>
      <c r="L907" s="31"/>
      <c r="M907" s="31">
        <v>12500</v>
      </c>
      <c r="N907" s="31">
        <f>IF(AND(H872&gt;K909, H872&lt;=M909),H872,0)</f>
        <v>0</v>
      </c>
      <c r="O907" s="31">
        <f>(12500/100*30)+(12500/100*35)+((60/100)*(-K909+N907))</f>
        <v>-6875</v>
      </c>
    </row>
    <row r="908" spans="1:15" s="5" customFormat="1" x14ac:dyDescent="0.2">
      <c r="A908" s="31">
        <f>E907</f>
        <v>12500</v>
      </c>
      <c r="B908" s="31"/>
      <c r="C908" s="31"/>
      <c r="D908" s="31"/>
      <c r="E908" s="31">
        <v>25000</v>
      </c>
      <c r="F908" s="32"/>
      <c r="G908" s="31"/>
      <c r="H908" s="31">
        <f>IF(AND(H872&gt;A908, H872&lt;=E908),H872,0)</f>
        <v>0</v>
      </c>
      <c r="I908" s="31">
        <f>(12500/100*25)+((30/100)*(-A908+H908))</f>
        <v>-625</v>
      </c>
      <c r="K908" s="31">
        <f>M907</f>
        <v>12500</v>
      </c>
      <c r="L908" s="31"/>
      <c r="M908" s="31">
        <v>25000</v>
      </c>
      <c r="N908" s="31">
        <f>IF(AND(H872&gt;K910, H872&lt;=M910),H872,0)</f>
        <v>0</v>
      </c>
      <c r="O908" s="31">
        <f>(12500/100*30)+(12500/100*35)+(50000/100*60)+((80/100)*(-K910+N908))</f>
        <v>-21875</v>
      </c>
    </row>
    <row r="909" spans="1:15" s="5" customFormat="1" x14ac:dyDescent="0.2">
      <c r="A909" s="31">
        <f>E908</f>
        <v>25000</v>
      </c>
      <c r="B909" s="31"/>
      <c r="C909" s="31"/>
      <c r="D909" s="31"/>
      <c r="E909" s="31">
        <v>75000</v>
      </c>
      <c r="F909" s="32"/>
      <c r="G909" s="31"/>
      <c r="H909" s="31">
        <f>IF(AND(H872&gt;A909, H872&lt;=E909),H872,0)</f>
        <v>0</v>
      </c>
      <c r="I909" s="31">
        <f>(12500/100*25)+(12500/100*30)+((40/100)*(-A909+H909))</f>
        <v>-3125</v>
      </c>
      <c r="K909" s="31">
        <f>M908</f>
        <v>25000</v>
      </c>
      <c r="L909" s="31"/>
      <c r="M909" s="31">
        <v>75000</v>
      </c>
      <c r="N909" s="31">
        <f>IF(AND(H872&gt;K911, H872&lt;=M911),H872,0)</f>
        <v>0</v>
      </c>
      <c r="O909" s="31">
        <f>(12500/100*30)+(12500/100*35)+(50000/100*60)+(100000/100*80)+((80/100)*(-K911+N909))</f>
        <v>-21875</v>
      </c>
    </row>
    <row r="910" spans="1:15" s="5" customFormat="1" x14ac:dyDescent="0.2">
      <c r="A910" s="31">
        <f>E909</f>
        <v>75000</v>
      </c>
      <c r="B910" s="31"/>
      <c r="C910" s="31"/>
      <c r="D910" s="31"/>
      <c r="E910" s="31">
        <v>175000</v>
      </c>
      <c r="F910" s="32"/>
      <c r="G910" s="31"/>
      <c r="H910" s="31">
        <f>IF(AND(H872&gt;A910, H872&lt;=E910),H872,0)</f>
        <v>0</v>
      </c>
      <c r="I910" s="31">
        <f>(12500/100*25)+(12500/100*30)+(50000/100*40)+((55/100)*(-A910+H910))</f>
        <v>-14375</v>
      </c>
      <c r="K910" s="31">
        <f>M909</f>
        <v>75000</v>
      </c>
      <c r="L910" s="31"/>
      <c r="M910" s="31">
        <v>175000</v>
      </c>
      <c r="N910" s="31"/>
      <c r="O910" s="31">
        <f>VLOOKUP(H872,N905:O909,2,FALSE)</f>
        <v>0</v>
      </c>
    </row>
    <row r="911" spans="1:15" s="5" customFormat="1" x14ac:dyDescent="0.2">
      <c r="A911" s="31">
        <f>E910</f>
        <v>175000</v>
      </c>
      <c r="B911" s="31"/>
      <c r="C911" s="31"/>
      <c r="D911" s="31"/>
      <c r="E911" s="31">
        <v>999999999</v>
      </c>
      <c r="F911" s="32"/>
      <c r="G911" s="31"/>
      <c r="H911" s="31">
        <f>IF(AND(H872&gt;A911, H872&lt;=E911),H872,0)</f>
        <v>0</v>
      </c>
      <c r="I911" s="31">
        <f>(12500/100*25)+(12500/100*30)+(50000/100*40)+(100000/100*55)+((70/100)*(-A911+H911))</f>
        <v>-40624.999999999985</v>
      </c>
      <c r="K911" s="31">
        <f>M910</f>
        <v>175000</v>
      </c>
      <c r="L911" s="31"/>
      <c r="M911" s="31">
        <v>999999999</v>
      </c>
    </row>
    <row r="912" spans="1:15" s="5" customFormat="1" x14ac:dyDescent="0.2">
      <c r="A912" s="45" t="s">
        <v>4</v>
      </c>
      <c r="B912" s="45"/>
      <c r="C912" s="45"/>
      <c r="D912" s="45"/>
      <c r="E912" s="31"/>
      <c r="F912" s="32"/>
      <c r="G912" s="31"/>
      <c r="H912" s="31"/>
      <c r="I912" s="31">
        <f>VLOOKUP(H872,H907:I911,2,FALSE)</f>
        <v>0</v>
      </c>
      <c r="K912" s="45" t="s">
        <v>4</v>
      </c>
      <c r="L912" s="45"/>
      <c r="M912" s="31"/>
    </row>
    <row r="913" spans="1:11" s="5" customFormat="1" x14ac:dyDescent="0.2">
      <c r="F913" s="18"/>
    </row>
    <row r="914" spans="1:11" s="5" customFormat="1" x14ac:dyDescent="0.2">
      <c r="E914" s="5">
        <f>IF(A915&gt;0,A915-F919,0)</f>
        <v>0</v>
      </c>
      <c r="F914" s="18"/>
    </row>
    <row r="915" spans="1:11" s="5" customFormat="1" x14ac:dyDescent="0.2">
      <c r="A915" s="5">
        <f>IF(AND(DONBIW!E17="oui",DONBIW!F52="ligne directe"),I893,0)</f>
        <v>0</v>
      </c>
      <c r="E915" s="5">
        <f>IF(E914&gt;0,E914,0)</f>
        <v>0</v>
      </c>
      <c r="F915" s="5">
        <f>IF(AND(DONBIW!F52="ligne directe",H872&lt;=125000,DONBIW!E17="oui"),250,0)</f>
        <v>0</v>
      </c>
      <c r="G915" s="5">
        <f>IF(AND(F915&gt;0,(I893-F915&gt;=0)),I893-F915,0)</f>
        <v>0</v>
      </c>
    </row>
    <row r="916" spans="1:11" s="5" customFormat="1" x14ac:dyDescent="0.2">
      <c r="A916" s="5">
        <f>IF(AND(DONBIW!E17="oui",DONBIW!F52="épou(x)(se)"),I893,0)</f>
        <v>0</v>
      </c>
      <c r="E916" s="5">
        <f>IF(A916&gt;0,A916-F919,0)</f>
        <v>0</v>
      </c>
      <c r="F916" s="5">
        <f>IF(AND(DONBIW!F52="ligne directe",H872&gt;125000,DONBIW!E17="oui"),125,0)</f>
        <v>0</v>
      </c>
      <c r="G916" s="5">
        <f>IF(AND(F916&gt;0,(I893-F916&gt;=0)),I893-F916,0)</f>
        <v>0</v>
      </c>
    </row>
    <row r="917" spans="1:11" s="5" customFormat="1" x14ac:dyDescent="0.2">
      <c r="A917" s="5">
        <f>IF(AND(DONBIW!E17="non",DONBIW!F52="ligne directe"),I884,0)</f>
        <v>0</v>
      </c>
      <c r="E917" s="5">
        <f>IF(AND(DONBIW!E17="non",DONBIW!F52="ligne directe"),I884,0)</f>
        <v>0</v>
      </c>
      <c r="F917" s="5">
        <f>IF(AND(DONBIW!F52="épou(x)(se)",H872&lt;=125000,DONBIW!E17="oui"),250,0)</f>
        <v>0</v>
      </c>
      <c r="G917" s="5">
        <f>IF(AND(F917&gt;0,(I893-F917&gt;=0)),I893-F917,0)</f>
        <v>0</v>
      </c>
    </row>
    <row r="918" spans="1:11" s="5" customFormat="1" x14ac:dyDescent="0.2">
      <c r="A918" s="5">
        <f>IF(AND(DONBIW!E17="non",DONBIW!F52="épou(x)(se)"),I884,0)</f>
        <v>0</v>
      </c>
      <c r="E918" s="5">
        <f>IF(AND(DONBIW!E17="non",DONBIW!F52="épou(x)(se)"),I884,0)</f>
        <v>0</v>
      </c>
      <c r="F918" s="5">
        <f>IF(AND(DONBIW!F52="épou(x)(se)",H872&gt;125000,DONBIW!E17="oui"),125,0)</f>
        <v>0</v>
      </c>
      <c r="G918" s="5">
        <f>IF(AND(F918&gt;0,(I893-F918&gt;=0)),I893-F918,0)</f>
        <v>0</v>
      </c>
    </row>
    <row r="919" spans="1:11" s="5" customFormat="1" x14ac:dyDescent="0.2">
      <c r="A919" s="5">
        <f>IF(DONBIW!F52="frère/soeur",I901,0)</f>
        <v>0</v>
      </c>
      <c r="E919" s="5">
        <f>IF(DONBIW!F52="frère/soeur",I901,0)</f>
        <v>0</v>
      </c>
      <c r="F919" s="5">
        <f>SUM(F915:F918)</f>
        <v>0</v>
      </c>
      <c r="G919" s="5">
        <f>SUM(G915:G918)</f>
        <v>0</v>
      </c>
    </row>
    <row r="920" spans="1:11" s="5" customFormat="1" x14ac:dyDescent="0.2">
      <c r="A920" s="5">
        <f>IF(DONBIW!F52="oncle-tante/neveu-nièce",I912,0)</f>
        <v>0</v>
      </c>
      <c r="E920" s="5">
        <f>IF(DONBIW!F52="oncle-tante/neveu-nièce",I912,0)</f>
        <v>0</v>
      </c>
    </row>
    <row r="921" spans="1:11" s="5" customFormat="1" x14ac:dyDescent="0.2">
      <c r="A921" s="5">
        <f>IF(DONBIW!F52="étrangers",O910,0)</f>
        <v>0</v>
      </c>
      <c r="E921" s="5">
        <f>IF(DONBIW!F52="étrangers",O910,0)</f>
        <v>0</v>
      </c>
    </row>
    <row r="922" spans="1:11" s="5" customFormat="1" x14ac:dyDescent="0.2"/>
    <row r="923" spans="1:11" s="5" customFormat="1" x14ac:dyDescent="0.2">
      <c r="A923" s="5">
        <f>SUM(A915:A922)</f>
        <v>0</v>
      </c>
      <c r="E923" s="5">
        <f>SUM(E915:E922)</f>
        <v>0</v>
      </c>
    </row>
    <row r="924" spans="1:11" s="5" customFormat="1" x14ac:dyDescent="0.2"/>
    <row r="925" spans="1:11" s="5" customFormat="1" x14ac:dyDescent="0.2"/>
    <row r="926" spans="1:11" s="5" customFormat="1" x14ac:dyDescent="0.2">
      <c r="A926" s="5" t="s">
        <v>93</v>
      </c>
      <c r="E926" s="5" t="s">
        <v>100</v>
      </c>
    </row>
    <row r="927" spans="1:11" s="5" customFormat="1" x14ac:dyDescent="0.2"/>
    <row r="928" spans="1:11" s="5" customFormat="1" x14ac:dyDescent="0.2">
      <c r="A928" s="5" t="s">
        <v>93</v>
      </c>
      <c r="E928" s="5">
        <f>IF(DONBIW!I52=3,E923*12%,0)</f>
        <v>0</v>
      </c>
      <c r="F928" s="5">
        <f>IF(E928&gt;372,372,E928)</f>
        <v>0</v>
      </c>
      <c r="H928" s="5" t="s">
        <v>26</v>
      </c>
      <c r="I928" s="5">
        <f>6%*E923</f>
        <v>0</v>
      </c>
      <c r="J928" s="5">
        <f>IF(I928&gt;186,186,I928)</f>
        <v>0</v>
      </c>
      <c r="K928" s="5">
        <f>IF(DONBIW!I52=3,J928,0)</f>
        <v>0</v>
      </c>
    </row>
    <row r="929" spans="1:11" s="5" customFormat="1" x14ac:dyDescent="0.2">
      <c r="E929" s="5">
        <f>IF(DONBIW!I52=4,E923*16%,0)</f>
        <v>0</v>
      </c>
      <c r="F929" s="5">
        <f>IF(E929&gt;496,496,E929)</f>
        <v>0</v>
      </c>
      <c r="H929" s="5" t="s">
        <v>27</v>
      </c>
      <c r="I929" s="5">
        <f>8%*E923</f>
        <v>0</v>
      </c>
      <c r="J929" s="5">
        <f>IF(I929&gt;248,248,I929)</f>
        <v>0</v>
      </c>
      <c r="K929" s="5">
        <f>IF(DONBIW!I52=4,J929,0)</f>
        <v>0</v>
      </c>
    </row>
    <row r="930" spans="1:11" s="5" customFormat="1" x14ac:dyDescent="0.2">
      <c r="E930" s="5">
        <f>IF(DONBIW!I52=5,E923*20%,0)</f>
        <v>0</v>
      </c>
      <c r="F930" s="5">
        <f>IF(E930&gt;620,620,E930)</f>
        <v>0</v>
      </c>
      <c r="I930" s="5">
        <f>10%*E923</f>
        <v>0</v>
      </c>
      <c r="J930" s="5">
        <f>IF(I930&gt;310,310,I930)</f>
        <v>0</v>
      </c>
      <c r="K930" s="5">
        <f>IF(DONBIW!I52=5,J930,0)</f>
        <v>0</v>
      </c>
    </row>
    <row r="931" spans="1:11" s="5" customFormat="1" x14ac:dyDescent="0.2">
      <c r="E931" s="5">
        <f>IF(DONBIW!I52=6,E923*24%,0)</f>
        <v>0</v>
      </c>
      <c r="F931" s="5">
        <f>IF(E931&gt;744,744,E931)</f>
        <v>0</v>
      </c>
      <c r="I931" s="5">
        <f>12%*E923</f>
        <v>0</v>
      </c>
      <c r="J931" s="5">
        <f>IF(I931&gt;372,372,I931)</f>
        <v>0</v>
      </c>
      <c r="K931" s="5">
        <f>IF(DONBIW!I52=6,J931,0)</f>
        <v>0</v>
      </c>
    </row>
    <row r="932" spans="1:11" s="5" customFormat="1" x14ac:dyDescent="0.2">
      <c r="E932" s="5">
        <f>IF(DONBIW!I52=7,E923*28%,0)</f>
        <v>0</v>
      </c>
      <c r="F932" s="5">
        <f>IF(E932&gt;868,868,E932)</f>
        <v>0</v>
      </c>
      <c r="I932" s="5">
        <f>14%*E923</f>
        <v>0</v>
      </c>
      <c r="J932" s="5">
        <f>IF(I932&gt;434,434,I932)</f>
        <v>0</v>
      </c>
      <c r="K932" s="5">
        <f>IF(DONBIW!I52=7,J932,0)</f>
        <v>0</v>
      </c>
    </row>
    <row r="933" spans="1:11" s="5" customFormat="1" x14ac:dyDescent="0.2">
      <c r="E933" s="5">
        <f>IF(DONBIW!I52=8,E923*32%,0)</f>
        <v>0</v>
      </c>
      <c r="F933" s="5">
        <f>IF(E933&gt;992,992,E933)</f>
        <v>0</v>
      </c>
      <c r="I933" s="5">
        <f>16%*E923</f>
        <v>0</v>
      </c>
      <c r="J933" s="5">
        <f>IF(I933&gt;496,496,I933)</f>
        <v>0</v>
      </c>
      <c r="K933" s="5">
        <f>IF(DONBIW!I52=8,J933,0)</f>
        <v>0</v>
      </c>
    </row>
    <row r="934" spans="1:11" s="5" customFormat="1" x14ac:dyDescent="0.2">
      <c r="E934" s="5">
        <f>IF(DONBIW!I52=9,E923*36%,0)</f>
        <v>0</v>
      </c>
      <c r="F934" s="5">
        <f>IF(E934&gt;1116,1116,E934)</f>
        <v>0</v>
      </c>
      <c r="I934" s="5">
        <f>18%*E923</f>
        <v>0</v>
      </c>
      <c r="J934" s="5">
        <f>IF(I934&gt;558,558,I934)</f>
        <v>0</v>
      </c>
      <c r="K934" s="5">
        <f>IF(DONBIW!I52=9,J934,0)</f>
        <v>0</v>
      </c>
    </row>
    <row r="935" spans="1:11" s="5" customFormat="1" x14ac:dyDescent="0.2">
      <c r="E935" s="5">
        <f>IF(DONBIW!I52=10,E923*40%,0)</f>
        <v>0</v>
      </c>
      <c r="F935" s="5">
        <f>IF(E935&gt;1240,1240,E935)</f>
        <v>0</v>
      </c>
      <c r="I935" s="5">
        <f>20%*E923</f>
        <v>0</v>
      </c>
      <c r="J935" s="5">
        <f>IF(I935&gt;620,620,I935)</f>
        <v>0</v>
      </c>
      <c r="K935" s="5">
        <f>IF(DONBIW!I52=10,J935,0)</f>
        <v>0</v>
      </c>
    </row>
    <row r="936" spans="1:11" s="5" customFormat="1" x14ac:dyDescent="0.2"/>
    <row r="937" spans="1:11" s="5" customFormat="1" x14ac:dyDescent="0.2">
      <c r="F937" s="5">
        <f>SUM(F928:F936)</f>
        <v>0</v>
      </c>
      <c r="K937" s="5">
        <f>SUM(K928:K936)</f>
        <v>0</v>
      </c>
    </row>
    <row r="938" spans="1:11" s="5" customFormat="1" x14ac:dyDescent="0.2">
      <c r="F938" s="18"/>
    </row>
    <row r="939" spans="1:11" s="5" customFormat="1" x14ac:dyDescent="0.2">
      <c r="F939" s="18"/>
    </row>
    <row r="940" spans="1:11" s="5" customFormat="1" x14ac:dyDescent="0.2">
      <c r="F940" s="18"/>
    </row>
    <row r="941" spans="1:11" s="5" customFormat="1" x14ac:dyDescent="0.2">
      <c r="A941" s="5" t="s">
        <v>33</v>
      </c>
      <c r="E941" s="20">
        <f>E923-F937</f>
        <v>0</v>
      </c>
      <c r="F941" s="18"/>
      <c r="G941" s="5" t="s">
        <v>34</v>
      </c>
      <c r="H941" s="47">
        <f>E923-K937</f>
        <v>0</v>
      </c>
    </row>
    <row r="942" spans="1:11" s="5" customFormat="1" x14ac:dyDescent="0.2">
      <c r="F942" s="18"/>
    </row>
    <row r="943" spans="1:11" s="5" customFormat="1" x14ac:dyDescent="0.2">
      <c r="F943" s="18"/>
    </row>
    <row r="944" spans="1:11" s="5" customFormat="1" x14ac:dyDescent="0.2">
      <c r="F944" s="18"/>
    </row>
    <row r="945" spans="6:6" s="5" customFormat="1" x14ac:dyDescent="0.2">
      <c r="F945" s="18"/>
    </row>
    <row r="946" spans="6:6" s="5" customFormat="1" x14ac:dyDescent="0.2">
      <c r="F946" s="18"/>
    </row>
    <row r="947" spans="6:6" s="5" customFormat="1" x14ac:dyDescent="0.2">
      <c r="F947" s="18"/>
    </row>
    <row r="948" spans="6:6" s="5" customFormat="1" x14ac:dyDescent="0.2">
      <c r="F948" s="18"/>
    </row>
    <row r="949" spans="6:6" s="5" customFormat="1" x14ac:dyDescent="0.2">
      <c r="F949" s="18"/>
    </row>
    <row r="950" spans="6:6" s="5" customFormat="1" x14ac:dyDescent="0.2">
      <c r="F950" s="18"/>
    </row>
    <row r="951" spans="6:6" s="5" customFormat="1" x14ac:dyDescent="0.2">
      <c r="F951" s="18"/>
    </row>
    <row r="952" spans="6:6" s="5" customFormat="1" x14ac:dyDescent="0.2">
      <c r="F952" s="18"/>
    </row>
    <row r="953" spans="6:6" s="5" customFormat="1" x14ac:dyDescent="0.2">
      <c r="F953" s="18"/>
    </row>
    <row r="954" spans="6:6" s="5" customFormat="1" x14ac:dyDescent="0.2">
      <c r="F954" s="18"/>
    </row>
    <row r="955" spans="6:6" s="5" customFormat="1" x14ac:dyDescent="0.2">
      <c r="F955" s="18"/>
    </row>
    <row r="956" spans="6:6" s="5" customFormat="1" x14ac:dyDescent="0.2">
      <c r="F956" s="18"/>
    </row>
    <row r="957" spans="6:6" s="5" customFormat="1" x14ac:dyDescent="0.2">
      <c r="F957" s="18"/>
    </row>
    <row r="958" spans="6:6" s="5" customFormat="1" x14ac:dyDescent="0.2">
      <c r="F958" s="18"/>
    </row>
    <row r="959" spans="6:6" s="5" customFormat="1" x14ac:dyDescent="0.2">
      <c r="F959" s="18"/>
    </row>
    <row r="960" spans="6:6" s="5" customFormat="1" x14ac:dyDescent="0.2">
      <c r="F960" s="18"/>
    </row>
    <row r="961" spans="1:9" s="5" customFormat="1" x14ac:dyDescent="0.2">
      <c r="F961" s="18"/>
    </row>
    <row r="962" spans="1:9" s="5" customFormat="1" x14ac:dyDescent="0.2">
      <c r="F962" s="18"/>
    </row>
    <row r="963" spans="1:9" s="5" customFormat="1" x14ac:dyDescent="0.2">
      <c r="F963" s="18"/>
    </row>
    <row r="964" spans="1:9" s="5" customFormat="1" x14ac:dyDescent="0.2">
      <c r="F964" s="18"/>
    </row>
    <row r="965" spans="1:9" s="5" customFormat="1" x14ac:dyDescent="0.2">
      <c r="F965" s="18"/>
    </row>
    <row r="966" spans="1:9" s="5" customFormat="1" x14ac:dyDescent="0.2">
      <c r="F966" s="18"/>
    </row>
    <row r="967" spans="1:9" s="5" customFormat="1" x14ac:dyDescent="0.2">
      <c r="F967" s="18"/>
    </row>
    <row r="968" spans="1:9" s="5" customFormat="1" x14ac:dyDescent="0.2">
      <c r="F968" s="18"/>
    </row>
    <row r="969" spans="1:9" s="5" customFormat="1" x14ac:dyDescent="0.2">
      <c r="F969" s="18"/>
    </row>
    <row r="970" spans="1:9" s="5" customFormat="1" x14ac:dyDescent="0.2">
      <c r="F970" s="18"/>
    </row>
    <row r="971" spans="1:9" s="5" customFormat="1" x14ac:dyDescent="0.2">
      <c r="F971" s="18"/>
    </row>
    <row r="972" spans="1:9" s="5" customFormat="1" x14ac:dyDescent="0.2">
      <c r="F972" s="18"/>
      <c r="H972" s="28">
        <f>DONBIW!G59</f>
        <v>0</v>
      </c>
    </row>
    <row r="973" spans="1:9" s="5" customFormat="1" x14ac:dyDescent="0.2">
      <c r="F973" s="18"/>
    </row>
    <row r="974" spans="1:9" s="5" customFormat="1" x14ac:dyDescent="0.2">
      <c r="A974" s="43" t="s">
        <v>2</v>
      </c>
      <c r="B974" s="43"/>
      <c r="C974" s="43"/>
      <c r="D974" s="43"/>
      <c r="E974" s="31"/>
      <c r="F974" s="32"/>
      <c r="G974" s="31"/>
      <c r="H974" s="31"/>
      <c r="I974" s="44" t="s">
        <v>3</v>
      </c>
    </row>
    <row r="975" spans="1:9" s="5" customFormat="1" x14ac:dyDescent="0.2">
      <c r="A975" s="31">
        <v>0</v>
      </c>
      <c r="B975" s="31"/>
      <c r="C975" s="31"/>
      <c r="D975" s="31"/>
      <c r="E975" s="31">
        <v>12500</v>
      </c>
      <c r="F975" s="32"/>
      <c r="G975" s="31"/>
      <c r="H975" s="31">
        <f>IF(AND(H972&gt;A975,H972&lt;=E975),H972,0)</f>
        <v>0</v>
      </c>
      <c r="I975" s="31">
        <f>0+(3/100)*(-A975+H975)</f>
        <v>0</v>
      </c>
    </row>
    <row r="976" spans="1:9" s="5" customFormat="1" x14ac:dyDescent="0.2">
      <c r="A976" s="31">
        <f t="shared" ref="A976:A983" si="7">E975</f>
        <v>12500</v>
      </c>
      <c r="B976" s="31"/>
      <c r="C976" s="31"/>
      <c r="D976" s="31"/>
      <c r="E976" s="31">
        <v>25000</v>
      </c>
      <c r="F976" s="32"/>
      <c r="G976" s="31"/>
      <c r="H976" s="31">
        <f>IF(AND(H972&gt;A976, H972&lt;=E976),H972,0)</f>
        <v>0</v>
      </c>
      <c r="I976" s="31">
        <f>(12500/100*3)+(4/100)*(-A976+H976)</f>
        <v>-125</v>
      </c>
    </row>
    <row r="977" spans="1:9" s="5" customFormat="1" x14ac:dyDescent="0.2">
      <c r="A977" s="31">
        <f t="shared" si="7"/>
        <v>25000</v>
      </c>
      <c r="B977" s="31"/>
      <c r="C977" s="31"/>
      <c r="D977" s="31"/>
      <c r="E977" s="31">
        <v>50000</v>
      </c>
      <c r="F977" s="32"/>
      <c r="G977" s="31"/>
      <c r="H977" s="31">
        <f>IF(AND(H972&gt;A977, H972&lt;=E977),H972,0)</f>
        <v>0</v>
      </c>
      <c r="I977" s="31">
        <f>(12500/100*3)+(12500/100*4)+((5/100)*(-A977+H977))</f>
        <v>-375</v>
      </c>
    </row>
    <row r="978" spans="1:9" s="5" customFormat="1" x14ac:dyDescent="0.2">
      <c r="A978" s="31">
        <f t="shared" si="7"/>
        <v>50000</v>
      </c>
      <c r="B978" s="31"/>
      <c r="C978" s="31"/>
      <c r="D978" s="31"/>
      <c r="E978" s="31">
        <v>100000</v>
      </c>
      <c r="F978" s="32"/>
      <c r="G978" s="31"/>
      <c r="H978" s="31">
        <f>IF(AND(H972&gt;A978, H972&lt;=E978),H972,0)</f>
        <v>0</v>
      </c>
      <c r="I978" s="31">
        <f>(12500/100*3)+(12500/100*4)+(25000/100*5)+((7/100)*(-A978+H978))</f>
        <v>-1375.0000000000005</v>
      </c>
    </row>
    <row r="979" spans="1:9" s="5" customFormat="1" x14ac:dyDescent="0.2">
      <c r="A979" s="31">
        <f t="shared" si="7"/>
        <v>100000</v>
      </c>
      <c r="B979" s="31"/>
      <c r="C979" s="31"/>
      <c r="D979" s="31"/>
      <c r="E979" s="31">
        <v>150000</v>
      </c>
      <c r="F979" s="32"/>
      <c r="G979" s="31"/>
      <c r="H979" s="31">
        <f>IF(AND(H972&gt;A979, H972&lt;=E979),H972,0)</f>
        <v>0</v>
      </c>
      <c r="I979" s="31">
        <f>(12500/100*3)+(12500/100*4)+(25000/100*5)+(50000/100*7)+((10/100)*(-A979+H979))</f>
        <v>-4375</v>
      </c>
    </row>
    <row r="980" spans="1:9" s="5" customFormat="1" x14ac:dyDescent="0.2">
      <c r="A980" s="31">
        <f t="shared" si="7"/>
        <v>150000</v>
      </c>
      <c r="B980" s="31"/>
      <c r="C980" s="31"/>
      <c r="D980" s="31"/>
      <c r="E980" s="31">
        <v>200000</v>
      </c>
      <c r="F980" s="32"/>
      <c r="G980" s="31"/>
      <c r="H980" s="31">
        <f>IF(AND(H972&gt;A980, H972&lt;=E980),H972,0)</f>
        <v>0</v>
      </c>
      <c r="I980" s="31">
        <f>(12500/100*3)+(12500/100*4)+(25000/100*5)+(50000/100*7)+(50000/100*10)+((14/100)*(-A980+H980))</f>
        <v>-10375.000000000004</v>
      </c>
    </row>
    <row r="981" spans="1:9" s="5" customFormat="1" x14ac:dyDescent="0.2">
      <c r="A981" s="31">
        <f t="shared" si="7"/>
        <v>200000</v>
      </c>
      <c r="B981" s="31"/>
      <c r="C981" s="31"/>
      <c r="D981" s="31"/>
      <c r="E981" s="31">
        <v>250000</v>
      </c>
      <c r="F981" s="32"/>
      <c r="G981" s="31"/>
      <c r="H981" s="31">
        <f>IF(AND(H972&gt;A981, H972&lt;=E981),H972,0)</f>
        <v>0</v>
      </c>
      <c r="I981" s="31">
        <f>(12500/100*3)+(12500/100*4)+(25000/100*5)+(50000/100*7)+(50000/100*10)+(50000/100*14)+((18/100)*(-A981+H981))</f>
        <v>-18375</v>
      </c>
    </row>
    <row r="982" spans="1:9" s="5" customFormat="1" x14ac:dyDescent="0.2">
      <c r="A982" s="31">
        <f t="shared" si="7"/>
        <v>250000</v>
      </c>
      <c r="B982" s="31"/>
      <c r="C982" s="31"/>
      <c r="D982" s="31"/>
      <c r="E982" s="31">
        <v>500000</v>
      </c>
      <c r="F982" s="32"/>
      <c r="G982" s="31"/>
      <c r="H982" s="31">
        <f>IF(AND(H972&gt;A982, H972&lt;=E982),H972,0)</f>
        <v>0</v>
      </c>
      <c r="I982" s="31">
        <f>(12500/100*3)+(12500/100*4)+(25000/100*5)+(50000/100*7)+(50000/100*10)+(50000/100*14)+(50000/100*18)+((24/100)*(-A982+H982))</f>
        <v>-33375</v>
      </c>
    </row>
    <row r="983" spans="1:9" s="5" customFormat="1" x14ac:dyDescent="0.2">
      <c r="A983" s="31">
        <f t="shared" si="7"/>
        <v>500000</v>
      </c>
      <c r="B983" s="31"/>
      <c r="C983" s="31"/>
      <c r="D983" s="31"/>
      <c r="E983" s="31">
        <v>999999999</v>
      </c>
      <c r="F983" s="32"/>
      <c r="G983" s="31"/>
      <c r="H983" s="31">
        <f>IF(AND(H972&gt;A983, H972&lt;=E983),H972,0)</f>
        <v>0</v>
      </c>
      <c r="I983" s="31">
        <f>(12500/100*3)+(12500/100*4)+(25000/100*5)+(50000/100*7)+(50000/100*10)+(50000/100*14)+(50000/100*18)+(250000/100*24)+((30/100)*(-A983+H983))</f>
        <v>-63375</v>
      </c>
    </row>
    <row r="984" spans="1:9" s="5" customFormat="1" x14ac:dyDescent="0.2">
      <c r="A984" s="45" t="s">
        <v>4</v>
      </c>
      <c r="B984" s="45"/>
      <c r="C984" s="45"/>
      <c r="D984" s="45"/>
      <c r="E984" s="31"/>
      <c r="F984" s="32"/>
      <c r="G984" s="31"/>
      <c r="H984" s="31"/>
      <c r="I984" s="31">
        <f>VLOOKUP(H972,H975:I983,2,FALSE)</f>
        <v>0</v>
      </c>
    </row>
    <row r="985" spans="1:9" s="5" customFormat="1" x14ac:dyDescent="0.2">
      <c r="A985" s="45"/>
      <c r="B985" s="45"/>
      <c r="C985" s="45"/>
      <c r="D985" s="45"/>
      <c r="E985" s="31"/>
      <c r="F985" s="32"/>
      <c r="G985" s="31"/>
      <c r="H985" s="31"/>
      <c r="I985" s="31"/>
    </row>
    <row r="986" spans="1:9" s="5" customFormat="1" x14ac:dyDescent="0.2">
      <c r="A986" s="46" t="s">
        <v>24</v>
      </c>
      <c r="B986" s="46"/>
      <c r="C986" s="46"/>
      <c r="D986" s="46"/>
      <c r="E986" s="31"/>
      <c r="F986" s="32"/>
      <c r="G986" s="31"/>
      <c r="H986" s="31"/>
      <c r="I986" s="44" t="s">
        <v>25</v>
      </c>
    </row>
    <row r="987" spans="1:9" s="5" customFormat="1" x14ac:dyDescent="0.2">
      <c r="A987" s="31">
        <v>0</v>
      </c>
      <c r="B987" s="31"/>
      <c r="C987" s="31"/>
      <c r="D987" s="31"/>
      <c r="E987" s="31">
        <v>25000</v>
      </c>
      <c r="F987" s="32"/>
      <c r="G987" s="31"/>
      <c r="H987" s="31">
        <f>IF(AND(H972&gt;A987, H972&lt;=E987),H972,0)</f>
        <v>0</v>
      </c>
      <c r="I987" s="31">
        <f>0+(1/100)*(-A987+H987)</f>
        <v>0</v>
      </c>
    </row>
    <row r="988" spans="1:9" s="5" customFormat="1" x14ac:dyDescent="0.2">
      <c r="A988" s="31">
        <f>E987</f>
        <v>25000</v>
      </c>
      <c r="B988" s="31"/>
      <c r="C988" s="31"/>
      <c r="D988" s="31"/>
      <c r="E988" s="31">
        <v>50000</v>
      </c>
      <c r="F988" s="32"/>
      <c r="G988" s="31"/>
      <c r="H988" s="31">
        <f>IF(AND(H972&gt;A988, H972&lt;=E988),H972,0)</f>
        <v>0</v>
      </c>
      <c r="I988" s="31">
        <f>(25000/100*1)+(2/100)*(-A988+H988)</f>
        <v>-250</v>
      </c>
    </row>
    <row r="989" spans="1:9" s="5" customFormat="1" x14ac:dyDescent="0.2">
      <c r="A989" s="31">
        <f>E988</f>
        <v>50000</v>
      </c>
      <c r="B989" s="31"/>
      <c r="C989" s="31"/>
      <c r="D989" s="31"/>
      <c r="E989" s="31">
        <v>175000</v>
      </c>
      <c r="F989" s="32"/>
      <c r="G989" s="31"/>
      <c r="H989" s="31">
        <f>IF(AND(H972&gt;A989, H972&lt;=E989),H972,0)</f>
        <v>0</v>
      </c>
      <c r="I989" s="31">
        <f>(25000/100*1)+(25000/100*2)+((5/100)*(-A989+H989))</f>
        <v>-1750</v>
      </c>
    </row>
    <row r="990" spans="1:9" s="5" customFormat="1" x14ac:dyDescent="0.2">
      <c r="A990" s="31">
        <f>E989</f>
        <v>175000</v>
      </c>
      <c r="B990" s="31"/>
      <c r="C990" s="31"/>
      <c r="D990" s="31"/>
      <c r="E990" s="31">
        <v>250000</v>
      </c>
      <c r="F990" s="32"/>
      <c r="G990" s="31"/>
      <c r="H990" s="31">
        <f>IF(AND(H972&gt;A990, H972&lt;=E990),H972,0)</f>
        <v>0</v>
      </c>
      <c r="I990" s="31">
        <f>(25000/100*1)+(25000/100*2)+(125000/100*5)+((12/100)*(-A990+H990))</f>
        <v>-14000</v>
      </c>
    </row>
    <row r="991" spans="1:9" s="5" customFormat="1" x14ac:dyDescent="0.2">
      <c r="A991" s="31">
        <f>E990</f>
        <v>250000</v>
      </c>
      <c r="B991" s="31"/>
      <c r="C991" s="31"/>
      <c r="D991" s="31"/>
      <c r="E991" s="31">
        <v>500000</v>
      </c>
      <c r="F991" s="32"/>
      <c r="G991" s="31"/>
      <c r="H991" s="31">
        <f>IF(AND(H972&gt;A991, H972&lt;=E991),H972,0)</f>
        <v>0</v>
      </c>
      <c r="I991" s="31">
        <f>(25000/100*1)+(25000/100*2)+(125000/100*5)+(75000/100*12)+((24/100)*(-A991+H991))</f>
        <v>-44000</v>
      </c>
    </row>
    <row r="992" spans="1:9" s="5" customFormat="1" x14ac:dyDescent="0.2">
      <c r="A992" s="31">
        <f>E991</f>
        <v>500000</v>
      </c>
      <c r="B992" s="31"/>
      <c r="C992" s="31"/>
      <c r="D992" s="31"/>
      <c r="E992" s="31">
        <v>999999999</v>
      </c>
      <c r="F992" s="32"/>
      <c r="G992" s="31"/>
      <c r="H992" s="31">
        <f>IF(AND(H972&gt;A992, H972&lt;=E992),H972,0)</f>
        <v>0</v>
      </c>
      <c r="I992" s="31">
        <f>(25000/100*1)+(25000/100*2)+(125000/100*5)+(75000/100*12)+(250000/100*24)+((30/100)*(-A992+H992))</f>
        <v>-74000</v>
      </c>
    </row>
    <row r="993" spans="1:15" s="5" customFormat="1" x14ac:dyDescent="0.2">
      <c r="A993" s="45" t="s">
        <v>4</v>
      </c>
      <c r="B993" s="45"/>
      <c r="C993" s="45"/>
      <c r="D993" s="45"/>
      <c r="E993" s="31"/>
      <c r="F993" s="32"/>
      <c r="G993" s="31"/>
      <c r="H993" s="31"/>
      <c r="I993" s="31">
        <f>VLOOKUP(H972,H987:I992,2,FALSE)</f>
        <v>0</v>
      </c>
    </row>
    <row r="994" spans="1:15" s="5" customFormat="1" x14ac:dyDescent="0.2">
      <c r="A994" s="45"/>
      <c r="B994" s="45"/>
      <c r="C994" s="45"/>
      <c r="D994" s="45"/>
      <c r="E994" s="31"/>
      <c r="F994" s="32"/>
      <c r="G994" s="31"/>
      <c r="H994" s="31"/>
      <c r="I994" s="31"/>
    </row>
    <row r="995" spans="1:15" s="5" customFormat="1" x14ac:dyDescent="0.2">
      <c r="A995" s="43" t="s">
        <v>5</v>
      </c>
      <c r="B995" s="43"/>
      <c r="C995" s="43"/>
      <c r="D995" s="43"/>
      <c r="E995" s="31"/>
      <c r="F995" s="32"/>
      <c r="G995" s="31"/>
      <c r="H995" s="31"/>
      <c r="I995" s="44" t="s">
        <v>6</v>
      </c>
    </row>
    <row r="996" spans="1:15" s="5" customFormat="1" x14ac:dyDescent="0.2">
      <c r="A996" s="31">
        <v>0</v>
      </c>
      <c r="B996" s="31"/>
      <c r="C996" s="31"/>
      <c r="D996" s="31"/>
      <c r="E996" s="31">
        <v>12500</v>
      </c>
      <c r="F996" s="32"/>
      <c r="G996" s="31"/>
      <c r="H996" s="31">
        <f>IF(AND(H972&gt;A996, H972&lt;=E996),H972,0)</f>
        <v>0</v>
      </c>
      <c r="I996" s="31">
        <f>0+(20/100)*(-A996+H996)</f>
        <v>0</v>
      </c>
    </row>
    <row r="997" spans="1:15" s="5" customFormat="1" x14ac:dyDescent="0.2">
      <c r="A997" s="31">
        <f>E996</f>
        <v>12500</v>
      </c>
      <c r="B997" s="31"/>
      <c r="C997" s="31"/>
      <c r="D997" s="31"/>
      <c r="E997" s="31">
        <v>25000</v>
      </c>
      <c r="F997" s="32"/>
      <c r="G997" s="31"/>
      <c r="H997" s="31">
        <f>IF(AND(H972&gt;A997, H972&lt;=E997),H972,0)</f>
        <v>0</v>
      </c>
      <c r="I997" s="31">
        <f>(12500/100*20)+((25/100)*(-A997+H997))</f>
        <v>-625</v>
      </c>
    </row>
    <row r="998" spans="1:15" s="5" customFormat="1" x14ac:dyDescent="0.2">
      <c r="A998" s="31">
        <f>E997</f>
        <v>25000</v>
      </c>
      <c r="B998" s="31"/>
      <c r="C998" s="31"/>
      <c r="D998" s="31"/>
      <c r="E998" s="31">
        <v>75000</v>
      </c>
      <c r="F998" s="32"/>
      <c r="G998" s="31"/>
      <c r="H998" s="31">
        <f>IF(AND(H972&gt;A998, H972&lt;=E998),H972,0)</f>
        <v>0</v>
      </c>
      <c r="I998" s="31">
        <f>(12500/100*20)+(12500/100*25)+((35/100)*(-A998+H998))</f>
        <v>-3125</v>
      </c>
    </row>
    <row r="999" spans="1:15" s="5" customFormat="1" x14ac:dyDescent="0.2">
      <c r="A999" s="31">
        <f>E998</f>
        <v>75000</v>
      </c>
      <c r="B999" s="31"/>
      <c r="C999" s="31"/>
      <c r="D999" s="31"/>
      <c r="E999" s="31">
        <v>175000</v>
      </c>
      <c r="F999" s="32"/>
      <c r="G999" s="31"/>
      <c r="H999" s="31">
        <f>IF(AND(H972&gt;A999, H972&lt;=E999),H972,0)</f>
        <v>0</v>
      </c>
      <c r="I999" s="31">
        <f>(12500/100*20)+(12500/100*25)+(50000/100*35)+((50/100)*(-A999+H999))</f>
        <v>-14375</v>
      </c>
    </row>
    <row r="1000" spans="1:15" s="5" customFormat="1" x14ac:dyDescent="0.2">
      <c r="A1000" s="31">
        <f>E999</f>
        <v>175000</v>
      </c>
      <c r="B1000" s="31"/>
      <c r="C1000" s="31"/>
      <c r="D1000" s="31"/>
      <c r="E1000" s="31">
        <v>999999999</v>
      </c>
      <c r="F1000" s="32"/>
      <c r="G1000" s="31"/>
      <c r="H1000" s="31">
        <f>IF(AND(H972&gt;A1000, H972&lt;=E1000),H972,0)</f>
        <v>0</v>
      </c>
      <c r="I1000" s="31">
        <f>(12500/100*20)+(12500/100*25)+(50000/100*35)+(100000/100*50)+((65/100)*(-A1000+H1000))</f>
        <v>-40625</v>
      </c>
    </row>
    <row r="1001" spans="1:15" s="5" customFormat="1" x14ac:dyDescent="0.2">
      <c r="A1001" s="45" t="s">
        <v>4</v>
      </c>
      <c r="B1001" s="45"/>
      <c r="C1001" s="45"/>
      <c r="D1001" s="45"/>
      <c r="E1001" s="31"/>
      <c r="F1001" s="32"/>
      <c r="G1001" s="31"/>
      <c r="H1001" s="31"/>
      <c r="I1001" s="31">
        <f>VLOOKUP(H972,H996:I1000,2,FALSE)</f>
        <v>0</v>
      </c>
    </row>
    <row r="1002" spans="1:15" s="5" customFormat="1" x14ac:dyDescent="0.2">
      <c r="F1002" s="18"/>
    </row>
    <row r="1003" spans="1:15" s="5" customFormat="1" x14ac:dyDescent="0.2">
      <c r="E1003" s="28">
        <f>E884</f>
        <v>0</v>
      </c>
      <c r="F1003" s="29"/>
      <c r="G1003" s="28"/>
      <c r="H1003" s="28"/>
      <c r="I1003" s="28"/>
    </row>
    <row r="1004" spans="1:15" s="5" customFormat="1" x14ac:dyDescent="0.2">
      <c r="E1004" s="28"/>
      <c r="F1004" s="29"/>
      <c r="G1004" s="28"/>
      <c r="H1004" s="28"/>
      <c r="I1004" s="28"/>
      <c r="N1004" s="31"/>
      <c r="O1004" s="44" t="s">
        <v>8</v>
      </c>
    </row>
    <row r="1005" spans="1:15" s="5" customFormat="1" x14ac:dyDescent="0.2">
      <c r="E1005" s="28"/>
      <c r="F1005" s="29"/>
      <c r="G1005" s="28"/>
      <c r="H1005" s="28"/>
      <c r="I1005" s="28"/>
      <c r="N1005" s="31">
        <f>IF(AND(H972&gt;K1007, H972&lt;=M1007),H972,0)</f>
        <v>0</v>
      </c>
      <c r="O1005" s="31">
        <f>0+(30/100)*(-K1007+N1005)</f>
        <v>0</v>
      </c>
    </row>
    <row r="1006" spans="1:15" s="5" customFormat="1" x14ac:dyDescent="0.2">
      <c r="A1006" s="43" t="s">
        <v>22</v>
      </c>
      <c r="B1006" s="43"/>
      <c r="C1006" s="43"/>
      <c r="D1006" s="43"/>
      <c r="E1006" s="31"/>
      <c r="F1006" s="32"/>
      <c r="G1006" s="31"/>
      <c r="H1006" s="31"/>
      <c r="I1006" s="44" t="s">
        <v>7</v>
      </c>
      <c r="K1006" s="43" t="s">
        <v>23</v>
      </c>
      <c r="L1006" s="43"/>
      <c r="M1006" s="31"/>
      <c r="N1006" s="31">
        <f>IF(AND(H972&gt;K1008, H972&lt;=M1008),H972,0)</f>
        <v>0</v>
      </c>
      <c r="O1006" s="31">
        <f>(12500/100*30)+((35/100)*(-K1008+N1006))</f>
        <v>-625</v>
      </c>
    </row>
    <row r="1007" spans="1:15" s="5" customFormat="1" x14ac:dyDescent="0.2">
      <c r="A1007" s="31">
        <v>0</v>
      </c>
      <c r="B1007" s="31"/>
      <c r="C1007" s="31"/>
      <c r="D1007" s="31"/>
      <c r="E1007" s="31">
        <v>12500</v>
      </c>
      <c r="F1007" s="32"/>
      <c r="G1007" s="31"/>
      <c r="H1007" s="31">
        <f>IF(AND(H972&gt;A1007, H972&lt;=E1007),H972,0)</f>
        <v>0</v>
      </c>
      <c r="I1007" s="31">
        <f>0+(25/100)*(-A1007+H1007)</f>
        <v>0</v>
      </c>
      <c r="K1007" s="31">
        <v>0</v>
      </c>
      <c r="L1007" s="31"/>
      <c r="M1007" s="31">
        <v>12500</v>
      </c>
      <c r="N1007" s="31">
        <f>IF(AND(H972&gt;K1009, H972&lt;=M1009),H972,0)</f>
        <v>0</v>
      </c>
      <c r="O1007" s="31">
        <f>(12500/100*30)+(12500/100*35)+((60/100)*(-K1009+N1007))</f>
        <v>-6875</v>
      </c>
    </row>
    <row r="1008" spans="1:15" s="5" customFormat="1" x14ac:dyDescent="0.2">
      <c r="A1008" s="31">
        <f>E1007</f>
        <v>12500</v>
      </c>
      <c r="B1008" s="31"/>
      <c r="C1008" s="31"/>
      <c r="D1008" s="31"/>
      <c r="E1008" s="31">
        <v>25000</v>
      </c>
      <c r="F1008" s="32"/>
      <c r="G1008" s="31"/>
      <c r="H1008" s="31">
        <f>IF(AND(H972&gt;A1008, H972&lt;=E1008),H972,0)</f>
        <v>0</v>
      </c>
      <c r="I1008" s="31">
        <f>(12500/100*25)+((30/100)*(-A1008+H1008))</f>
        <v>-625</v>
      </c>
      <c r="K1008" s="31">
        <f>M1007</f>
        <v>12500</v>
      </c>
      <c r="L1008" s="31"/>
      <c r="M1008" s="31">
        <v>25000</v>
      </c>
      <c r="N1008" s="31">
        <f>IF(AND(H972&gt;K1010, H972&lt;=M1010),H972,0)</f>
        <v>0</v>
      </c>
      <c r="O1008" s="31">
        <f>(12500/100*30)+(12500/100*35)+(50000/100*60)+((80/100)*(-K1010+N1008))</f>
        <v>-21875</v>
      </c>
    </row>
    <row r="1009" spans="1:15" s="5" customFormat="1" x14ac:dyDescent="0.2">
      <c r="A1009" s="31">
        <f>E1008</f>
        <v>25000</v>
      </c>
      <c r="B1009" s="31"/>
      <c r="C1009" s="31"/>
      <c r="D1009" s="31"/>
      <c r="E1009" s="31">
        <v>75000</v>
      </c>
      <c r="F1009" s="32"/>
      <c r="G1009" s="31"/>
      <c r="H1009" s="31">
        <f>IF(AND(H972&gt;A1009, H972&lt;=E1009),H972,0)</f>
        <v>0</v>
      </c>
      <c r="I1009" s="31">
        <f>(12500/100*25)+(12500/100*30)+((40/100)*(-A1009+H1009))</f>
        <v>-3125</v>
      </c>
      <c r="K1009" s="31">
        <f>M1008</f>
        <v>25000</v>
      </c>
      <c r="L1009" s="31"/>
      <c r="M1009" s="31">
        <v>75000</v>
      </c>
      <c r="N1009" s="31">
        <f>IF(AND(H972&gt;K1011, H972&lt;=M1011),H972,0)</f>
        <v>0</v>
      </c>
      <c r="O1009" s="31">
        <f>(12500/100*30)+(12500/100*35)+(50000/100*60)+(100000/100*80)+((80/100)*(-K1011+N1009))</f>
        <v>-21875</v>
      </c>
    </row>
    <row r="1010" spans="1:15" s="5" customFormat="1" x14ac:dyDescent="0.2">
      <c r="A1010" s="31">
        <f>E1009</f>
        <v>75000</v>
      </c>
      <c r="B1010" s="31"/>
      <c r="C1010" s="31"/>
      <c r="D1010" s="31"/>
      <c r="E1010" s="31">
        <v>175000</v>
      </c>
      <c r="F1010" s="32"/>
      <c r="G1010" s="31"/>
      <c r="H1010" s="31">
        <f>IF(AND(H972&gt;A1010, H972&lt;=E1010),H972,0)</f>
        <v>0</v>
      </c>
      <c r="I1010" s="31">
        <f>(12500/100*25)+(12500/100*30)+(50000/100*40)+((55/100)*(-A1010+H1010))</f>
        <v>-14375</v>
      </c>
      <c r="K1010" s="31">
        <f>M1009</f>
        <v>75000</v>
      </c>
      <c r="L1010" s="31"/>
      <c r="M1010" s="31">
        <v>175000</v>
      </c>
      <c r="N1010" s="31"/>
      <c r="O1010" s="31">
        <f>VLOOKUP(H972,N1005:O1009,2,FALSE)</f>
        <v>0</v>
      </c>
    </row>
    <row r="1011" spans="1:15" s="5" customFormat="1" x14ac:dyDescent="0.2">
      <c r="A1011" s="31">
        <f>E1010</f>
        <v>175000</v>
      </c>
      <c r="B1011" s="31"/>
      <c r="C1011" s="31"/>
      <c r="D1011" s="31"/>
      <c r="E1011" s="31">
        <v>999999999</v>
      </c>
      <c r="F1011" s="32"/>
      <c r="G1011" s="31"/>
      <c r="H1011" s="31">
        <f>IF(AND(H972&gt;A1011, H972&lt;=E1011),H972,0)</f>
        <v>0</v>
      </c>
      <c r="I1011" s="31">
        <f>(12500/100*25)+(12500/100*30)+(50000/100*40)+(100000/100*55)+((70/100)*(-A1011+H1011))</f>
        <v>-40624.999999999985</v>
      </c>
      <c r="K1011" s="31">
        <f>M1010</f>
        <v>175000</v>
      </c>
      <c r="L1011" s="31"/>
      <c r="M1011" s="31">
        <v>999999999</v>
      </c>
    </row>
    <row r="1012" spans="1:15" s="5" customFormat="1" x14ac:dyDescent="0.2">
      <c r="A1012" s="45" t="s">
        <v>4</v>
      </c>
      <c r="B1012" s="45"/>
      <c r="C1012" s="45"/>
      <c r="D1012" s="45"/>
      <c r="E1012" s="31"/>
      <c r="F1012" s="32"/>
      <c r="G1012" s="31"/>
      <c r="H1012" s="31"/>
      <c r="I1012" s="31">
        <f>VLOOKUP(H972,H1007:I1011,2,FALSE)</f>
        <v>0</v>
      </c>
      <c r="K1012" s="45" t="s">
        <v>4</v>
      </c>
      <c r="L1012" s="45"/>
      <c r="M1012" s="31"/>
    </row>
    <row r="1013" spans="1:15" s="5" customFormat="1" x14ac:dyDescent="0.2">
      <c r="F1013" s="18"/>
    </row>
    <row r="1014" spans="1:15" s="5" customFormat="1" x14ac:dyDescent="0.2">
      <c r="E1014" s="5">
        <f>IF(A1015&gt;0,A1015-F1019,0)</f>
        <v>0</v>
      </c>
      <c r="F1014" s="18"/>
    </row>
    <row r="1015" spans="1:15" s="5" customFormat="1" x14ac:dyDescent="0.2">
      <c r="A1015" s="5">
        <f>IF(AND(DONBIW!E17="oui",DONBIW!F57="ligne directe"),I993,0)</f>
        <v>0</v>
      </c>
      <c r="E1015" s="5">
        <f>IF(E1014&gt;0,E1014,0)</f>
        <v>0</v>
      </c>
      <c r="F1015" s="5">
        <f>IF(AND(DONBIW!F57="ligne directe",H972&lt;=125000,DONBIW!E17="oui"),250,0)</f>
        <v>0</v>
      </c>
      <c r="G1015" s="5">
        <f>IF(AND(F1015&gt;0,(I993-F1015&gt;=0)),I993-F1015,0)</f>
        <v>0</v>
      </c>
    </row>
    <row r="1016" spans="1:15" s="5" customFormat="1" x14ac:dyDescent="0.2">
      <c r="A1016" s="5">
        <f>IF(AND(DONBIW!E17="oui",DONBIW!F57="épou(x)(se)"),I993,0)</f>
        <v>0</v>
      </c>
      <c r="E1016" s="5">
        <f>IF(A1016&gt;0,A1016-F1019,0)</f>
        <v>0</v>
      </c>
      <c r="F1016" s="5">
        <f>IF(AND(DONBIW!F57="ligne directe",H972&gt;125000,DONBIW!E17="oui"),125,0)</f>
        <v>0</v>
      </c>
      <c r="G1016" s="5">
        <f>IF(AND(F1016&gt;0,(I993-F1016&gt;=0)),I993-F1016,0)</f>
        <v>0</v>
      </c>
    </row>
    <row r="1017" spans="1:15" s="5" customFormat="1" x14ac:dyDescent="0.2">
      <c r="A1017" s="5">
        <f>IF(AND(DONBIW!E17="non",DONBIW!F57="ligne directe"),I984,0)</f>
        <v>0</v>
      </c>
      <c r="E1017" s="5">
        <f>IF(AND(DONBIW!E17="non",DONBIW!F57="ligne directe"),I984,0)</f>
        <v>0</v>
      </c>
      <c r="F1017" s="5">
        <f>IF(AND(DONBIW!F57="épou(x)(se)",H972&lt;=125000,DONBIW!E17="oui"),250,0)</f>
        <v>0</v>
      </c>
      <c r="G1017" s="5">
        <f>IF(AND(F1017&gt;0,(I993-F1017&gt;=0)),I993-F1017,0)</f>
        <v>0</v>
      </c>
    </row>
    <row r="1018" spans="1:15" s="5" customFormat="1" x14ac:dyDescent="0.2">
      <c r="A1018" s="5">
        <f>IF(AND(DONBIW!E17="non",DONBIW!F57="épou(x)(se)"),I984,0)</f>
        <v>0</v>
      </c>
      <c r="E1018" s="5">
        <f>IF(AND(DONBIW!E17="non",DONBIW!F57="épou(x)(se)"),I984,0)</f>
        <v>0</v>
      </c>
      <c r="F1018" s="5">
        <f>IF(AND(DONBIW!F57="épou(x)(se)",H972&gt;125000,DONBIW!E17="oui"),125,0)</f>
        <v>0</v>
      </c>
      <c r="G1018" s="5">
        <f>IF(AND(F1018&gt;0,(I993-F1018&gt;=0)),I993-F1018,0)</f>
        <v>0</v>
      </c>
    </row>
    <row r="1019" spans="1:15" s="5" customFormat="1" x14ac:dyDescent="0.2">
      <c r="A1019" s="5">
        <f>IF(DONBIW!F57="frère/soeur",I1001,0)</f>
        <v>0</v>
      </c>
      <c r="E1019" s="5">
        <f>IF(DONBIW!F57="frère/soeur",I1001,0)</f>
        <v>0</v>
      </c>
      <c r="F1019" s="5">
        <f>SUM(F1015:F1018)</f>
        <v>0</v>
      </c>
      <c r="G1019" s="5">
        <f>SUM(G1015:G1018)</f>
        <v>0</v>
      </c>
    </row>
    <row r="1020" spans="1:15" s="5" customFormat="1" x14ac:dyDescent="0.2">
      <c r="A1020" s="5">
        <f>IF(DONBIW!F57="oncle-tante/neveu-nièce",I1012,0)</f>
        <v>0</v>
      </c>
      <c r="E1020" s="5">
        <f>IF(DONBIW!F57="oncle-tante/neveu-nièce",I1012,0)</f>
        <v>0</v>
      </c>
    </row>
    <row r="1021" spans="1:15" s="5" customFormat="1" x14ac:dyDescent="0.2">
      <c r="A1021" s="5">
        <f>IF(DONBIW!F57="étrangers",O1010,0)</f>
        <v>0</v>
      </c>
      <c r="E1021" s="5">
        <f>IF(DONBIW!F57="étrangers",O1010,0)</f>
        <v>0</v>
      </c>
    </row>
    <row r="1022" spans="1:15" s="5" customFormat="1" x14ac:dyDescent="0.2"/>
    <row r="1023" spans="1:15" s="5" customFormat="1" x14ac:dyDescent="0.2">
      <c r="A1023" s="5">
        <f>SUM(A1015:A1022)</f>
        <v>0</v>
      </c>
      <c r="E1023" s="5">
        <f>SUM(E1015:E1022)</f>
        <v>0</v>
      </c>
    </row>
    <row r="1024" spans="1:15" s="5" customFormat="1" x14ac:dyDescent="0.2"/>
    <row r="1025" spans="1:11" s="5" customFormat="1" x14ac:dyDescent="0.2"/>
    <row r="1026" spans="1:11" s="5" customFormat="1" x14ac:dyDescent="0.2">
      <c r="A1026" s="5" t="s">
        <v>93</v>
      </c>
      <c r="E1026" s="5" t="s">
        <v>100</v>
      </c>
    </row>
    <row r="1027" spans="1:11" s="5" customFormat="1" x14ac:dyDescent="0.2"/>
    <row r="1028" spans="1:11" s="5" customFormat="1" x14ac:dyDescent="0.2">
      <c r="A1028" s="5" t="s">
        <v>93</v>
      </c>
      <c r="E1028" s="5">
        <f>IF(DONBIW!I57=3,E1023*12%,0)</f>
        <v>0</v>
      </c>
      <c r="F1028" s="5">
        <f>IF(E1028&gt;372,372,E1028)</f>
        <v>0</v>
      </c>
      <c r="H1028" s="5" t="s">
        <v>26</v>
      </c>
      <c r="I1028" s="5">
        <f>6%*E1023</f>
        <v>0</v>
      </c>
      <c r="J1028" s="5">
        <f>IF(I1028&gt;186,186,I1028)</f>
        <v>0</v>
      </c>
      <c r="K1028" s="5">
        <f>IF(DONBIW!I57=3,J1028,0)</f>
        <v>0</v>
      </c>
    </row>
    <row r="1029" spans="1:11" s="5" customFormat="1" x14ac:dyDescent="0.2">
      <c r="E1029" s="5">
        <f>IF(DONBIW!I57=4,E1023*16%,0)</f>
        <v>0</v>
      </c>
      <c r="F1029" s="5">
        <f>IF(E1029&gt;496,496,E1029)</f>
        <v>0</v>
      </c>
      <c r="H1029" s="5" t="s">
        <v>27</v>
      </c>
      <c r="I1029" s="5">
        <f>8%*E1023</f>
        <v>0</v>
      </c>
      <c r="J1029" s="5">
        <f>IF(I1029&gt;248,248,I1029)</f>
        <v>0</v>
      </c>
      <c r="K1029" s="5">
        <f>IF(DONBIW!I57=4,J1029,0)</f>
        <v>0</v>
      </c>
    </row>
    <row r="1030" spans="1:11" s="5" customFormat="1" x14ac:dyDescent="0.2">
      <c r="E1030" s="5">
        <f>IF(DONBIW!I57=5,E1023*20%,0)</f>
        <v>0</v>
      </c>
      <c r="F1030" s="5">
        <f>IF(E1030&gt;620,620,E1030)</f>
        <v>0</v>
      </c>
      <c r="I1030" s="5">
        <f>10%*E1023</f>
        <v>0</v>
      </c>
      <c r="J1030" s="5">
        <f>IF(I1030&gt;310,310,I1030)</f>
        <v>0</v>
      </c>
      <c r="K1030" s="5">
        <f>IF(DONBIW!I57=5,J1030,0)</f>
        <v>0</v>
      </c>
    </row>
    <row r="1031" spans="1:11" s="5" customFormat="1" x14ac:dyDescent="0.2">
      <c r="E1031" s="5">
        <f>IF(DONBIW!I57=6,E1023*24%,0)</f>
        <v>0</v>
      </c>
      <c r="F1031" s="5">
        <f>IF(E1031&gt;744,744,E1031)</f>
        <v>0</v>
      </c>
      <c r="I1031" s="5">
        <f>12%*E1023</f>
        <v>0</v>
      </c>
      <c r="J1031" s="5">
        <f>IF(I1031&gt;372,372,I1031)</f>
        <v>0</v>
      </c>
      <c r="K1031" s="5">
        <f>IF(DONBIW!I57=6,J1031,0)</f>
        <v>0</v>
      </c>
    </row>
    <row r="1032" spans="1:11" s="5" customFormat="1" x14ac:dyDescent="0.2">
      <c r="E1032" s="5">
        <f>IF(DONBIW!I57=7,E1023*28%,0)</f>
        <v>0</v>
      </c>
      <c r="F1032" s="5">
        <f>IF(E1032&gt;868,868,E1032)</f>
        <v>0</v>
      </c>
      <c r="I1032" s="5">
        <f>14%*E1023</f>
        <v>0</v>
      </c>
      <c r="J1032" s="5">
        <f>IF(I1032&gt;434,434,I1032)</f>
        <v>0</v>
      </c>
      <c r="K1032" s="5">
        <f>IF(DONBIW!I57=7,J1032,0)</f>
        <v>0</v>
      </c>
    </row>
    <row r="1033" spans="1:11" s="5" customFormat="1" x14ac:dyDescent="0.2">
      <c r="E1033" s="5">
        <f>IF(DONBIW!I57=8,E1023*32%,0)</f>
        <v>0</v>
      </c>
      <c r="F1033" s="5">
        <f>IF(E1033&gt;992,992,E1033)</f>
        <v>0</v>
      </c>
      <c r="I1033" s="5">
        <f>16%*E1023</f>
        <v>0</v>
      </c>
      <c r="J1033" s="5">
        <f>IF(I1033&gt;496,496,I1033)</f>
        <v>0</v>
      </c>
      <c r="K1033" s="5">
        <f>IF(DONBIW!I57=8,J1033,0)</f>
        <v>0</v>
      </c>
    </row>
    <row r="1034" spans="1:11" s="5" customFormat="1" x14ac:dyDescent="0.2">
      <c r="E1034" s="5">
        <f>IF(DONBIW!I57=9,E1023*36%,0)</f>
        <v>0</v>
      </c>
      <c r="F1034" s="5">
        <f>IF(E1034&gt;1116,1116,E1034)</f>
        <v>0</v>
      </c>
      <c r="I1034" s="5">
        <f>18%*E1023</f>
        <v>0</v>
      </c>
      <c r="J1034" s="5">
        <f>IF(I1034&gt;558,558,I1034)</f>
        <v>0</v>
      </c>
      <c r="K1034" s="5">
        <f>IF(DONBIW!I57=9,J1034,0)</f>
        <v>0</v>
      </c>
    </row>
    <row r="1035" spans="1:11" s="5" customFormat="1" x14ac:dyDescent="0.2">
      <c r="E1035" s="5">
        <f>IF(DONBIW!I57=10,E1023*40%,0)</f>
        <v>0</v>
      </c>
      <c r="F1035" s="5">
        <f>IF(E1035&gt;1240,1240,E1035)</f>
        <v>0</v>
      </c>
      <c r="I1035" s="5">
        <f>20%*E1023</f>
        <v>0</v>
      </c>
      <c r="J1035" s="5">
        <f>IF(I1035&gt;620,620,I1035)</f>
        <v>0</v>
      </c>
      <c r="K1035" s="5">
        <f>IF(DONBIW!I57=10,J1035,0)</f>
        <v>0</v>
      </c>
    </row>
    <row r="1036" spans="1:11" s="5" customFormat="1" x14ac:dyDescent="0.2"/>
    <row r="1037" spans="1:11" s="5" customFormat="1" x14ac:dyDescent="0.2">
      <c r="F1037" s="5">
        <f>SUM(F1028:F1036)</f>
        <v>0</v>
      </c>
      <c r="K1037" s="5">
        <f>SUM(K1028:K1036)</f>
        <v>0</v>
      </c>
    </row>
    <row r="1038" spans="1:11" s="5" customFormat="1" x14ac:dyDescent="0.2">
      <c r="F1038" s="18"/>
    </row>
    <row r="1039" spans="1:11" s="5" customFormat="1" x14ac:dyDescent="0.2">
      <c r="F1039" s="18"/>
    </row>
    <row r="1040" spans="1:11" s="5" customFormat="1" x14ac:dyDescent="0.2">
      <c r="F1040" s="18"/>
    </row>
    <row r="1041" spans="1:8" s="5" customFormat="1" x14ac:dyDescent="0.2">
      <c r="A1041" s="5" t="s">
        <v>33</v>
      </c>
      <c r="E1041" s="20">
        <f>E1023-F1037</f>
        <v>0</v>
      </c>
      <c r="F1041" s="18"/>
      <c r="G1041" s="5" t="s">
        <v>34</v>
      </c>
      <c r="H1041" s="47">
        <f>E1023-K1037</f>
        <v>0</v>
      </c>
    </row>
    <row r="1042" spans="1:8" s="5" customFormat="1" x14ac:dyDescent="0.2">
      <c r="F1042" s="18"/>
    </row>
    <row r="1043" spans="1:8" s="5" customFormat="1" x14ac:dyDescent="0.2">
      <c r="F1043" s="18"/>
    </row>
    <row r="1044" spans="1:8" s="5" customFormat="1" x14ac:dyDescent="0.2">
      <c r="F1044" s="18"/>
    </row>
    <row r="1045" spans="1:8" s="5" customFormat="1" x14ac:dyDescent="0.2">
      <c r="F1045" s="18"/>
    </row>
    <row r="1046" spans="1:8" s="5" customFormat="1" x14ac:dyDescent="0.2">
      <c r="F1046" s="18"/>
    </row>
    <row r="1047" spans="1:8" s="5" customFormat="1" x14ac:dyDescent="0.2">
      <c r="F1047" s="18"/>
    </row>
    <row r="1048" spans="1:8" s="5" customFormat="1" x14ac:dyDescent="0.2">
      <c r="F1048" s="18"/>
    </row>
    <row r="1049" spans="1:8" s="5" customFormat="1" x14ac:dyDescent="0.2">
      <c r="F1049" s="18"/>
    </row>
    <row r="1050" spans="1:8" s="5" customFormat="1" x14ac:dyDescent="0.2">
      <c r="F1050" s="18"/>
    </row>
    <row r="1051" spans="1:8" s="5" customFormat="1" x14ac:dyDescent="0.2">
      <c r="F1051" s="18"/>
    </row>
    <row r="1052" spans="1:8" s="5" customFormat="1" x14ac:dyDescent="0.2">
      <c r="F1052" s="18"/>
    </row>
    <row r="1053" spans="1:8" s="5" customFormat="1" x14ac:dyDescent="0.2">
      <c r="F1053" s="18"/>
    </row>
    <row r="1054" spans="1:8" s="5" customFormat="1" x14ac:dyDescent="0.2">
      <c r="F1054" s="18"/>
    </row>
    <row r="1055" spans="1:8" s="5" customFormat="1" x14ac:dyDescent="0.2">
      <c r="F1055" s="18"/>
    </row>
    <row r="1056" spans="1:8" s="5" customFormat="1" x14ac:dyDescent="0.2">
      <c r="F1056" s="18"/>
    </row>
    <row r="1057" spans="6:8" s="5" customFormat="1" x14ac:dyDescent="0.2">
      <c r="F1057" s="18"/>
    </row>
    <row r="1058" spans="6:8" s="5" customFormat="1" x14ac:dyDescent="0.2">
      <c r="F1058" s="18"/>
    </row>
    <row r="1059" spans="6:8" s="5" customFormat="1" x14ac:dyDescent="0.2">
      <c r="F1059" s="18"/>
    </row>
    <row r="1060" spans="6:8" s="5" customFormat="1" x14ac:dyDescent="0.2">
      <c r="F1060" s="18"/>
    </row>
    <row r="1061" spans="6:8" s="5" customFormat="1" x14ac:dyDescent="0.2">
      <c r="F1061" s="18"/>
    </row>
    <row r="1062" spans="6:8" s="5" customFormat="1" x14ac:dyDescent="0.2">
      <c r="F1062" s="18"/>
    </row>
    <row r="1063" spans="6:8" s="5" customFormat="1" x14ac:dyDescent="0.2">
      <c r="F1063" s="18"/>
    </row>
    <row r="1064" spans="6:8" s="5" customFormat="1" x14ac:dyDescent="0.2">
      <c r="F1064" s="18"/>
    </row>
    <row r="1065" spans="6:8" s="5" customFormat="1" x14ac:dyDescent="0.2">
      <c r="F1065" s="18"/>
    </row>
    <row r="1066" spans="6:8" s="5" customFormat="1" x14ac:dyDescent="0.2">
      <c r="F1066" s="18"/>
    </row>
    <row r="1067" spans="6:8" s="5" customFormat="1" x14ac:dyDescent="0.2">
      <c r="F1067" s="18"/>
    </row>
    <row r="1068" spans="6:8" s="5" customFormat="1" x14ac:dyDescent="0.2">
      <c r="F1068" s="18"/>
    </row>
    <row r="1069" spans="6:8" s="5" customFormat="1" x14ac:dyDescent="0.2">
      <c r="F1069" s="18"/>
    </row>
    <row r="1070" spans="6:8" s="5" customFormat="1" x14ac:dyDescent="0.2">
      <c r="F1070" s="18"/>
    </row>
    <row r="1071" spans="6:8" s="5" customFormat="1" x14ac:dyDescent="0.2">
      <c r="F1071" s="18"/>
    </row>
    <row r="1072" spans="6:8" s="5" customFormat="1" x14ac:dyDescent="0.2">
      <c r="F1072" s="18"/>
      <c r="H1072" s="28">
        <f>DONBIW!G64</f>
        <v>0</v>
      </c>
    </row>
    <row r="1073" spans="1:9" s="5" customFormat="1" x14ac:dyDescent="0.2">
      <c r="F1073" s="18"/>
    </row>
    <row r="1074" spans="1:9" s="5" customFormat="1" x14ac:dyDescent="0.2">
      <c r="A1074" s="43" t="s">
        <v>2</v>
      </c>
      <c r="B1074" s="43"/>
      <c r="C1074" s="43"/>
      <c r="D1074" s="43"/>
      <c r="E1074" s="31"/>
      <c r="F1074" s="32"/>
      <c r="G1074" s="31"/>
      <c r="H1074" s="31"/>
      <c r="I1074" s="44" t="s">
        <v>3</v>
      </c>
    </row>
    <row r="1075" spans="1:9" s="5" customFormat="1" x14ac:dyDescent="0.2">
      <c r="A1075" s="31">
        <v>0</v>
      </c>
      <c r="B1075" s="31"/>
      <c r="C1075" s="31"/>
      <c r="D1075" s="31"/>
      <c r="E1075" s="31">
        <v>12500</v>
      </c>
      <c r="F1075" s="32"/>
      <c r="G1075" s="31"/>
      <c r="H1075" s="31">
        <f>IF(AND(H1072&gt;A1075,H1072&lt;=E1075),H1072,0)</f>
        <v>0</v>
      </c>
      <c r="I1075" s="31">
        <f>0+(3/100)*(-A1075+H1075)</f>
        <v>0</v>
      </c>
    </row>
    <row r="1076" spans="1:9" s="5" customFormat="1" x14ac:dyDescent="0.2">
      <c r="A1076" s="31">
        <f t="shared" ref="A1076:A1083" si="8">E1075</f>
        <v>12500</v>
      </c>
      <c r="B1076" s="31"/>
      <c r="C1076" s="31"/>
      <c r="D1076" s="31"/>
      <c r="E1076" s="31">
        <v>25000</v>
      </c>
      <c r="F1076" s="32"/>
      <c r="G1076" s="31"/>
      <c r="H1076" s="31">
        <f>IF(AND(H1072&gt;A1076, H1072&lt;=E1076),H1072,0)</f>
        <v>0</v>
      </c>
      <c r="I1076" s="31">
        <f>(12500/100*3)+(4/100)*(-A1076+H1076)</f>
        <v>-125</v>
      </c>
    </row>
    <row r="1077" spans="1:9" s="5" customFormat="1" x14ac:dyDescent="0.2">
      <c r="A1077" s="31">
        <f t="shared" si="8"/>
        <v>25000</v>
      </c>
      <c r="B1077" s="31"/>
      <c r="C1077" s="31"/>
      <c r="D1077" s="31"/>
      <c r="E1077" s="31">
        <v>50000</v>
      </c>
      <c r="F1077" s="32"/>
      <c r="G1077" s="31"/>
      <c r="H1077" s="31">
        <f>IF(AND(H1072&gt;A1077, H1072&lt;=E1077),H1072,0)</f>
        <v>0</v>
      </c>
      <c r="I1077" s="31">
        <f>(12500/100*3)+(12500/100*4)+((5/100)*(-A1077+H1077))</f>
        <v>-375</v>
      </c>
    </row>
    <row r="1078" spans="1:9" s="5" customFormat="1" x14ac:dyDescent="0.2">
      <c r="A1078" s="31">
        <f t="shared" si="8"/>
        <v>50000</v>
      </c>
      <c r="B1078" s="31"/>
      <c r="C1078" s="31"/>
      <c r="D1078" s="31"/>
      <c r="E1078" s="31">
        <v>100000</v>
      </c>
      <c r="F1078" s="32"/>
      <c r="G1078" s="31"/>
      <c r="H1078" s="31">
        <f>IF(AND(H1072&gt;A1078, H1072&lt;=E1078),H1072,0)</f>
        <v>0</v>
      </c>
      <c r="I1078" s="31">
        <f>(12500/100*3)+(12500/100*4)+(25000/100*5)+((7/100)*(-A1078+H1078))</f>
        <v>-1375.0000000000005</v>
      </c>
    </row>
    <row r="1079" spans="1:9" s="5" customFormat="1" x14ac:dyDescent="0.2">
      <c r="A1079" s="31">
        <f t="shared" si="8"/>
        <v>100000</v>
      </c>
      <c r="B1079" s="31"/>
      <c r="C1079" s="31"/>
      <c r="D1079" s="31"/>
      <c r="E1079" s="31">
        <v>150000</v>
      </c>
      <c r="F1079" s="32"/>
      <c r="G1079" s="31"/>
      <c r="H1079" s="31">
        <f>IF(AND(H1072&gt;A1079, H1072&lt;=E1079),H1072,0)</f>
        <v>0</v>
      </c>
      <c r="I1079" s="31">
        <f>(12500/100*3)+(12500/100*4)+(25000/100*5)+(50000/100*7)+((10/100)*(-A1079+H1079))</f>
        <v>-4375</v>
      </c>
    </row>
    <row r="1080" spans="1:9" s="5" customFormat="1" x14ac:dyDescent="0.2">
      <c r="A1080" s="31">
        <f t="shared" si="8"/>
        <v>150000</v>
      </c>
      <c r="B1080" s="31"/>
      <c r="C1080" s="31"/>
      <c r="D1080" s="31"/>
      <c r="E1080" s="31">
        <v>200000</v>
      </c>
      <c r="F1080" s="32"/>
      <c r="G1080" s="31"/>
      <c r="H1080" s="31">
        <f>IF(AND(H1072&gt;A1080, H1072&lt;=E1080),H1072,0)</f>
        <v>0</v>
      </c>
      <c r="I1080" s="31">
        <f>(12500/100*3)+(12500/100*4)+(25000/100*5)+(50000/100*7)+(50000/100*10)+((14/100)*(-A1080+H1080))</f>
        <v>-10375.000000000004</v>
      </c>
    </row>
    <row r="1081" spans="1:9" s="5" customFormat="1" x14ac:dyDescent="0.2">
      <c r="A1081" s="31">
        <f t="shared" si="8"/>
        <v>200000</v>
      </c>
      <c r="B1081" s="31"/>
      <c r="C1081" s="31"/>
      <c r="D1081" s="31"/>
      <c r="E1081" s="31">
        <v>250000</v>
      </c>
      <c r="F1081" s="32"/>
      <c r="G1081" s="31"/>
      <c r="H1081" s="31">
        <f>IF(AND(H1072&gt;A1081, H1072&lt;=E1081),H1072,0)</f>
        <v>0</v>
      </c>
      <c r="I1081" s="31">
        <f>(12500/100*3)+(12500/100*4)+(25000/100*5)+(50000/100*7)+(50000/100*10)+(50000/100*14)+((18/100)*(-A1081+H1081))</f>
        <v>-18375</v>
      </c>
    </row>
    <row r="1082" spans="1:9" s="5" customFormat="1" x14ac:dyDescent="0.2">
      <c r="A1082" s="31">
        <f t="shared" si="8"/>
        <v>250000</v>
      </c>
      <c r="B1082" s="31"/>
      <c r="C1082" s="31"/>
      <c r="D1082" s="31"/>
      <c r="E1082" s="31">
        <v>500000</v>
      </c>
      <c r="F1082" s="32"/>
      <c r="G1082" s="31"/>
      <c r="H1082" s="31">
        <f>IF(AND(H1072&gt;A1082, H1072&lt;=E1082),H1072,0)</f>
        <v>0</v>
      </c>
      <c r="I1082" s="31">
        <f>(12500/100*3)+(12500/100*4)+(25000/100*5)+(50000/100*7)+(50000/100*10)+(50000/100*14)+(50000/100*18)+((24/100)*(-A1082+H1082))</f>
        <v>-33375</v>
      </c>
    </row>
    <row r="1083" spans="1:9" s="5" customFormat="1" x14ac:dyDescent="0.2">
      <c r="A1083" s="31">
        <f t="shared" si="8"/>
        <v>500000</v>
      </c>
      <c r="B1083" s="31"/>
      <c r="C1083" s="31"/>
      <c r="D1083" s="31"/>
      <c r="E1083" s="31">
        <v>999999999</v>
      </c>
      <c r="F1083" s="32"/>
      <c r="G1083" s="31"/>
      <c r="H1083" s="31">
        <f>IF(AND(H1072&gt;A1083, H1072&lt;=E1083),H1072,0)</f>
        <v>0</v>
      </c>
      <c r="I1083" s="31">
        <f>(12500/100*3)+(12500/100*4)+(25000/100*5)+(50000/100*7)+(50000/100*10)+(50000/100*14)+(50000/100*18)+(250000/100*24)+((30/100)*(-A1083+H1083))</f>
        <v>-63375</v>
      </c>
    </row>
    <row r="1084" spans="1:9" s="5" customFormat="1" x14ac:dyDescent="0.2">
      <c r="A1084" s="45" t="s">
        <v>4</v>
      </c>
      <c r="B1084" s="45"/>
      <c r="C1084" s="45"/>
      <c r="D1084" s="45"/>
      <c r="E1084" s="31"/>
      <c r="F1084" s="32"/>
      <c r="G1084" s="31"/>
      <c r="H1084" s="31"/>
      <c r="I1084" s="31">
        <f>VLOOKUP(H1072,H1075:I1083,2,FALSE)</f>
        <v>0</v>
      </c>
    </row>
    <row r="1085" spans="1:9" s="5" customFormat="1" x14ac:dyDescent="0.2">
      <c r="A1085" s="45"/>
      <c r="B1085" s="45"/>
      <c r="C1085" s="45"/>
      <c r="D1085" s="45"/>
      <c r="E1085" s="31"/>
      <c r="F1085" s="32"/>
      <c r="G1085" s="31"/>
      <c r="H1085" s="31"/>
      <c r="I1085" s="31"/>
    </row>
    <row r="1086" spans="1:9" s="5" customFormat="1" x14ac:dyDescent="0.2">
      <c r="A1086" s="46" t="s">
        <v>24</v>
      </c>
      <c r="B1086" s="46"/>
      <c r="C1086" s="46"/>
      <c r="D1086" s="46"/>
      <c r="E1086" s="31"/>
      <c r="F1086" s="32"/>
      <c r="G1086" s="31"/>
      <c r="H1086" s="31"/>
      <c r="I1086" s="44" t="s">
        <v>25</v>
      </c>
    </row>
    <row r="1087" spans="1:9" s="5" customFormat="1" x14ac:dyDescent="0.2">
      <c r="A1087" s="31">
        <v>0</v>
      </c>
      <c r="B1087" s="31"/>
      <c r="C1087" s="31"/>
      <c r="D1087" s="31"/>
      <c r="E1087" s="31">
        <v>25000</v>
      </c>
      <c r="F1087" s="32"/>
      <c r="G1087" s="31"/>
      <c r="H1087" s="31">
        <f>IF(AND(H1072&gt;A1087, H1072&lt;=E1087),H1072,0)</f>
        <v>0</v>
      </c>
      <c r="I1087" s="31">
        <f>0+(1/100)*(-A1087+H1087)</f>
        <v>0</v>
      </c>
    </row>
    <row r="1088" spans="1:9" s="5" customFormat="1" x14ac:dyDescent="0.2">
      <c r="A1088" s="31">
        <f>E1087</f>
        <v>25000</v>
      </c>
      <c r="B1088" s="31"/>
      <c r="C1088" s="31"/>
      <c r="D1088" s="31"/>
      <c r="E1088" s="31">
        <v>50000</v>
      </c>
      <c r="F1088" s="32"/>
      <c r="G1088" s="31"/>
      <c r="H1088" s="31">
        <f>IF(AND(H1072&gt;A1088, H1072&lt;=E1088),H1072,0)</f>
        <v>0</v>
      </c>
      <c r="I1088" s="31">
        <f>(25000/100*1)+(2/100)*(-A1088+H1088)</f>
        <v>-250</v>
      </c>
    </row>
    <row r="1089" spans="1:15" s="5" customFormat="1" x14ac:dyDescent="0.2">
      <c r="A1089" s="31">
        <f>E1088</f>
        <v>50000</v>
      </c>
      <c r="B1089" s="31"/>
      <c r="C1089" s="31"/>
      <c r="D1089" s="31"/>
      <c r="E1089" s="31">
        <v>175000</v>
      </c>
      <c r="F1089" s="32"/>
      <c r="G1089" s="31"/>
      <c r="H1089" s="31">
        <f>IF(AND(H1072&gt;A1089, H1072&lt;=E1089),H1072,0)</f>
        <v>0</v>
      </c>
      <c r="I1089" s="31">
        <f>(25000/100*1)+(25000/100*2)+((5/100)*(-A1089+H1089))</f>
        <v>-1750</v>
      </c>
    </row>
    <row r="1090" spans="1:15" s="5" customFormat="1" x14ac:dyDescent="0.2">
      <c r="A1090" s="31">
        <f>E1089</f>
        <v>175000</v>
      </c>
      <c r="B1090" s="31"/>
      <c r="C1090" s="31"/>
      <c r="D1090" s="31"/>
      <c r="E1090" s="31">
        <v>250000</v>
      </c>
      <c r="F1090" s="32"/>
      <c r="G1090" s="31"/>
      <c r="H1090" s="31">
        <f>IF(AND(H1072&gt;A1090, H1072&lt;=E1090),H1072,0)</f>
        <v>0</v>
      </c>
      <c r="I1090" s="31">
        <f>(25000/100*1)+(25000/100*2)+(125000/100*5)+((12/100)*(-A1090+H1090))</f>
        <v>-14000</v>
      </c>
    </row>
    <row r="1091" spans="1:15" s="5" customFormat="1" x14ac:dyDescent="0.2">
      <c r="A1091" s="31">
        <f>E1090</f>
        <v>250000</v>
      </c>
      <c r="B1091" s="31"/>
      <c r="C1091" s="31"/>
      <c r="D1091" s="31"/>
      <c r="E1091" s="31">
        <v>500000</v>
      </c>
      <c r="F1091" s="32"/>
      <c r="G1091" s="31"/>
      <c r="H1091" s="31">
        <f>IF(AND(H1072&gt;A1091, H1072&lt;=E1091),H1072,0)</f>
        <v>0</v>
      </c>
      <c r="I1091" s="31">
        <f>(25000/100*1)+(25000/100*2)+(125000/100*5)+(75000/100*12)+((24/100)*(-A1091+H1091))</f>
        <v>-44000</v>
      </c>
    </row>
    <row r="1092" spans="1:15" s="5" customFormat="1" x14ac:dyDescent="0.2">
      <c r="A1092" s="31">
        <f>E1091</f>
        <v>500000</v>
      </c>
      <c r="B1092" s="31"/>
      <c r="C1092" s="31"/>
      <c r="D1092" s="31"/>
      <c r="E1092" s="31">
        <v>999999999</v>
      </c>
      <c r="F1092" s="32"/>
      <c r="G1092" s="31"/>
      <c r="H1092" s="31">
        <f>IF(AND(H1072&gt;A1092, H1072&lt;=E1092),H1072,0)</f>
        <v>0</v>
      </c>
      <c r="I1092" s="31">
        <f>(25000/100*1)+(25000/100*2)+(125000/100*5)+(75000/100*12)+(250000/100*24)+((30/100)*(-A1092+H1092))</f>
        <v>-74000</v>
      </c>
    </row>
    <row r="1093" spans="1:15" s="5" customFormat="1" x14ac:dyDescent="0.2">
      <c r="A1093" s="45" t="s">
        <v>4</v>
      </c>
      <c r="B1093" s="45"/>
      <c r="C1093" s="45"/>
      <c r="D1093" s="45"/>
      <c r="E1093" s="31"/>
      <c r="F1093" s="32"/>
      <c r="G1093" s="31"/>
      <c r="H1093" s="31"/>
      <c r="I1093" s="31">
        <f>VLOOKUP(H1072,H1087:I1092,2,FALSE)</f>
        <v>0</v>
      </c>
    </row>
    <row r="1094" spans="1:15" s="5" customFormat="1" x14ac:dyDescent="0.2">
      <c r="A1094" s="45"/>
      <c r="B1094" s="45"/>
      <c r="C1094" s="45"/>
      <c r="D1094" s="45"/>
      <c r="E1094" s="31"/>
      <c r="F1094" s="32"/>
      <c r="G1094" s="31"/>
      <c r="H1094" s="31"/>
      <c r="I1094" s="31"/>
    </row>
    <row r="1095" spans="1:15" s="5" customFormat="1" x14ac:dyDescent="0.2">
      <c r="A1095" s="43" t="s">
        <v>5</v>
      </c>
      <c r="B1095" s="43"/>
      <c r="C1095" s="43"/>
      <c r="D1095" s="43"/>
      <c r="E1095" s="31"/>
      <c r="F1095" s="32"/>
      <c r="G1095" s="31"/>
      <c r="H1095" s="31"/>
      <c r="I1095" s="44" t="s">
        <v>6</v>
      </c>
    </row>
    <row r="1096" spans="1:15" s="5" customFormat="1" x14ac:dyDescent="0.2">
      <c r="A1096" s="31">
        <v>0</v>
      </c>
      <c r="B1096" s="31"/>
      <c r="C1096" s="31"/>
      <c r="D1096" s="31"/>
      <c r="E1096" s="31">
        <v>12500</v>
      </c>
      <c r="F1096" s="32"/>
      <c r="G1096" s="31"/>
      <c r="H1096" s="31">
        <f>IF(AND(H1072&gt;A1096, H1072&lt;=E1096),H1072,0)</f>
        <v>0</v>
      </c>
      <c r="I1096" s="31">
        <f>0+(20/100)*(-A1096+H1096)</f>
        <v>0</v>
      </c>
    </row>
    <row r="1097" spans="1:15" s="5" customFormat="1" x14ac:dyDescent="0.2">
      <c r="A1097" s="31">
        <f>E1096</f>
        <v>12500</v>
      </c>
      <c r="B1097" s="31"/>
      <c r="C1097" s="31"/>
      <c r="D1097" s="31"/>
      <c r="E1097" s="31">
        <v>25000</v>
      </c>
      <c r="F1097" s="32"/>
      <c r="G1097" s="31"/>
      <c r="H1097" s="31">
        <f>IF(AND(H1072&gt;A1097, H1072&lt;=E1097),H1072,0)</f>
        <v>0</v>
      </c>
      <c r="I1097" s="31">
        <f>(12500/100*20)+((25/100)*(-A1097+H1097))</f>
        <v>-625</v>
      </c>
    </row>
    <row r="1098" spans="1:15" s="5" customFormat="1" x14ac:dyDescent="0.2">
      <c r="A1098" s="31">
        <f>E1097</f>
        <v>25000</v>
      </c>
      <c r="B1098" s="31"/>
      <c r="C1098" s="31"/>
      <c r="D1098" s="31"/>
      <c r="E1098" s="31">
        <v>75000</v>
      </c>
      <c r="F1098" s="32"/>
      <c r="G1098" s="31"/>
      <c r="H1098" s="31">
        <f>IF(AND(H1072&gt;A1098, H1072&lt;=E1098),H1072,0)</f>
        <v>0</v>
      </c>
      <c r="I1098" s="31">
        <f>(12500/100*20)+(12500/100*25)+((35/100)*(-A1098+H1098))</f>
        <v>-3125</v>
      </c>
    </row>
    <row r="1099" spans="1:15" s="5" customFormat="1" x14ac:dyDescent="0.2">
      <c r="A1099" s="31">
        <f>E1098</f>
        <v>75000</v>
      </c>
      <c r="B1099" s="31"/>
      <c r="C1099" s="31"/>
      <c r="D1099" s="31"/>
      <c r="E1099" s="31">
        <v>175000</v>
      </c>
      <c r="F1099" s="32"/>
      <c r="G1099" s="31"/>
      <c r="H1099" s="31">
        <f>IF(AND(H1072&gt;A1099, H1072&lt;=E1099),H1072,0)</f>
        <v>0</v>
      </c>
      <c r="I1099" s="31">
        <f>(12500/100*20)+(12500/100*25)+(50000/100*35)+((50/100)*(-A1099+H1099))</f>
        <v>-14375</v>
      </c>
    </row>
    <row r="1100" spans="1:15" s="5" customFormat="1" x14ac:dyDescent="0.2">
      <c r="A1100" s="31">
        <f>E1099</f>
        <v>175000</v>
      </c>
      <c r="B1100" s="31"/>
      <c r="C1100" s="31"/>
      <c r="D1100" s="31"/>
      <c r="E1100" s="31">
        <v>999999999</v>
      </c>
      <c r="F1100" s="32"/>
      <c r="G1100" s="31"/>
      <c r="H1100" s="31">
        <f>IF(AND(H1072&gt;A1100, H1072&lt;=E1100),H1072,0)</f>
        <v>0</v>
      </c>
      <c r="I1100" s="31">
        <f>(12500/100*20)+(12500/100*25)+(50000/100*35)+(100000/100*50)+((65/100)*(-A1100+H1100))</f>
        <v>-40625</v>
      </c>
    </row>
    <row r="1101" spans="1:15" s="5" customFormat="1" x14ac:dyDescent="0.2">
      <c r="A1101" s="45" t="s">
        <v>4</v>
      </c>
      <c r="B1101" s="45"/>
      <c r="C1101" s="45"/>
      <c r="D1101" s="45"/>
      <c r="E1101" s="31"/>
      <c r="F1101" s="32"/>
      <c r="G1101" s="31"/>
      <c r="H1101" s="31"/>
      <c r="I1101" s="31">
        <f>VLOOKUP(H1072,H1096:I1100,2,FALSE)</f>
        <v>0</v>
      </c>
    </row>
    <row r="1102" spans="1:15" s="5" customFormat="1" x14ac:dyDescent="0.2">
      <c r="F1102" s="18"/>
    </row>
    <row r="1103" spans="1:15" s="5" customFormat="1" x14ac:dyDescent="0.2">
      <c r="E1103" s="28">
        <f>E984</f>
        <v>0</v>
      </c>
      <c r="F1103" s="29"/>
      <c r="G1103" s="28"/>
      <c r="H1103" s="28"/>
      <c r="I1103" s="28"/>
    </row>
    <row r="1104" spans="1:15" s="5" customFormat="1" x14ac:dyDescent="0.2">
      <c r="E1104" s="28"/>
      <c r="F1104" s="29"/>
      <c r="G1104" s="28"/>
      <c r="H1104" s="28"/>
      <c r="I1104" s="28"/>
      <c r="N1104" s="31"/>
      <c r="O1104" s="44" t="s">
        <v>8</v>
      </c>
    </row>
    <row r="1105" spans="1:15" s="5" customFormat="1" x14ac:dyDescent="0.2">
      <c r="E1105" s="28"/>
      <c r="F1105" s="29"/>
      <c r="G1105" s="28"/>
      <c r="H1105" s="28"/>
      <c r="I1105" s="28"/>
      <c r="N1105" s="31">
        <f>IF(AND(H1072&gt;K1107, H1072&lt;=M1107),H1072,0)</f>
        <v>0</v>
      </c>
      <c r="O1105" s="31">
        <f>0+(30/100)*(-K1107+N1105)</f>
        <v>0</v>
      </c>
    </row>
    <row r="1106" spans="1:15" s="5" customFormat="1" x14ac:dyDescent="0.2">
      <c r="A1106" s="43" t="s">
        <v>22</v>
      </c>
      <c r="B1106" s="43"/>
      <c r="C1106" s="43"/>
      <c r="D1106" s="43"/>
      <c r="E1106" s="31"/>
      <c r="F1106" s="32"/>
      <c r="G1106" s="31"/>
      <c r="H1106" s="31"/>
      <c r="I1106" s="44" t="s">
        <v>7</v>
      </c>
      <c r="K1106" s="43" t="s">
        <v>23</v>
      </c>
      <c r="L1106" s="43"/>
      <c r="M1106" s="31"/>
      <c r="N1106" s="31">
        <f>IF(AND(H1072&gt;K1108, H1072&lt;=M1108),H1072,0)</f>
        <v>0</v>
      </c>
      <c r="O1106" s="31">
        <f>(12500/100*30)+((35/100)*(-K1108+N1106))</f>
        <v>-625</v>
      </c>
    </row>
    <row r="1107" spans="1:15" s="5" customFormat="1" x14ac:dyDescent="0.2">
      <c r="A1107" s="31">
        <v>0</v>
      </c>
      <c r="B1107" s="31"/>
      <c r="C1107" s="31"/>
      <c r="D1107" s="31"/>
      <c r="E1107" s="31">
        <v>12500</v>
      </c>
      <c r="F1107" s="32"/>
      <c r="G1107" s="31"/>
      <c r="H1107" s="31">
        <f>IF(AND(H1072&gt;A1107, H1072&lt;=E1107),H1072,0)</f>
        <v>0</v>
      </c>
      <c r="I1107" s="31">
        <f>0+(25/100)*(-A1107+H1107)</f>
        <v>0</v>
      </c>
      <c r="K1107" s="31">
        <v>0</v>
      </c>
      <c r="L1107" s="31"/>
      <c r="M1107" s="31">
        <v>12500</v>
      </c>
      <c r="N1107" s="31">
        <f>IF(AND(H1072&gt;K1109, H1072&lt;=M1109),H1072,0)</f>
        <v>0</v>
      </c>
      <c r="O1107" s="31">
        <f>(12500/100*30)+(12500/100*35)+((60/100)*(-K1109+N1107))</f>
        <v>-6875</v>
      </c>
    </row>
    <row r="1108" spans="1:15" s="5" customFormat="1" x14ac:dyDescent="0.2">
      <c r="A1108" s="31">
        <f>E1107</f>
        <v>12500</v>
      </c>
      <c r="B1108" s="31"/>
      <c r="C1108" s="31"/>
      <c r="D1108" s="31"/>
      <c r="E1108" s="31">
        <v>25000</v>
      </c>
      <c r="F1108" s="32"/>
      <c r="G1108" s="31"/>
      <c r="H1108" s="31">
        <f>IF(AND(H1072&gt;A1108, H1072&lt;=E1108),H1072,0)</f>
        <v>0</v>
      </c>
      <c r="I1108" s="31">
        <f>(12500/100*25)+((30/100)*(-A1108+H1108))</f>
        <v>-625</v>
      </c>
      <c r="K1108" s="31">
        <f>M1107</f>
        <v>12500</v>
      </c>
      <c r="L1108" s="31"/>
      <c r="M1108" s="31">
        <v>25000</v>
      </c>
      <c r="N1108" s="31">
        <f>IF(AND(H1072&gt;K1110, H1072&lt;=M1110),H1072,0)</f>
        <v>0</v>
      </c>
      <c r="O1108" s="31">
        <f>(12500/100*30)+(12500/100*35)+(50000/100*60)+((80/100)*(-K1110+N1108))</f>
        <v>-21875</v>
      </c>
    </row>
    <row r="1109" spans="1:15" s="5" customFormat="1" x14ac:dyDescent="0.2">
      <c r="A1109" s="31">
        <f>E1108</f>
        <v>25000</v>
      </c>
      <c r="B1109" s="31"/>
      <c r="C1109" s="31"/>
      <c r="D1109" s="31"/>
      <c r="E1109" s="31">
        <v>75000</v>
      </c>
      <c r="F1109" s="32"/>
      <c r="G1109" s="31"/>
      <c r="H1109" s="31">
        <f>IF(AND(H1072&gt;A1109, H1072&lt;=E1109),H1072,0)</f>
        <v>0</v>
      </c>
      <c r="I1109" s="31">
        <f>(12500/100*25)+(12500/100*30)+((40/100)*(-A1109+H1109))</f>
        <v>-3125</v>
      </c>
      <c r="K1109" s="31">
        <f>M1108</f>
        <v>25000</v>
      </c>
      <c r="L1109" s="31"/>
      <c r="M1109" s="31">
        <v>75000</v>
      </c>
      <c r="N1109" s="31">
        <f>IF(AND(H1072&gt;K1111, H1072&lt;=M1111),H1072,0)</f>
        <v>0</v>
      </c>
      <c r="O1109" s="31">
        <f>(12500/100*30)+(12500/100*35)+(50000/100*60)+(100000/100*80)+((80/100)*(-K1111+N1109))</f>
        <v>-21875</v>
      </c>
    </row>
    <row r="1110" spans="1:15" s="5" customFormat="1" x14ac:dyDescent="0.2">
      <c r="A1110" s="31">
        <f>E1109</f>
        <v>75000</v>
      </c>
      <c r="B1110" s="31"/>
      <c r="C1110" s="31"/>
      <c r="D1110" s="31"/>
      <c r="E1110" s="31">
        <v>175000</v>
      </c>
      <c r="F1110" s="32"/>
      <c r="G1110" s="31"/>
      <c r="H1110" s="31">
        <f>IF(AND(H1072&gt;A1110, H1072&lt;=E1110),H1072,0)</f>
        <v>0</v>
      </c>
      <c r="I1110" s="31">
        <f>(12500/100*25)+(12500/100*30)+(50000/100*40)+((55/100)*(-A1110+H1110))</f>
        <v>-14375</v>
      </c>
      <c r="K1110" s="31">
        <f>M1109</f>
        <v>75000</v>
      </c>
      <c r="L1110" s="31"/>
      <c r="M1110" s="31">
        <v>175000</v>
      </c>
      <c r="N1110" s="31"/>
      <c r="O1110" s="31">
        <f>VLOOKUP(H1072,N1105:O1109,2,FALSE)</f>
        <v>0</v>
      </c>
    </row>
    <row r="1111" spans="1:15" s="5" customFormat="1" x14ac:dyDescent="0.2">
      <c r="A1111" s="31">
        <f>E1110</f>
        <v>175000</v>
      </c>
      <c r="B1111" s="31"/>
      <c r="C1111" s="31"/>
      <c r="D1111" s="31"/>
      <c r="E1111" s="31">
        <v>999999999</v>
      </c>
      <c r="F1111" s="32"/>
      <c r="G1111" s="31"/>
      <c r="H1111" s="31">
        <f>IF(AND(H1072&gt;A1111, H1072&lt;=E1111),H1072,0)</f>
        <v>0</v>
      </c>
      <c r="I1111" s="31">
        <f>(12500/100*25)+(12500/100*30)+(50000/100*40)+(100000/100*55)+((70/100)*(-A1111+H1111))</f>
        <v>-40624.999999999985</v>
      </c>
      <c r="K1111" s="31">
        <f>M1110</f>
        <v>175000</v>
      </c>
      <c r="L1111" s="31"/>
      <c r="M1111" s="31">
        <v>999999999</v>
      </c>
    </row>
    <row r="1112" spans="1:15" s="5" customFormat="1" x14ac:dyDescent="0.2">
      <c r="A1112" s="45" t="s">
        <v>4</v>
      </c>
      <c r="B1112" s="45"/>
      <c r="C1112" s="45"/>
      <c r="D1112" s="45"/>
      <c r="E1112" s="31"/>
      <c r="F1112" s="32"/>
      <c r="G1112" s="31"/>
      <c r="H1112" s="31"/>
      <c r="I1112" s="31">
        <f>VLOOKUP(H1072,H1107:I1111,2,FALSE)</f>
        <v>0</v>
      </c>
      <c r="K1112" s="45" t="s">
        <v>4</v>
      </c>
      <c r="L1112" s="45"/>
      <c r="M1112" s="31"/>
    </row>
    <row r="1113" spans="1:15" s="5" customFormat="1" x14ac:dyDescent="0.2">
      <c r="F1113" s="18"/>
    </row>
    <row r="1114" spans="1:15" s="5" customFormat="1" x14ac:dyDescent="0.2">
      <c r="E1114" s="5">
        <f>IF(A1115&gt;0,A1115-F1119,0)</f>
        <v>0</v>
      </c>
      <c r="F1114" s="18"/>
    </row>
    <row r="1115" spans="1:15" s="5" customFormat="1" x14ac:dyDescent="0.2">
      <c r="A1115" s="5">
        <f>IF(AND(DONBIW!E17="oui",DONBIW!F62="ligne directe"),I1093,0)</f>
        <v>0</v>
      </c>
      <c r="E1115" s="5">
        <f>IF(E1114&gt;0,E1114,0)</f>
        <v>0</v>
      </c>
      <c r="F1115" s="5">
        <f>IF(AND(DONBIW!F62="ligne directe",H1072&lt;=125000,DONBIW!E17="oui"),250,0)</f>
        <v>0</v>
      </c>
      <c r="G1115" s="5">
        <f>IF(AND(F1115&gt;0,(I1093-F1115&gt;=0)),I1093-F1115,0)</f>
        <v>0</v>
      </c>
    </row>
    <row r="1116" spans="1:15" s="5" customFormat="1" x14ac:dyDescent="0.2">
      <c r="A1116" s="5">
        <f>IF(AND(DONBIW!E17="oui",DONBIW!F62="épou(x)(se)"),I1093,0)</f>
        <v>0</v>
      </c>
      <c r="E1116" s="5">
        <f>IF(A1116&gt;0,A1116-F1119,0)</f>
        <v>0</v>
      </c>
      <c r="F1116" s="5">
        <f>IF(AND(DONBIW!F62="ligne directe",H1072&gt;125000,DONBIW!E17="oui"),125,0)</f>
        <v>0</v>
      </c>
      <c r="G1116" s="5">
        <f>IF(AND(F1116&gt;0,(I1093-F1116&gt;=0)),I1093-F1116,0)</f>
        <v>0</v>
      </c>
    </row>
    <row r="1117" spans="1:15" s="5" customFormat="1" x14ac:dyDescent="0.2">
      <c r="A1117" s="5">
        <f>IF(AND(DONBIW!E17="non",DONBIW!F62="ligne directe"),I1084,0)</f>
        <v>0</v>
      </c>
      <c r="E1117" s="5">
        <f>IF(AND(DONBIW!E17="non",DONBIW!F62="ligne directe"),I1084,0)</f>
        <v>0</v>
      </c>
      <c r="F1117" s="5">
        <f>IF(AND(DONBIW!F62="épou(x)(se)",H1072&lt;=125000,DONBIW!E17="oui"),250,0)</f>
        <v>0</v>
      </c>
      <c r="G1117" s="5">
        <f>IF(AND(F1117&gt;0,(I1093-F1117&gt;=0)),I1093-F1117,0)</f>
        <v>0</v>
      </c>
    </row>
    <row r="1118" spans="1:15" s="5" customFormat="1" x14ac:dyDescent="0.2">
      <c r="A1118" s="5">
        <f>IF(AND(DONBIW!E17="non",DONBIW!F62="épou(x)(se)"),I1084,0)</f>
        <v>0</v>
      </c>
      <c r="E1118" s="5">
        <f>IF(AND(DONBIW!E17="non",DONBIW!F62="épou(x)(se)"),I1084,0)</f>
        <v>0</v>
      </c>
      <c r="F1118" s="5">
        <f>IF(AND(DONBIW!F62="épou(x)(se)",H1072&gt;125000,DONBIW!E17="oui"),125,0)</f>
        <v>0</v>
      </c>
      <c r="G1118" s="5">
        <f>IF(AND(F1118&gt;0,(I1093-F1118&gt;=0)),I1093-F1118,0)</f>
        <v>0</v>
      </c>
    </row>
    <row r="1119" spans="1:15" s="5" customFormat="1" x14ac:dyDescent="0.2">
      <c r="A1119" s="5">
        <f>IF(DONBIW!F62="frère/soeur",I1101,0)</f>
        <v>0</v>
      </c>
      <c r="E1119" s="5">
        <f>IF(DONBIW!F62="frère/soeur",I1101,0)</f>
        <v>0</v>
      </c>
      <c r="F1119" s="5">
        <f>SUM(F1115:F1118)</f>
        <v>0</v>
      </c>
      <c r="G1119" s="5">
        <f>SUM(G1115:G1118)</f>
        <v>0</v>
      </c>
    </row>
    <row r="1120" spans="1:15" s="5" customFormat="1" x14ac:dyDescent="0.2">
      <c r="A1120" s="5">
        <f>IF(DONBIW!F62="oncle-tante/neveu-nièce",I1112,0)</f>
        <v>0</v>
      </c>
      <c r="E1120" s="5">
        <f>IF(DONBIW!F62="oncle-tante/neveu-nièce",I1112,0)</f>
        <v>0</v>
      </c>
    </row>
    <row r="1121" spans="1:11" s="5" customFormat="1" x14ac:dyDescent="0.2">
      <c r="A1121" s="5">
        <f>IF(DONBIW!F62="étrangers",O1110,0)</f>
        <v>0</v>
      </c>
      <c r="E1121" s="5">
        <f>IF(DONBIW!F62="étrangers",O1110,0)</f>
        <v>0</v>
      </c>
    </row>
    <row r="1122" spans="1:11" s="5" customFormat="1" x14ac:dyDescent="0.2"/>
    <row r="1123" spans="1:11" s="5" customFormat="1" x14ac:dyDescent="0.2">
      <c r="A1123" s="5">
        <f>SUM(A1115:A1122)</f>
        <v>0</v>
      </c>
      <c r="E1123" s="5">
        <f>SUM(E1115:E1122)</f>
        <v>0</v>
      </c>
    </row>
    <row r="1124" spans="1:11" s="5" customFormat="1" x14ac:dyDescent="0.2"/>
    <row r="1125" spans="1:11" s="5" customFormat="1" x14ac:dyDescent="0.2"/>
    <row r="1126" spans="1:11" s="5" customFormat="1" x14ac:dyDescent="0.2">
      <c r="A1126" s="5" t="s">
        <v>93</v>
      </c>
      <c r="E1126" s="5" t="s">
        <v>100</v>
      </c>
    </row>
    <row r="1127" spans="1:11" s="5" customFormat="1" x14ac:dyDescent="0.2"/>
    <row r="1128" spans="1:11" s="5" customFormat="1" x14ac:dyDescent="0.2">
      <c r="A1128" s="5" t="s">
        <v>93</v>
      </c>
      <c r="E1128" s="5">
        <f>IF(DONBIW!I62=3,E1123*12%,0)</f>
        <v>0</v>
      </c>
      <c r="F1128" s="5">
        <f>IF(E1128&gt;372,372,E1128)</f>
        <v>0</v>
      </c>
      <c r="H1128" s="5" t="s">
        <v>26</v>
      </c>
      <c r="I1128" s="5">
        <f>6%*E1123</f>
        <v>0</v>
      </c>
      <c r="J1128" s="5">
        <f>IF(I1128&gt;186,186,I1128)</f>
        <v>0</v>
      </c>
      <c r="K1128" s="5">
        <f>IF(DONBIW!I62=3,J1128,0)</f>
        <v>0</v>
      </c>
    </row>
    <row r="1129" spans="1:11" s="5" customFormat="1" x14ac:dyDescent="0.2">
      <c r="E1129" s="5">
        <f>IF(DONBIW!I62=4,E1123*16%,0)</f>
        <v>0</v>
      </c>
      <c r="F1129" s="5">
        <f>IF(E1129&gt;496,496,E1129)</f>
        <v>0</v>
      </c>
      <c r="H1129" s="5" t="s">
        <v>27</v>
      </c>
      <c r="I1129" s="5">
        <f>8%*E1123</f>
        <v>0</v>
      </c>
      <c r="J1129" s="5">
        <f>IF(I1129&gt;248,248,I1129)</f>
        <v>0</v>
      </c>
      <c r="K1129" s="5">
        <f>IF(DONBIW!I62=4,J1129,0)</f>
        <v>0</v>
      </c>
    </row>
    <row r="1130" spans="1:11" s="5" customFormat="1" x14ac:dyDescent="0.2">
      <c r="E1130" s="5">
        <f>IF(DONBIW!I62=5,E1123*20%,0)</f>
        <v>0</v>
      </c>
      <c r="F1130" s="5">
        <f>IF(E1130&gt;620,620,E1130)</f>
        <v>0</v>
      </c>
      <c r="I1130" s="5">
        <f>10%*E1123</f>
        <v>0</v>
      </c>
      <c r="J1130" s="5">
        <f>IF(I1130&gt;310,310,I1130)</f>
        <v>0</v>
      </c>
      <c r="K1130" s="5">
        <f>IF(DONBIW!I62=5,J1130,0)</f>
        <v>0</v>
      </c>
    </row>
    <row r="1131" spans="1:11" s="5" customFormat="1" x14ac:dyDescent="0.2">
      <c r="E1131" s="5">
        <f>IF(DONBIW!I62=6,E1123*24%,0)</f>
        <v>0</v>
      </c>
      <c r="F1131" s="5">
        <f>IF(E1131&gt;744,744,E1131)</f>
        <v>0</v>
      </c>
      <c r="I1131" s="5">
        <f>12%*E1123</f>
        <v>0</v>
      </c>
      <c r="J1131" s="5">
        <f>IF(I1131&gt;372,372,I1131)</f>
        <v>0</v>
      </c>
      <c r="K1131" s="5">
        <f>IF(DONBIW!I62=6,J1131,0)</f>
        <v>0</v>
      </c>
    </row>
    <row r="1132" spans="1:11" s="5" customFormat="1" x14ac:dyDescent="0.2">
      <c r="E1132" s="5">
        <f>IF(DONBIW!I62=7,E1123*28%,0)</f>
        <v>0</v>
      </c>
      <c r="F1132" s="5">
        <f>IF(E1132&gt;868,868,E1132)</f>
        <v>0</v>
      </c>
      <c r="I1132" s="5">
        <f>14%*E1123</f>
        <v>0</v>
      </c>
      <c r="J1132" s="5">
        <f>IF(I1132&gt;434,434,I1132)</f>
        <v>0</v>
      </c>
      <c r="K1132" s="5">
        <f>IF(DONBIW!I62=7,J1132,0)</f>
        <v>0</v>
      </c>
    </row>
    <row r="1133" spans="1:11" s="5" customFormat="1" x14ac:dyDescent="0.2">
      <c r="E1133" s="5">
        <f>IF(DONBIW!I62=8,E1123*32%,0)</f>
        <v>0</v>
      </c>
      <c r="F1133" s="5">
        <f>IF(E1133&gt;992,992,E1133)</f>
        <v>0</v>
      </c>
      <c r="I1133" s="5">
        <f>16%*E1123</f>
        <v>0</v>
      </c>
      <c r="J1133" s="5">
        <f>IF(I1133&gt;496,496,I1133)</f>
        <v>0</v>
      </c>
      <c r="K1133" s="5">
        <f>IF(DONBIW!I62=8,J1133,0)</f>
        <v>0</v>
      </c>
    </row>
    <row r="1134" spans="1:11" s="5" customFormat="1" x14ac:dyDescent="0.2">
      <c r="E1134" s="5">
        <f>IF(DONBIW!I62=9,E1123*36%,0)</f>
        <v>0</v>
      </c>
      <c r="F1134" s="5">
        <f>IF(E1134&gt;1116,1116,E1134)</f>
        <v>0</v>
      </c>
      <c r="I1134" s="5">
        <f>18%*E1123</f>
        <v>0</v>
      </c>
      <c r="J1134" s="5">
        <f>IF(I1134&gt;558,558,I1134)</f>
        <v>0</v>
      </c>
      <c r="K1134" s="5">
        <f>IF(DONBIW!I62=9,J1134,0)</f>
        <v>0</v>
      </c>
    </row>
    <row r="1135" spans="1:11" s="5" customFormat="1" x14ac:dyDescent="0.2">
      <c r="E1135" s="5">
        <f>IF(DONBIW!I62=10,E1123*40%,0)</f>
        <v>0</v>
      </c>
      <c r="F1135" s="5">
        <f>IF(E1135&gt;1240,1240,E1135)</f>
        <v>0</v>
      </c>
      <c r="I1135" s="5">
        <f>20%*E1123</f>
        <v>0</v>
      </c>
      <c r="J1135" s="5">
        <f>IF(I1135&gt;620,620,I1135)</f>
        <v>0</v>
      </c>
      <c r="K1135" s="5">
        <f>IF(DONBIW!I62=10,J1135,0)</f>
        <v>0</v>
      </c>
    </row>
    <row r="1136" spans="1:11" s="5" customFormat="1" x14ac:dyDescent="0.2"/>
    <row r="1137" spans="1:11" s="5" customFormat="1" x14ac:dyDescent="0.2">
      <c r="F1137" s="5">
        <f>SUM(F1128:F1136)</f>
        <v>0</v>
      </c>
      <c r="K1137" s="5">
        <f>SUM(K1128:K1136)</f>
        <v>0</v>
      </c>
    </row>
    <row r="1138" spans="1:11" s="5" customFormat="1" x14ac:dyDescent="0.2">
      <c r="F1138" s="18"/>
    </row>
    <row r="1139" spans="1:11" s="5" customFormat="1" x14ac:dyDescent="0.2">
      <c r="F1139" s="18"/>
    </row>
    <row r="1140" spans="1:11" s="5" customFormat="1" x14ac:dyDescent="0.2">
      <c r="F1140" s="18"/>
    </row>
    <row r="1141" spans="1:11" s="5" customFormat="1" x14ac:dyDescent="0.2">
      <c r="A1141" s="5" t="s">
        <v>33</v>
      </c>
      <c r="E1141" s="20">
        <f>E1123-F1137</f>
        <v>0</v>
      </c>
      <c r="F1141" s="18"/>
      <c r="G1141" s="5" t="s">
        <v>34</v>
      </c>
      <c r="H1141" s="47">
        <f>E1123-K1137</f>
        <v>0</v>
      </c>
    </row>
    <row r="1142" spans="1:11" s="5" customFormat="1" x14ac:dyDescent="0.2">
      <c r="F1142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DONBIW</vt:lpstr>
      <vt:lpstr>Blad1</vt:lpstr>
      <vt:lpstr>Blad2</vt:lpstr>
      <vt:lpstr>DONBIW!Afdrukbereik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2014-01-15T13:51:08Z</cp:lastPrinted>
  <dcterms:created xsi:type="dcterms:W3CDTF">2012-08-13T15:54:54Z</dcterms:created>
  <dcterms:modified xsi:type="dcterms:W3CDTF">2014-11-16T17:58:43Z</dcterms:modified>
</cp:coreProperties>
</file>