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TH" sheetId="1" r:id="rId1"/>
  </sheets>
  <definedNames>
    <definedName name="_1._Zegels_Minuut_Brevet" localSheetId="0">VBIWTVABREYNETH!$A$19:$F$19</definedName>
    <definedName name="_1._Zegels_Minuut_Brevet">#REF!</definedName>
    <definedName name="_10._Tweede_getuigschrift" localSheetId="0">VBIWTVABREYNETH!#REF!</definedName>
    <definedName name="_10._Tweede_getuigschrift">#REF!</definedName>
    <definedName name="_11._Kadaster_uittreksel" localSheetId="0">VBIWTVABREYNETH!#REF!</definedName>
    <definedName name="_11._Kadaster_uittreksel">#REF!</definedName>
    <definedName name="_12._Getuigen" localSheetId="0">VBIWTVABREYNETH!#REF!</definedName>
    <definedName name="_12._Getuigen">#REF!</definedName>
    <definedName name="_13._Allerlei_uitgaven" localSheetId="0">VBIWTVABREYNETH!#REF!</definedName>
    <definedName name="_13._Allerlei_uitgaven">#REF!</definedName>
    <definedName name="_14." localSheetId="0">VBIWTVABREYNETH!#REF!</definedName>
    <definedName name="_14.">#REF!</definedName>
    <definedName name="_15." localSheetId="0">VBIWTVABREYNETH!#REF!</definedName>
    <definedName name="_15.">#REF!</definedName>
    <definedName name="_2._Registratie_Minuut_Brevet" localSheetId="0">VBIWTVABREYNETH!$B$22:$G$22</definedName>
    <definedName name="_2._Registratie_Minuut_Brevet">#REF!</definedName>
    <definedName name="_3._Registratie_aanhangsel" localSheetId="0">VBIWTVABREYNETH!$E$23:$G$23</definedName>
    <definedName name="_3._Registratie_aanhangsel">#REF!</definedName>
    <definedName name="_4.Zegels_afschrift_grosse" localSheetId="0">VBIWTVABREYNETH!#REF!</definedName>
    <definedName name="_4.Zegels_afschrift_grosse">#REF!</definedName>
    <definedName name="_5._Hypotheek__inschr._overschr._doorh." localSheetId="0">VBIWTVABREYNETH!#REF!</definedName>
    <definedName name="_5._Hypotheek__inschr._overschr._doorh.">#REF!</definedName>
    <definedName name="_6._Loon_pandbewaarder" localSheetId="0">VBIWTVABREYNETH!#REF!</definedName>
    <definedName name="_6._Loon_pandbewaarder">#REF!</definedName>
    <definedName name="_7._Zegels__bord._aanh." localSheetId="0">VBIWTVABREYNETH!#REF!</definedName>
    <definedName name="_7._Zegels__bord._aanh.">#REF!</definedName>
    <definedName name="_8._Opzoekingen" localSheetId="0">VBIWTVABREYNETH!#REF!</definedName>
    <definedName name="_8._Opzoekingen">#REF!</definedName>
    <definedName name="_9._Hypothecair_getuigschrift" localSheetId="0">VBIWTVABREYNETH!#REF!</definedName>
    <definedName name="_9._Hypothecair_getuigschrift">#REF!</definedName>
    <definedName name="Aard" localSheetId="0">VBIWTVABREYNETH!$B$4:$F$4</definedName>
    <definedName name="Aard">#REF!</definedName>
    <definedName name="_xlnm.Print_Area" localSheetId="0">VBIWTVABREYNETH!$A$1:$E$73</definedName>
    <definedName name="Datum" localSheetId="0">VBIWTVABREYNETH!$B$4:$G$36</definedName>
    <definedName name="Datum">#REF!</definedName>
    <definedName name="gemeentelijke_info">#REF!</definedName>
    <definedName name="Kantoor_van_Notaris_J._SIMONART_te_Leuven" localSheetId="0">VBIWTVABREYNETH!#REF!</definedName>
    <definedName name="Kantoor_van_Notaris_J._SIMONART_te_Leuven">#REF!</definedName>
    <definedName name="KOSTENFICHE" localSheetId="0">VBIWTVABREYNETH!$A$1:$G$36</definedName>
    <definedName name="KOSTENFICHE">#REF!</definedName>
    <definedName name="Last_Row">IF(Values_Entered,Header_Row+Number_of_Payments,Header_Row)</definedName>
    <definedName name="Naam" localSheetId="0">VBIWTVABREYNETH!#REF!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VBIWTVABREYNETH!$F$4:$F$38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VBIWTVABREYNETH!#REF!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VBIWTVABREYNETH!$A$3:$G$36</definedName>
  </definedNames>
  <calcPr calcId="152511"/>
</workbook>
</file>

<file path=xl/calcChain.xml><?xml version="1.0" encoding="utf-8"?>
<calcChain xmlns="http://schemas.openxmlformats.org/spreadsheetml/2006/main">
  <c r="B10" i="1" l="1"/>
  <c r="F228" i="1" s="1"/>
  <c r="D21" i="1"/>
  <c r="D23" i="1"/>
  <c r="C44" i="1"/>
  <c r="C137" i="1" s="1"/>
  <c r="C48" i="1"/>
  <c r="C125" i="1" s="1"/>
  <c r="B55" i="1"/>
  <c r="D277" i="1" s="1"/>
  <c r="B56" i="1"/>
  <c r="C60" i="1"/>
  <c r="C61" i="1"/>
  <c r="C64" i="1"/>
  <c r="C88" i="1"/>
  <c r="D88" i="1"/>
  <c r="C132" i="1"/>
  <c r="C144" i="1"/>
  <c r="C157" i="1"/>
  <c r="C170" i="1"/>
  <c r="C188" i="1"/>
  <c r="F193" i="1" s="1"/>
  <c r="C189" i="1"/>
  <c r="E289" i="1" s="1"/>
  <c r="C190" i="1"/>
  <c r="D190" i="1"/>
  <c r="F190" i="1"/>
  <c r="C191" i="1"/>
  <c r="D191" i="1"/>
  <c r="F191" i="1"/>
  <c r="F192" i="1"/>
  <c r="F194" i="1"/>
  <c r="F195" i="1"/>
  <c r="F231" i="1"/>
  <c r="B248" i="1"/>
  <c r="C248" i="1"/>
  <c r="B249" i="1"/>
  <c r="C249" i="1"/>
  <c r="F265" i="1"/>
  <c r="F268" i="1"/>
  <c r="F271" i="1"/>
  <c r="F282" i="1"/>
  <c r="F283" i="1"/>
  <c r="F284" i="1"/>
  <c r="F285" i="1"/>
  <c r="F286" i="1"/>
  <c r="F287" i="1"/>
  <c r="C288" i="1"/>
  <c r="F288" i="1"/>
  <c r="G298" i="1"/>
  <c r="C300" i="1"/>
  <c r="D300" i="1"/>
  <c r="C309" i="1"/>
  <c r="F315" i="1" s="1"/>
  <c r="C317" i="1"/>
  <c r="E317" i="1"/>
  <c r="C271" i="1"/>
  <c r="F230" i="1"/>
  <c r="F267" i="1"/>
  <c r="F229" i="1"/>
  <c r="F269" i="1"/>
  <c r="F233" i="1"/>
  <c r="F227" i="1"/>
  <c r="F270" i="1"/>
  <c r="F266" i="1"/>
  <c r="F232" i="1"/>
  <c r="C62" i="1" l="1"/>
  <c r="F314" i="1"/>
  <c r="F312" i="1"/>
  <c r="F316" i="1"/>
  <c r="E291" i="1"/>
  <c r="F197" i="1"/>
  <c r="D20" i="1" s="1"/>
  <c r="E26" i="1" s="1"/>
  <c r="C163" i="1"/>
  <c r="F168" i="1" s="1"/>
  <c r="E36" i="1"/>
  <c r="E38" i="1" s="1"/>
  <c r="C303" i="1"/>
  <c r="F313" i="1"/>
  <c r="C150" i="1"/>
  <c r="F155" i="1" s="1"/>
  <c r="F311" i="1"/>
  <c r="G84" i="1"/>
  <c r="G86" i="1" s="1"/>
  <c r="G88" i="1" s="1"/>
  <c r="C53" i="1" s="1"/>
  <c r="F273" i="1"/>
  <c r="E19" i="1" s="1"/>
  <c r="B57" i="1"/>
  <c r="F310" i="1"/>
  <c r="D100" i="1"/>
  <c r="D101" i="1" s="1"/>
  <c r="D102" i="1" s="1"/>
  <c r="D103" i="1" s="1"/>
  <c r="C58" i="1" s="1"/>
  <c r="F235" i="1"/>
  <c r="F130" i="1"/>
  <c r="F127" i="1"/>
  <c r="F132" i="1"/>
  <c r="C133" i="1"/>
  <c r="E133" i="1"/>
  <c r="F131" i="1"/>
  <c r="F128" i="1"/>
  <c r="F129" i="1"/>
  <c r="F126" i="1"/>
  <c r="E145" i="1"/>
  <c r="F143" i="1"/>
  <c r="C145" i="1"/>
  <c r="F144" i="1"/>
  <c r="F138" i="1"/>
  <c r="F139" i="1"/>
  <c r="F140" i="1"/>
  <c r="F141" i="1"/>
  <c r="F142" i="1"/>
  <c r="F156" i="1"/>
  <c r="F151" i="1"/>
  <c r="F165" i="1"/>
  <c r="F157" i="1"/>
  <c r="F164" i="1"/>
  <c r="E171" i="1" l="1"/>
  <c r="F169" i="1"/>
  <c r="C158" i="1"/>
  <c r="E319" i="1"/>
  <c r="F170" i="1"/>
  <c r="C171" i="1"/>
  <c r="F167" i="1"/>
  <c r="F166" i="1"/>
  <c r="E173" i="1" s="1"/>
  <c r="A304" i="1"/>
  <c r="F154" i="1"/>
  <c r="F152" i="1"/>
  <c r="E158" i="1"/>
  <c r="F153" i="1"/>
  <c r="E160" i="1" s="1"/>
  <c r="A92" i="1"/>
  <c r="C66" i="1" s="1"/>
  <c r="F67" i="1" s="1"/>
  <c r="E27" i="1"/>
  <c r="E29" i="1" s="1"/>
  <c r="E147" i="1"/>
  <c r="E135" i="1"/>
  <c r="F52" i="1" s="1"/>
  <c r="F53" i="1" l="1"/>
  <c r="F70" i="1" s="1"/>
  <c r="F66" i="1"/>
  <c r="F68" i="1" s="1"/>
  <c r="F72" i="1" s="1"/>
</calcChain>
</file>

<file path=xl/comments1.xml><?xml version="1.0" encoding="utf-8"?>
<comments xmlns="http://schemas.openxmlformats.org/spreadsheetml/2006/main">
  <authors>
    <author>licentie</author>
  </authors>
  <commentList>
    <comment ref="C54" authorId="0" shapeId="0">
      <text>
        <r>
          <rPr>
            <b/>
            <sz val="10"/>
            <color indexed="81"/>
            <rFont val="Tahoma"/>
            <family val="2"/>
          </rPr>
          <t>Le montant réel des droits d'enregistrement des annexes</t>
        </r>
      </text>
    </comment>
  </commentList>
</comments>
</file>

<file path=xl/sharedStrings.xml><?xml version="1.0" encoding="utf-8"?>
<sst xmlns="http://schemas.openxmlformats.org/spreadsheetml/2006/main" count="183" uniqueCount="116">
  <si>
    <t>Dossier</t>
  </si>
  <si>
    <t>Prijs</t>
  </si>
  <si>
    <t>------------------------------------------------------------------------------------------------</t>
  </si>
  <si>
    <t>Ereloon</t>
  </si>
  <si>
    <t>BTW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</si>
  <si>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</si>
  <si>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</si>
  <si>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</si>
  <si>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</si>
  <si>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</si>
  <si>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</si>
  <si>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</si>
  <si>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</si>
  <si>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</si>
  <si>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</si>
  <si>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</si>
  <si>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</si>
  <si>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</si>
  <si>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</si>
  <si>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</si>
  <si>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</si>
  <si>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</si>
  <si>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</si>
  <si>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</si>
  <si>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</si>
  <si>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</si>
  <si>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</si>
  <si>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</si>
  <si>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</si>
  <si>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</si>
  <si>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</si>
  <si>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</si>
  <si>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</si>
  <si>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</si>
  <si>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</si>
  <si>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</si>
  <si>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</si>
  <si>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</si>
  <si>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</si>
  <si>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</si>
  <si>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</si>
  <si>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</si>
  <si>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Waterloo</t>
  </si>
  <si>
    <t>Wavre</t>
  </si>
  <si>
    <t>Donceel</t>
  </si>
  <si>
    <t>Genappe</t>
  </si>
  <si>
    <t>Perwez</t>
  </si>
  <si>
    <t>Profondeville</t>
  </si>
  <si>
    <t>Sainte-Ode</t>
  </si>
  <si>
    <t>Silly</t>
  </si>
  <si>
    <t>Client</t>
  </si>
  <si>
    <t>Valeur terrain</t>
  </si>
  <si>
    <t>Constructions</t>
  </si>
  <si>
    <t>Même propriétaire?</t>
  </si>
  <si>
    <t>Prix des constructions finies à l'acte</t>
  </si>
  <si>
    <t>Charges:</t>
  </si>
  <si>
    <t>Base pour honoraires</t>
  </si>
  <si>
    <t>Acompte payé</t>
  </si>
  <si>
    <t>Réduction art. 53?</t>
  </si>
  <si>
    <t>Zone de pression immobilière?</t>
  </si>
  <si>
    <t xml:space="preserve">Crédit Soc. Wall. ou Fam. Nombr.? </t>
  </si>
  <si>
    <t>Crédit social pour au moins 50%?</t>
  </si>
  <si>
    <t>oui</t>
  </si>
  <si>
    <t>non</t>
  </si>
  <si>
    <t>Frais à charge de l'acquéreur</t>
  </si>
  <si>
    <t>Honoraire</t>
  </si>
  <si>
    <t>Enregistrement</t>
  </si>
  <si>
    <t>TVA</t>
  </si>
  <si>
    <t>Enregistrement annexe(s)</t>
  </si>
  <si>
    <t>Transcription (rôles)</t>
  </si>
  <si>
    <t>Frais divers</t>
  </si>
  <si>
    <t>Quote-part acte de base ou acte de lotissement</t>
  </si>
  <si>
    <t>Total frais acquéreur:</t>
  </si>
  <si>
    <t>Frais à charge du vendeur</t>
  </si>
  <si>
    <t>Commission agence immobilière</t>
  </si>
  <si>
    <t>Mesurage</t>
  </si>
  <si>
    <t>Total frais vendeur</t>
  </si>
  <si>
    <t>Total général vendeur:</t>
  </si>
  <si>
    <t>Total général acquéreur:</t>
  </si>
  <si>
    <t>ouilhay</t>
  </si>
  <si>
    <t>Orp-ouiuche</t>
  </si>
  <si>
    <t>P.A.</t>
  </si>
  <si>
    <t>Basis</t>
  </si>
  <si>
    <t>Principal</t>
  </si>
  <si>
    <t>Accessoires</t>
  </si>
  <si>
    <t>Base</t>
  </si>
  <si>
    <t>(TVA)</t>
  </si>
  <si>
    <t>Total frais</t>
  </si>
  <si>
    <t>Total</t>
  </si>
  <si>
    <t>Ensemble</t>
  </si>
  <si>
    <t>Total:</t>
  </si>
  <si>
    <t>Honoraires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</si>
  <si>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</si>
  <si>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</si>
  <si>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</si>
  <si>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</si>
  <si>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</si>
  <si>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</si>
  <si>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</si>
  <si>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TRANSFERT D'HYPOTHÈQUE</t>
  </si>
  <si>
    <t>ancienne inscription</t>
  </si>
  <si>
    <t>Nouvelle inscription</t>
  </si>
  <si>
    <t>Quantième acte? 1 ou 2</t>
  </si>
  <si>
    <t>droits d'enregistrement acte</t>
  </si>
  <si>
    <t>droits d'enregistrement annexes</t>
  </si>
  <si>
    <t xml:space="preserve">           honor. hypoth. inscription</t>
  </si>
  <si>
    <t xml:space="preserve">           honor. hypoth. mainlevée</t>
  </si>
  <si>
    <t xml:space="preserve">           droits d'inscription</t>
  </si>
  <si>
    <t>provision frais hypothécaires</t>
  </si>
  <si>
    <t>droits d'écriture</t>
  </si>
  <si>
    <t>frais divers</t>
  </si>
  <si>
    <t>renseignements urbanistiques</t>
  </si>
  <si>
    <t>plus TVA</t>
  </si>
  <si>
    <t>Loon hypotheekbewaarder doorhaling</t>
  </si>
  <si>
    <t>VENTE BIEN IMMOBILIER AVEC TVA - WALLONIE + TRANSFERT D'HYPOTHEQUE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</si>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</sst>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_-* #,##0.00\ [$EUR]_-;\-* #,##0.00\ [$EUR]_-;_-* &quot;-&quot;??\ [$EUR]_-;_-@_-"/>
    <numFmt numFmtId="168" formatCode="#,##0.00\ [$EUR]"/>
    <numFmt numFmtId="169" formatCode="#,##0&quot; BF&quot;;\-#,##0&quot; BF&quot;"/>
    <numFmt numFmtId="170" formatCode="0.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%#,#00"/>
    <numFmt numFmtId="179" formatCode="#,##0.00\ &quot;€&quot;"/>
    <numFmt numFmtId="180" formatCode="#,##0.00_ ;\-#,##0.00\ "/>
    <numFmt numFmtId="181" formatCode="#,##0&quot; Fr&quot;;\-#,##0&quot; Fr&quot;"/>
    <numFmt numFmtId="182" formatCode="0.0000%"/>
  </numFmts>
  <fonts count="2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2"/>
      <name val="Times New Roman"/>
      <family val="1"/>
    </font>
    <font>
      <u/>
      <sz val="10"/>
      <name val="Arial"/>
      <family val="2"/>
    </font>
    <font>
      <b/>
      <sz val="10"/>
      <color indexed="81"/>
      <name val="Tahoma"/>
      <family val="2"/>
    </font>
    <font>
      <sz val="9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1"/>
        <bgColor indexed="2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20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double">
        <color indexed="64"/>
      </right>
      <top/>
      <bottom/>
      <diagonal/>
    </border>
  </borders>
  <cellStyleXfs count="17">
    <xf numFmtId="0" fontId="0" fillId="0" borderId="0"/>
    <xf numFmtId="171" fontId="8" fillId="0" borderId="0">
      <protection locked="0"/>
    </xf>
    <xf numFmtId="172" fontId="1" fillId="0" borderId="0" applyFont="0" applyFill="0" applyBorder="0" applyAlignment="0" applyProtection="0"/>
    <xf numFmtId="173" fontId="8" fillId="0" borderId="0">
      <protection locked="0"/>
    </xf>
    <xf numFmtId="174" fontId="1" fillId="0" borderId="0" applyFont="0" applyFill="0" applyBorder="0" applyAlignment="0" applyProtection="0"/>
    <xf numFmtId="175" fontId="8" fillId="0" borderId="0">
      <protection locked="0"/>
    </xf>
    <xf numFmtId="176" fontId="8" fillId="0" borderId="0">
      <protection locked="0"/>
    </xf>
    <xf numFmtId="177" fontId="9" fillId="0" borderId="0">
      <protection locked="0"/>
    </xf>
    <xf numFmtId="177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8" fontId="8" fillId="0" borderId="0">
      <protection locked="0"/>
    </xf>
    <xf numFmtId="0" fontId="10" fillId="0" borderId="0"/>
    <xf numFmtId="0" fontId="19" fillId="0" borderId="0"/>
    <xf numFmtId="0" fontId="1" fillId="0" borderId="0"/>
    <xf numFmtId="0" fontId="19" fillId="0" borderId="0"/>
    <xf numFmtId="177" fontId="8" fillId="0" borderId="1">
      <protection locked="0"/>
    </xf>
    <xf numFmtId="0" fontId="20" fillId="0" borderId="30" applyNumberFormat="0" applyFill="0" applyAlignment="0" applyProtection="0"/>
  </cellStyleXfs>
  <cellXfs count="196">
    <xf numFmtId="0" fontId="0" fillId="0" borderId="0" xfId="0"/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7" fontId="1" fillId="2" borderId="0" xfId="13" applyNumberFormat="1" applyFill="1" applyBorder="1" applyAlignment="1" applyProtection="1">
      <protection hidden="1"/>
    </xf>
    <xf numFmtId="166" fontId="1" fillId="2" borderId="2" xfId="13" applyNumberFormat="1" applyFon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2" fillId="2" borderId="3" xfId="13" applyFont="1" applyFill="1" applyBorder="1" applyAlignment="1" applyProtection="1">
      <alignment horizontal="left"/>
      <protection hidden="1"/>
    </xf>
    <xf numFmtId="167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7" fontId="1" fillId="2" borderId="0" xfId="13" applyNumberFormat="1" applyFill="1" applyBorder="1" applyProtection="1">
      <protection hidden="1"/>
    </xf>
    <xf numFmtId="0" fontId="1" fillId="2" borderId="3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7" fontId="1" fillId="2" borderId="0" xfId="13" applyNumberFormat="1" applyFill="1" applyProtection="1">
      <protection hidden="1"/>
    </xf>
    <xf numFmtId="0" fontId="1" fillId="2" borderId="4" xfId="13" applyFill="1" applyBorder="1" applyAlignment="1" applyProtection="1">
      <alignment horizontal="left"/>
      <protection hidden="1"/>
    </xf>
    <xf numFmtId="0" fontId="1" fillId="2" borderId="5" xfId="13" applyFill="1" applyBorder="1" applyAlignment="1" applyProtection="1">
      <alignment horizontal="left"/>
      <protection hidden="1"/>
    </xf>
    <xf numFmtId="166" fontId="1" fillId="2" borderId="3" xfId="13" applyNumberFormat="1" applyFill="1" applyBorder="1" applyAlignment="1" applyProtection="1"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7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6" xfId="13" applyNumberFormat="1" applyFont="1" applyFill="1" applyBorder="1" applyProtection="1">
      <protection hidden="1"/>
    </xf>
    <xf numFmtId="169" fontId="5" fillId="2" borderId="7" xfId="13" applyNumberFormat="1" applyFont="1" applyFill="1" applyBorder="1" applyAlignment="1" applyProtection="1">
      <alignment horizontal="center"/>
      <protection hidden="1"/>
    </xf>
    <xf numFmtId="0" fontId="5" fillId="2" borderId="7" xfId="13" applyFont="1" applyFill="1" applyBorder="1" applyAlignment="1" applyProtection="1">
      <alignment horizontal="center"/>
      <protection hidden="1"/>
    </xf>
    <xf numFmtId="0" fontId="5" fillId="2" borderId="8" xfId="13" applyFont="1" applyFill="1" applyBorder="1" applyAlignment="1" applyProtection="1">
      <alignment horizontal="center"/>
      <protection hidden="1"/>
    </xf>
    <xf numFmtId="168" fontId="6" fillId="2" borderId="7" xfId="13" applyNumberFormat="1" applyFont="1" applyFill="1" applyBorder="1" applyProtection="1">
      <protection hidden="1"/>
    </xf>
    <xf numFmtId="169" fontId="6" fillId="2" borderId="7" xfId="13" applyNumberFormat="1" applyFont="1" applyFill="1" applyBorder="1" applyProtection="1">
      <protection hidden="1"/>
    </xf>
    <xf numFmtId="170" fontId="6" fillId="2" borderId="7" xfId="13" applyNumberFormat="1" applyFont="1" applyFill="1" applyBorder="1" applyProtection="1">
      <protection hidden="1"/>
    </xf>
    <xf numFmtId="170" fontId="6" fillId="2" borderId="8" xfId="13" applyNumberFormat="1" applyFont="1" applyFill="1" applyBorder="1" applyProtection="1">
      <protection hidden="1"/>
    </xf>
    <xf numFmtId="0" fontId="6" fillId="2" borderId="9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10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9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10" xfId="13" applyFont="1" applyFill="1" applyBorder="1" applyProtection="1">
      <protection hidden="1"/>
    </xf>
    <xf numFmtId="168" fontId="5" fillId="2" borderId="7" xfId="13" applyNumberFormat="1" applyFont="1" applyFill="1" applyBorder="1" applyProtection="1">
      <protection hidden="1"/>
    </xf>
    <xf numFmtId="0" fontId="14" fillId="3" borderId="11" xfId="13" applyFont="1" applyFill="1" applyBorder="1" applyAlignment="1" applyProtection="1">
      <alignment horizontal="left"/>
      <protection hidden="1"/>
    </xf>
    <xf numFmtId="0" fontId="2" fillId="4" borderId="0" xfId="13" applyNumberFormat="1" applyFont="1" applyFill="1" applyBorder="1" applyAlignment="1" applyProtection="1">
      <alignment horizontal="left"/>
      <protection locked="0" hidden="1"/>
    </xf>
    <xf numFmtId="0" fontId="1" fillId="4" borderId="0" xfId="13" applyFont="1" applyFill="1" applyBorder="1" applyAlignment="1" applyProtection="1">
      <alignment horizontal="left"/>
      <protection locked="0" hidden="1"/>
    </xf>
    <xf numFmtId="0" fontId="1" fillId="4" borderId="0" xfId="13" applyFill="1" applyBorder="1" applyAlignment="1" applyProtection="1">
      <alignment horizontal="center"/>
      <protection locked="0" hidden="1"/>
    </xf>
    <xf numFmtId="0" fontId="1" fillId="5" borderId="12" xfId="13" applyFont="1" applyFill="1" applyBorder="1" applyProtection="1">
      <protection hidden="1"/>
    </xf>
    <xf numFmtId="0" fontId="1" fillId="6" borderId="12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0" fontId="0" fillId="2" borderId="0" xfId="0" applyFill="1" applyProtection="1">
      <protection hidden="1"/>
    </xf>
    <xf numFmtId="3" fontId="1" fillId="2" borderId="0" xfId="0" applyNumberFormat="1" applyFont="1" applyFill="1" applyProtection="1">
      <protection hidden="1"/>
    </xf>
    <xf numFmtId="0" fontId="15" fillId="2" borderId="0" xfId="0" applyFont="1" applyFill="1" applyProtection="1">
      <protection hidden="1"/>
    </xf>
    <xf numFmtId="180" fontId="0" fillId="2" borderId="0" xfId="0" applyNumberFormat="1" applyFill="1" applyBorder="1" applyAlignment="1" applyProtection="1">
      <alignment horizontal="right"/>
      <protection hidden="1"/>
    </xf>
    <xf numFmtId="4" fontId="1" fillId="2" borderId="0" xfId="0" applyNumberFormat="1" applyFont="1" applyFill="1" applyProtection="1">
      <protection hidden="1"/>
    </xf>
    <xf numFmtId="167" fontId="0" fillId="2" borderId="0" xfId="0" applyNumberFormat="1" applyFill="1" applyBorder="1" applyAlignment="1" applyProtection="1">
      <alignment horizontal="left"/>
      <protection hidden="1"/>
    </xf>
    <xf numFmtId="3" fontId="1" fillId="2" borderId="0" xfId="0" quotePrefix="1" applyNumberFormat="1" applyFont="1" applyFill="1" applyAlignment="1" applyProtection="1">
      <alignment horizontal="left"/>
      <protection hidden="1"/>
    </xf>
    <xf numFmtId="3" fontId="1" fillId="2" borderId="0" xfId="0" applyNumberFormat="1" applyFont="1" applyFill="1" applyBorder="1" applyProtection="1">
      <protection hidden="1"/>
    </xf>
    <xf numFmtId="169" fontId="5" fillId="2" borderId="7" xfId="0" applyNumberFormat="1" applyFont="1" applyFill="1" applyBorder="1" applyAlignment="1" applyProtection="1">
      <alignment horizontal="center"/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168" fontId="6" fillId="2" borderId="7" xfId="0" applyNumberFormat="1" applyFont="1" applyFill="1" applyBorder="1" applyProtection="1">
      <protection hidden="1"/>
    </xf>
    <xf numFmtId="169" fontId="6" fillId="2" borderId="7" xfId="0" applyNumberFormat="1" applyFont="1" applyFill="1" applyBorder="1" applyProtection="1">
      <protection hidden="1"/>
    </xf>
    <xf numFmtId="170" fontId="6" fillId="2" borderId="7" xfId="0" applyNumberFormat="1" applyFont="1" applyFill="1" applyBorder="1" applyProtection="1">
      <protection hidden="1"/>
    </xf>
    <xf numFmtId="170" fontId="6" fillId="2" borderId="8" xfId="0" applyNumberFormat="1" applyFont="1" applyFill="1" applyBorder="1" applyProtection="1">
      <protection hidden="1"/>
    </xf>
    <xf numFmtId="0" fontId="6" fillId="2" borderId="9" xfId="0" applyFont="1" applyFill="1" applyBorder="1" applyProtection="1">
      <protection hidden="1"/>
    </xf>
    <xf numFmtId="0" fontId="6" fillId="2" borderId="0" xfId="0" applyFont="1" applyFill="1" applyBorder="1" applyProtection="1">
      <protection hidden="1"/>
    </xf>
    <xf numFmtId="0" fontId="7" fillId="2" borderId="10" xfId="0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169" fontId="5" fillId="2" borderId="0" xfId="0" applyNumberFormat="1" applyFont="1" applyFill="1" applyBorder="1" applyAlignment="1" applyProtection="1">
      <alignment horizontal="center"/>
      <protection hidden="1"/>
    </xf>
    <xf numFmtId="0" fontId="6" fillId="2" borderId="10" xfId="0" applyFont="1" applyFill="1" applyBorder="1" applyProtection="1">
      <protection hidden="1"/>
    </xf>
    <xf numFmtId="168" fontId="5" fillId="2" borderId="7" xfId="0" applyNumberFormat="1" applyFont="1" applyFill="1" applyBorder="1" applyProtection="1">
      <protection hidden="1"/>
    </xf>
    <xf numFmtId="4" fontId="1" fillId="7" borderId="0" xfId="0" applyNumberFormat="1" applyFont="1" applyFill="1" applyProtection="1">
      <protection hidden="1"/>
    </xf>
    <xf numFmtId="0" fontId="0" fillId="7" borderId="0" xfId="0" applyFill="1" applyProtection="1">
      <protection hidden="1"/>
    </xf>
    <xf numFmtId="0" fontId="15" fillId="7" borderId="0" xfId="0" applyFont="1" applyFill="1" applyProtection="1">
      <protection hidden="1"/>
    </xf>
    <xf numFmtId="0" fontId="13" fillId="3" borderId="11" xfId="0" applyFont="1" applyFill="1" applyBorder="1" applyAlignment="1" applyProtection="1">
      <alignment horizontal="left"/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79" fontId="1" fillId="8" borderId="0" xfId="13" applyNumberFormat="1" applyFont="1" applyFill="1" applyBorder="1" applyAlignment="1" applyProtection="1">
      <alignment horizontal="right"/>
      <protection locked="0" hidden="1"/>
    </xf>
    <xf numFmtId="179" fontId="1" fillId="9" borderId="0" xfId="13" applyNumberFormat="1" applyFont="1" applyFill="1" applyBorder="1" applyAlignment="1" applyProtection="1">
      <alignment horizontal="center"/>
      <protection locked="0" hidden="1"/>
    </xf>
    <xf numFmtId="179" fontId="1" fillId="5" borderId="0" xfId="13" applyNumberFormat="1" applyFill="1" applyBorder="1" applyAlignment="1" applyProtection="1">
      <protection locked="0" hidden="1"/>
    </xf>
    <xf numFmtId="179" fontId="1" fillId="10" borderId="0" xfId="13" applyNumberFormat="1" applyFill="1" applyBorder="1" applyAlignment="1" applyProtection="1">
      <protection locked="0" hidden="1"/>
    </xf>
    <xf numFmtId="179" fontId="1" fillId="11" borderId="0" xfId="13" applyNumberFormat="1" applyFont="1" applyFill="1" applyBorder="1" applyAlignment="1" applyProtection="1">
      <alignment horizontal="right"/>
      <protection hidden="1"/>
    </xf>
    <xf numFmtId="0" fontId="0" fillId="12" borderId="0" xfId="0" applyFill="1" applyBorder="1" applyAlignment="1" applyProtection="1">
      <alignment horizontal="center"/>
      <protection locked="0" hidden="1"/>
    </xf>
    <xf numFmtId="0" fontId="1" fillId="12" borderId="0" xfId="13" applyFont="1" applyFill="1" applyBorder="1" applyAlignment="1" applyProtection="1">
      <alignment horizontal="center"/>
      <protection locked="0" hidden="1"/>
    </xf>
    <xf numFmtId="0" fontId="2" fillId="13" borderId="13" xfId="0" applyFont="1" applyFill="1" applyBorder="1" applyAlignment="1" applyProtection="1">
      <alignment horizontal="left"/>
      <protection hidden="1"/>
    </xf>
    <xf numFmtId="166" fontId="1" fillId="11" borderId="12" xfId="0" applyNumberFormat="1" applyFont="1" applyFill="1" applyBorder="1" applyAlignment="1" applyProtection="1">
      <alignment horizontal="left"/>
      <protection hidden="1"/>
    </xf>
    <xf numFmtId="0" fontId="11" fillId="2" borderId="0" xfId="0" applyFont="1" applyFill="1" applyBorder="1" applyAlignment="1" applyProtection="1">
      <alignment horizontal="left"/>
      <protection hidden="1"/>
    </xf>
    <xf numFmtId="0" fontId="1" fillId="11" borderId="12" xfId="0" applyFont="1" applyFill="1" applyBorder="1" applyAlignment="1" applyProtection="1">
      <alignment horizontal="left"/>
      <protection hidden="1"/>
    </xf>
    <xf numFmtId="164" fontId="1" fillId="2" borderId="0" xfId="13" applyNumberFormat="1" applyFill="1" applyBorder="1" applyAlignment="1" applyProtection="1">
      <alignment horizontal="right"/>
      <protection hidden="1"/>
    </xf>
    <xf numFmtId="164" fontId="1" fillId="4" borderId="0" xfId="13" applyNumberFormat="1" applyFill="1" applyBorder="1" applyAlignment="1" applyProtection="1">
      <alignment horizontal="right"/>
      <protection locked="0" hidden="1"/>
    </xf>
    <xf numFmtId="164" fontId="1" fillId="4" borderId="0" xfId="13" applyNumberFormat="1" applyFill="1" applyBorder="1" applyAlignment="1" applyProtection="1">
      <alignment horizontal="right"/>
      <protection locked="0"/>
    </xf>
    <xf numFmtId="164" fontId="11" fillId="4" borderId="0" xfId="0" applyNumberFormat="1" applyFont="1" applyFill="1" applyBorder="1" applyAlignment="1" applyProtection="1">
      <alignment horizontal="right"/>
      <protection locked="0"/>
    </xf>
    <xf numFmtId="179" fontId="1" fillId="11" borderId="12" xfId="13" applyNumberFormat="1" applyFill="1" applyBorder="1" applyAlignment="1" applyProtection="1">
      <alignment horizontal="right"/>
      <protection hidden="1"/>
    </xf>
    <xf numFmtId="179" fontId="1" fillId="2" borderId="0" xfId="13" applyNumberFormat="1" applyFill="1" applyBorder="1" applyAlignment="1" applyProtection="1">
      <alignment horizontal="right"/>
      <protection hidden="1"/>
    </xf>
    <xf numFmtId="179" fontId="1" fillId="5" borderId="12" xfId="13" applyNumberFormat="1" applyFill="1" applyBorder="1" applyAlignment="1" applyProtection="1">
      <alignment horizontal="right"/>
      <protection hidden="1"/>
    </xf>
    <xf numFmtId="179" fontId="1" fillId="13" borderId="13" xfId="13" applyNumberFormat="1" applyFill="1" applyBorder="1" applyAlignment="1" applyProtection="1">
      <alignment horizontal="right"/>
      <protection hidden="1"/>
    </xf>
    <xf numFmtId="179" fontId="1" fillId="2" borderId="0" xfId="13" applyNumberFormat="1" applyFill="1" applyAlignment="1" applyProtection="1">
      <alignment horizontal="right"/>
      <protection hidden="1"/>
    </xf>
    <xf numFmtId="179" fontId="1" fillId="6" borderId="12" xfId="13" applyNumberFormat="1" applyFill="1" applyBorder="1" applyAlignment="1" applyProtection="1">
      <alignment horizontal="right"/>
      <protection hidden="1"/>
    </xf>
    <xf numFmtId="179" fontId="1" fillId="14" borderId="13" xfId="13" applyNumberFormat="1" applyFill="1" applyBorder="1" applyAlignment="1" applyProtection="1">
      <alignment horizontal="right"/>
      <protection hidden="1"/>
    </xf>
    <xf numFmtId="0" fontId="1" fillId="13" borderId="12" xfId="0" applyFont="1" applyFill="1" applyBorder="1" applyAlignment="1" applyProtection="1">
      <alignment horizontal="left"/>
      <protection hidden="1"/>
    </xf>
    <xf numFmtId="0" fontId="2" fillId="14" borderId="13" xfId="0" applyFont="1" applyFill="1" applyBorder="1" applyAlignment="1" applyProtection="1">
      <alignment horizontal="left"/>
      <protection hidden="1"/>
    </xf>
    <xf numFmtId="0" fontId="1" fillId="3" borderId="11" xfId="13" applyNumberFormat="1" applyFill="1" applyBorder="1" applyAlignment="1" applyProtection="1">
      <protection hidden="1"/>
    </xf>
    <xf numFmtId="166" fontId="1" fillId="3" borderId="11" xfId="13" applyNumberFormat="1" applyFill="1" applyBorder="1" applyAlignment="1" applyProtection="1">
      <protection hidden="1"/>
    </xf>
    <xf numFmtId="0" fontId="1" fillId="0" borderId="0" xfId="13" applyProtection="1">
      <protection hidden="1"/>
    </xf>
    <xf numFmtId="164" fontId="1" fillId="0" borderId="0" xfId="13" applyNumberFormat="1" applyProtection="1">
      <protection hidden="1"/>
    </xf>
    <xf numFmtId="170" fontId="6" fillId="15" borderId="0" xfId="13" applyNumberFormat="1" applyFont="1" applyFill="1" applyBorder="1" applyProtection="1">
      <protection hidden="1"/>
    </xf>
    <xf numFmtId="179" fontId="6" fillId="15" borderId="0" xfId="13" applyNumberFormat="1" applyFont="1" applyFill="1" applyBorder="1" applyProtection="1">
      <protection hidden="1"/>
    </xf>
    <xf numFmtId="167" fontId="1" fillId="0" borderId="0" xfId="13" applyNumberFormat="1" applyProtection="1">
      <protection hidden="1"/>
    </xf>
    <xf numFmtId="181" fontId="6" fillId="15" borderId="0" xfId="13" applyNumberFormat="1" applyFont="1" applyFill="1" applyBorder="1" applyProtection="1">
      <protection hidden="1"/>
    </xf>
    <xf numFmtId="0" fontId="1" fillId="7" borderId="0" xfId="13" applyFill="1" applyBorder="1" applyProtection="1">
      <protection hidden="1"/>
    </xf>
    <xf numFmtId="0" fontId="6" fillId="15" borderId="0" xfId="13" applyFont="1" applyFill="1" applyBorder="1" applyProtection="1">
      <protection hidden="1"/>
    </xf>
    <xf numFmtId="168" fontId="5" fillId="15" borderId="0" xfId="13" applyNumberFormat="1" applyFont="1" applyFill="1" applyBorder="1" applyProtection="1">
      <protection hidden="1"/>
    </xf>
    <xf numFmtId="0" fontId="1" fillId="7" borderId="0" xfId="13" applyFill="1" applyProtection="1">
      <protection hidden="1"/>
    </xf>
    <xf numFmtId="179" fontId="1" fillId="10" borderId="0" xfId="13" applyNumberFormat="1" applyFill="1" applyBorder="1" applyAlignment="1" applyProtection="1">
      <alignment horizontal="right"/>
      <protection locked="0" hidden="1"/>
    </xf>
    <xf numFmtId="179" fontId="1" fillId="10" borderId="14" xfId="13" applyNumberFormat="1" applyFill="1" applyBorder="1" applyAlignment="1" applyProtection="1">
      <protection hidden="1"/>
    </xf>
    <xf numFmtId="179" fontId="1" fillId="10" borderId="0" xfId="13" applyNumberFormat="1" applyFill="1" applyBorder="1" applyAlignment="1" applyProtection="1">
      <alignment horizontal="right"/>
      <protection hidden="1"/>
    </xf>
    <xf numFmtId="179" fontId="1" fillId="12" borderId="14" xfId="13" applyNumberFormat="1" applyFill="1" applyBorder="1" applyAlignment="1" applyProtection="1">
      <protection hidden="1"/>
    </xf>
    <xf numFmtId="179" fontId="1" fillId="12" borderId="0" xfId="13" applyNumberFormat="1" applyFill="1" applyBorder="1" applyAlignment="1" applyProtection="1">
      <alignment horizontal="right"/>
      <protection hidden="1"/>
    </xf>
    <xf numFmtId="179" fontId="1" fillId="10" borderId="0" xfId="13" applyNumberFormat="1" applyFont="1" applyFill="1" applyBorder="1" applyAlignment="1" applyProtection="1">
      <alignment horizontal="right"/>
      <protection locked="0" hidden="1"/>
    </xf>
    <xf numFmtId="179" fontId="1" fillId="16" borderId="0" xfId="13" applyNumberFormat="1" applyFont="1" applyFill="1" applyBorder="1" applyAlignment="1" applyProtection="1">
      <alignment horizontal="right"/>
      <protection hidden="1"/>
    </xf>
    <xf numFmtId="179" fontId="1" fillId="16" borderId="14" xfId="13" applyNumberFormat="1" applyFill="1" applyBorder="1" applyAlignment="1" applyProtection="1">
      <protection hidden="1"/>
    </xf>
    <xf numFmtId="179" fontId="1" fillId="8" borderId="14" xfId="13" applyNumberFormat="1" applyFill="1" applyBorder="1" applyAlignment="1" applyProtection="1">
      <protection hidden="1"/>
    </xf>
    <xf numFmtId="0" fontId="2" fillId="4" borderId="0" xfId="0" applyFont="1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left"/>
      <protection hidden="1"/>
    </xf>
    <xf numFmtId="167" fontId="2" fillId="4" borderId="0" xfId="0" applyNumberFormat="1" applyFont="1" applyFill="1" applyBorder="1" applyAlignment="1" applyProtection="1">
      <protection hidden="1"/>
    </xf>
    <xf numFmtId="166" fontId="0" fillId="4" borderId="0" xfId="0" applyNumberFormat="1" applyFill="1" applyBorder="1" applyAlignment="1" applyProtection="1">
      <protection hidden="1"/>
    </xf>
    <xf numFmtId="167" fontId="0" fillId="4" borderId="0" xfId="0" applyNumberFormat="1" applyFill="1" applyBorder="1" applyAlignment="1" applyProtection="1">
      <protection hidden="1"/>
    </xf>
    <xf numFmtId="179" fontId="0" fillId="4" borderId="0" xfId="0" applyNumberFormat="1" applyFill="1" applyBorder="1" applyAlignment="1" applyProtection="1">
      <alignment horizontal="left"/>
      <protection hidden="1"/>
    </xf>
    <xf numFmtId="165" fontId="2" fillId="4" borderId="0" xfId="0" applyNumberFormat="1" applyFont="1" applyFill="1" applyBorder="1" applyAlignment="1" applyProtection="1">
      <alignment horizontal="left"/>
      <protection hidden="1"/>
    </xf>
    <xf numFmtId="0" fontId="1" fillId="4" borderId="0" xfId="13" applyFill="1" applyProtection="1">
      <protection hidden="1"/>
    </xf>
    <xf numFmtId="165" fontId="0" fillId="4" borderId="0" xfId="0" applyNumberFormat="1" applyFill="1" applyBorder="1" applyAlignment="1" applyProtection="1">
      <alignment horizontal="left"/>
      <protection hidden="1"/>
    </xf>
    <xf numFmtId="0" fontId="2" fillId="17" borderId="0" xfId="13" applyFont="1" applyFill="1" applyBorder="1" applyAlignment="1" applyProtection="1">
      <alignment horizontal="left"/>
      <protection hidden="1"/>
    </xf>
    <xf numFmtId="0" fontId="16" fillId="18" borderId="15" xfId="13" applyFont="1" applyFill="1" applyBorder="1" applyAlignment="1" applyProtection="1">
      <alignment horizontal="left"/>
      <protection hidden="1"/>
    </xf>
    <xf numFmtId="179" fontId="1" fillId="18" borderId="16" xfId="13" applyNumberFormat="1" applyFill="1" applyBorder="1" applyAlignment="1" applyProtection="1">
      <protection locked="0" hidden="1"/>
    </xf>
    <xf numFmtId="179" fontId="1" fillId="18" borderId="0" xfId="13" applyNumberFormat="1" applyFill="1" applyBorder="1" applyAlignment="1" applyProtection="1">
      <protection locked="0" hidden="1"/>
    </xf>
    <xf numFmtId="179" fontId="1" fillId="19" borderId="0" xfId="13" applyNumberFormat="1" applyFill="1" applyBorder="1" applyAlignment="1" applyProtection="1">
      <protection hidden="1"/>
    </xf>
    <xf numFmtId="0" fontId="16" fillId="4" borderId="17" xfId="13" applyFont="1" applyFill="1" applyBorder="1" applyAlignment="1" applyProtection="1">
      <alignment horizontal="left"/>
      <protection hidden="1"/>
    </xf>
    <xf numFmtId="179" fontId="1" fillId="4" borderId="0" xfId="13" applyNumberFormat="1" applyFill="1" applyBorder="1" applyAlignment="1" applyProtection="1">
      <protection locked="0" hidden="1"/>
    </xf>
    <xf numFmtId="179" fontId="1" fillId="6" borderId="0" xfId="13" applyNumberFormat="1" applyFill="1" applyBorder="1" applyAlignment="1" applyProtection="1">
      <protection hidden="1"/>
    </xf>
    <xf numFmtId="0" fontId="1" fillId="10" borderId="0" xfId="13" applyFill="1" applyBorder="1" applyAlignment="1" applyProtection="1">
      <alignment horizontal="center"/>
      <protection locked="0" hidden="1"/>
    </xf>
    <xf numFmtId="164" fontId="1" fillId="5" borderId="0" xfId="13" applyNumberFormat="1" applyFill="1" applyBorder="1" applyAlignment="1" applyProtection="1">
      <alignment horizontal="right"/>
      <protection hidden="1"/>
    </xf>
    <xf numFmtId="179" fontId="1" fillId="20" borderId="14" xfId="13" applyNumberFormat="1" applyFill="1" applyBorder="1" applyProtection="1">
      <protection hidden="1"/>
    </xf>
    <xf numFmtId="179" fontId="2" fillId="11" borderId="18" xfId="13" applyNumberFormat="1" applyFont="1" applyFill="1" applyBorder="1" applyProtection="1">
      <protection hidden="1"/>
    </xf>
    <xf numFmtId="0" fontId="18" fillId="21" borderId="19" xfId="13" applyFont="1" applyFill="1" applyBorder="1" applyAlignment="1" applyProtection="1">
      <alignment horizontal="left"/>
      <protection hidden="1"/>
    </xf>
    <xf numFmtId="0" fontId="18" fillId="21" borderId="20" xfId="13" applyFont="1" applyFill="1" applyBorder="1" applyAlignment="1" applyProtection="1">
      <alignment horizontal="right"/>
      <protection hidden="1"/>
    </xf>
    <xf numFmtId="0" fontId="18" fillId="21" borderId="21" xfId="13" applyFont="1" applyFill="1" applyBorder="1" applyAlignment="1" applyProtection="1">
      <alignment horizontal="right"/>
      <protection hidden="1"/>
    </xf>
    <xf numFmtId="0" fontId="1" fillId="7" borderId="22" xfId="13" applyFill="1" applyBorder="1" applyAlignment="1" applyProtection="1">
      <protection hidden="1"/>
    </xf>
    <xf numFmtId="0" fontId="1" fillId="7" borderId="0" xfId="13" applyFill="1" applyBorder="1" applyAlignment="1" applyProtection="1">
      <protection hidden="1"/>
    </xf>
    <xf numFmtId="0" fontId="1" fillId="7" borderId="23" xfId="13" applyFill="1" applyBorder="1" applyAlignment="1" applyProtection="1">
      <protection hidden="1"/>
    </xf>
    <xf numFmtId="0" fontId="1" fillId="7" borderId="24" xfId="13" applyFill="1" applyBorder="1" applyAlignment="1" applyProtection="1">
      <protection hidden="1"/>
    </xf>
    <xf numFmtId="0" fontId="1" fillId="7" borderId="25" xfId="13" applyFill="1" applyBorder="1" applyAlignment="1" applyProtection="1">
      <protection hidden="1"/>
    </xf>
    <xf numFmtId="0" fontId="1" fillId="7" borderId="26" xfId="13" applyFill="1" applyBorder="1" applyAlignment="1" applyProtection="1">
      <protection hidden="1"/>
    </xf>
    <xf numFmtId="167" fontId="1" fillId="7" borderId="0" xfId="13" applyNumberFormat="1" applyFill="1" applyProtection="1">
      <protection hidden="1"/>
    </xf>
    <xf numFmtId="179" fontId="1" fillId="7" borderId="0" xfId="13" applyNumberFormat="1" applyFill="1" applyProtection="1">
      <protection hidden="1"/>
    </xf>
    <xf numFmtId="166" fontId="1" fillId="7" borderId="0" xfId="13" applyNumberFormat="1" applyFill="1" applyProtection="1">
      <protection hidden="1"/>
    </xf>
    <xf numFmtId="0" fontId="5" fillId="15" borderId="7" xfId="13" applyFont="1" applyFill="1" applyBorder="1" applyAlignment="1" applyProtection="1">
      <alignment horizontal="left"/>
      <protection hidden="1"/>
    </xf>
    <xf numFmtId="181" fontId="6" fillId="15" borderId="7" xfId="13" applyNumberFormat="1" applyFont="1" applyFill="1" applyBorder="1" applyProtection="1">
      <protection hidden="1"/>
    </xf>
    <xf numFmtId="169" fontId="6" fillId="15" borderId="0" xfId="13" applyNumberFormat="1" applyFont="1" applyFill="1" applyProtection="1">
      <protection hidden="1"/>
    </xf>
    <xf numFmtId="0" fontId="6" fillId="15" borderId="0" xfId="13" applyFont="1" applyFill="1" applyProtection="1">
      <protection hidden="1"/>
    </xf>
    <xf numFmtId="168" fontId="6" fillId="15" borderId="7" xfId="13" applyNumberFormat="1" applyFont="1" applyFill="1" applyBorder="1" applyProtection="1">
      <protection hidden="1"/>
    </xf>
    <xf numFmtId="169" fontId="6" fillId="15" borderId="7" xfId="13" applyNumberFormat="1" applyFont="1" applyFill="1" applyBorder="1" applyProtection="1">
      <protection hidden="1"/>
    </xf>
    <xf numFmtId="170" fontId="6" fillId="15" borderId="7" xfId="13" applyNumberFormat="1" applyFont="1" applyFill="1" applyBorder="1" applyProtection="1">
      <protection hidden="1"/>
    </xf>
    <xf numFmtId="170" fontId="6" fillId="15" borderId="8" xfId="13" applyNumberFormat="1" applyFont="1" applyFill="1" applyBorder="1" applyProtection="1">
      <protection hidden="1"/>
    </xf>
    <xf numFmtId="182" fontId="6" fillId="15" borderId="7" xfId="13" applyNumberFormat="1" applyFont="1" applyFill="1" applyBorder="1" applyProtection="1">
      <protection hidden="1"/>
    </xf>
    <xf numFmtId="169" fontId="5" fillId="15" borderId="7" xfId="13" applyNumberFormat="1" applyFont="1" applyFill="1" applyBorder="1" applyAlignment="1" applyProtection="1">
      <alignment horizontal="center"/>
      <protection hidden="1"/>
    </xf>
    <xf numFmtId="169" fontId="5" fillId="15" borderId="0" xfId="13" applyNumberFormat="1" applyFont="1" applyFill="1" applyBorder="1" applyAlignment="1" applyProtection="1">
      <alignment horizontal="center"/>
      <protection hidden="1"/>
    </xf>
    <xf numFmtId="168" fontId="5" fillId="15" borderId="7" xfId="13" applyNumberFormat="1" applyFont="1" applyFill="1" applyBorder="1" applyProtection="1">
      <protection hidden="1"/>
    </xf>
    <xf numFmtId="166" fontId="1" fillId="2" borderId="11" xfId="13" applyNumberFormat="1" applyFill="1" applyBorder="1" applyAlignment="1" applyProtection="1">
      <protection hidden="1"/>
    </xf>
    <xf numFmtId="0" fontId="1" fillId="2" borderId="17" xfId="13" applyFill="1" applyBorder="1" applyAlignment="1" applyProtection="1">
      <alignment horizontal="left"/>
      <protection hidden="1"/>
    </xf>
    <xf numFmtId="166" fontId="1" fillId="2" borderId="16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right"/>
      <protection hidden="1"/>
    </xf>
    <xf numFmtId="179" fontId="1" fillId="2" borderId="0" xfId="13" applyNumberFormat="1" applyFill="1" applyBorder="1" applyAlignment="1" applyProtection="1">
      <protection hidden="1"/>
    </xf>
    <xf numFmtId="0" fontId="16" fillId="2" borderId="17" xfId="13" applyFont="1" applyFill="1" applyBorder="1" applyAlignment="1" applyProtection="1">
      <alignment horizontal="left"/>
      <protection hidden="1"/>
    </xf>
    <xf numFmtId="0" fontId="1" fillId="2" borderId="17" xfId="13" applyFont="1" applyFill="1" applyBorder="1" applyAlignment="1" applyProtection="1">
      <alignment horizontal="left"/>
      <protection hidden="1"/>
    </xf>
    <xf numFmtId="0" fontId="2" fillId="2" borderId="17" xfId="13" quotePrefix="1" applyFont="1" applyFill="1" applyBorder="1" applyAlignment="1" applyProtection="1">
      <alignment horizontal="left"/>
      <protection hidden="1"/>
    </xf>
    <xf numFmtId="0" fontId="1" fillId="2" borderId="17" xfId="13" applyFill="1" applyBorder="1" applyProtection="1">
      <protection hidden="1"/>
    </xf>
    <xf numFmtId="0" fontId="1" fillId="2" borderId="27" xfId="13" applyFill="1" applyBorder="1" applyProtection="1">
      <protection hidden="1"/>
    </xf>
    <xf numFmtId="179" fontId="1" fillId="2" borderId="0" xfId="13" applyNumberFormat="1" applyFill="1" applyBorder="1"/>
    <xf numFmtId="179" fontId="2" fillId="2" borderId="0" xfId="13" applyNumberFormat="1" applyFont="1" applyFill="1" applyBorder="1" applyAlignment="1" applyProtection="1">
      <alignment horizontal="left"/>
      <protection hidden="1"/>
    </xf>
    <xf numFmtId="179" fontId="1" fillId="2" borderId="0" xfId="13" applyNumberFormat="1" applyFill="1" applyBorder="1" applyAlignment="1" applyProtection="1">
      <alignment horizontal="left"/>
      <protection hidden="1"/>
    </xf>
    <xf numFmtId="0" fontId="1" fillId="2" borderId="28" xfId="13" applyFill="1" applyBorder="1" applyProtection="1">
      <protection hidden="1"/>
    </xf>
    <xf numFmtId="166" fontId="2" fillId="2" borderId="28" xfId="13" applyNumberFormat="1" applyFont="1" applyFill="1" applyBorder="1" applyAlignment="1" applyProtection="1">
      <protection hidden="1"/>
    </xf>
    <xf numFmtId="166" fontId="1" fillId="2" borderId="29" xfId="13" applyNumberFormat="1" applyFill="1" applyBorder="1" applyAlignment="1" applyProtection="1">
      <protection hidden="1"/>
    </xf>
    <xf numFmtId="0" fontId="1" fillId="2" borderId="14" xfId="13" applyFill="1" applyBorder="1"/>
    <xf numFmtId="166" fontId="1" fillId="2" borderId="14" xfId="13" applyNumberFormat="1" applyFill="1" applyBorder="1" applyAlignment="1" applyProtection="1">
      <protection hidden="1"/>
    </xf>
    <xf numFmtId="179" fontId="1" fillId="2" borderId="14" xfId="13" applyNumberFormat="1" applyFill="1" applyBorder="1" applyAlignment="1" applyProtection="1">
      <protection hidden="1"/>
    </xf>
    <xf numFmtId="179" fontId="1" fillId="2" borderId="14" xfId="13" applyNumberFormat="1" applyFill="1" applyBorder="1" applyProtection="1">
      <protection hidden="1"/>
    </xf>
    <xf numFmtId="0" fontId="1" fillId="2" borderId="31" xfId="13" applyFill="1" applyBorder="1"/>
    <xf numFmtId="164" fontId="1" fillId="22" borderId="0" xfId="13" applyNumberFormat="1" applyFill="1" applyBorder="1" applyAlignment="1" applyProtection="1">
      <alignment horizontal="right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VBIWTVABREYNETHAK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VBIWTVABREYNETHAV.xlsx" TargetMode="External"/><Relationship Id="rId1" Type="http://schemas.openxmlformats.org/officeDocument/2006/relationships/hyperlink" Target="VBIWTVABREYNET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WTVABREYNETHDAC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369"/>
  <sheetViews>
    <sheetView tabSelected="1" zoomScaleNormal="100" workbookViewId="0">
      <selection activeCell="B3" sqref="B3"/>
    </sheetView>
  </sheetViews>
  <sheetFormatPr defaultRowHeight="12.75"/>
  <cols>
    <col min="1" max="1" width="43.7109375" style="1" customWidth="1"/>
    <col min="2" max="2" width="16.85546875" style="1" customWidth="1"/>
    <col min="3" max="3" width="18.28515625" style="1" customWidth="1"/>
    <col min="4" max="4" width="15.42578125" style="1" customWidth="1"/>
    <col min="5" max="5" width="16.7109375" style="1" customWidth="1"/>
    <col min="6" max="6" width="15" style="1" customWidth="1"/>
    <col min="7" max="7" width="15.85546875" style="1" bestFit="1" customWidth="1"/>
    <col min="8" max="16" width="9.140625" style="1"/>
    <col min="17" max="17" width="12.140625" style="1" bestFit="1" customWidth="1"/>
    <col min="18" max="16384" width="9.140625" style="1"/>
  </cols>
  <sheetData>
    <row r="1" spans="1:7" ht="27.75" customHeight="1" thickTop="1">
      <c r="A1" s="82" t="s">
        <v>114</v>
      </c>
      <c r="B1" s="50"/>
      <c r="C1" s="50"/>
      <c r="D1" s="50"/>
      <c r="E1" s="108"/>
      <c r="F1" s="109"/>
      <c r="G1" s="174"/>
    </row>
    <row r="2" spans="1:7">
      <c r="A2" s="2"/>
      <c r="B2" s="2"/>
      <c r="C2" s="2"/>
      <c r="D2" s="2"/>
      <c r="E2" s="3"/>
      <c r="F2" s="3"/>
      <c r="G2" s="3"/>
    </row>
    <row r="3" spans="1:7">
      <c r="A3" s="2" t="s">
        <v>0</v>
      </c>
      <c r="B3" s="51"/>
      <c r="C3" s="2"/>
      <c r="D3" s="2"/>
      <c r="E3" s="3"/>
      <c r="F3" s="3"/>
      <c r="G3" s="4"/>
    </row>
    <row r="4" spans="1:7">
      <c r="A4" s="83" t="s">
        <v>50</v>
      </c>
      <c r="B4" s="52"/>
      <c r="C4" s="5"/>
      <c r="E4" s="6"/>
      <c r="F4" s="3"/>
    </row>
    <row r="5" spans="1:7">
      <c r="A5" s="2" t="s">
        <v>51</v>
      </c>
      <c r="B5" s="84">
        <v>0</v>
      </c>
      <c r="C5" s="5"/>
      <c r="E5" s="6"/>
      <c r="F5" s="3"/>
    </row>
    <row r="6" spans="1:7">
      <c r="A6" s="2" t="s">
        <v>52</v>
      </c>
      <c r="B6" s="84">
        <v>0</v>
      </c>
      <c r="C6" s="5"/>
      <c r="E6" s="6"/>
      <c r="F6" s="3"/>
    </row>
    <row r="7" spans="1:7">
      <c r="A7" s="2" t="s">
        <v>53</v>
      </c>
      <c r="B7" s="85" t="s">
        <v>62</v>
      </c>
      <c r="C7" s="5"/>
      <c r="E7" s="6"/>
      <c r="F7" s="3"/>
    </row>
    <row r="8" spans="1:7">
      <c r="A8" s="10" t="s">
        <v>54</v>
      </c>
      <c r="B8" s="86">
        <v>0</v>
      </c>
      <c r="C8" s="5"/>
      <c r="D8" s="3"/>
      <c r="E8" s="7"/>
      <c r="F8" s="3"/>
    </row>
    <row r="9" spans="1:7">
      <c r="A9" s="10" t="s">
        <v>55</v>
      </c>
      <c r="B9" s="87">
        <v>0</v>
      </c>
      <c r="C9" s="5"/>
      <c r="D9" s="3"/>
      <c r="E9" s="7"/>
      <c r="F9" s="3"/>
    </row>
    <row r="10" spans="1:7">
      <c r="A10" s="8" t="s">
        <v>56</v>
      </c>
      <c r="B10" s="88">
        <f>IF(B8&lt;B6,B6/2+B5+B9,B6+B5+B9)</f>
        <v>0</v>
      </c>
      <c r="C10" s="9"/>
      <c r="D10" s="3"/>
      <c r="E10" s="7"/>
      <c r="F10" s="3"/>
    </row>
    <row r="11" spans="1:7" ht="15">
      <c r="A11" s="15" t="s">
        <v>57</v>
      </c>
      <c r="B11" s="86">
        <v>0</v>
      </c>
      <c r="C11" s="5"/>
      <c r="D11" s="3"/>
      <c r="E11" s="7"/>
      <c r="F11" s="3"/>
    </row>
    <row r="12" spans="1:7" ht="15">
      <c r="A12" s="14" t="s">
        <v>58</v>
      </c>
      <c r="B12" s="89" t="s">
        <v>63</v>
      </c>
      <c r="D12" s="3"/>
      <c r="E12" s="7"/>
      <c r="F12" s="3"/>
    </row>
    <row r="13" spans="1:7" ht="15">
      <c r="A13" s="14" t="s">
        <v>59</v>
      </c>
      <c r="B13" s="89" t="s">
        <v>81</v>
      </c>
      <c r="E13" s="6"/>
      <c r="F13" s="3"/>
    </row>
    <row r="14" spans="1:7" ht="15">
      <c r="A14" s="14" t="s">
        <v>60</v>
      </c>
      <c r="B14" s="89" t="s">
        <v>63</v>
      </c>
      <c r="D14" s="5"/>
      <c r="E14" s="10"/>
      <c r="F14" s="3"/>
      <c r="G14" s="7"/>
    </row>
    <row r="15" spans="1:7">
      <c r="A15" s="9" t="s">
        <v>61</v>
      </c>
      <c r="B15" s="90" t="s">
        <v>63</v>
      </c>
      <c r="E15" s="6"/>
      <c r="F15" s="3"/>
      <c r="G15" s="3"/>
    </row>
    <row r="16" spans="1:7" ht="13.5" thickBot="1">
      <c r="A16" s="11" t="s">
        <v>2</v>
      </c>
      <c r="B16" s="2"/>
      <c r="C16" s="2"/>
      <c r="D16" s="2"/>
      <c r="E16" s="3"/>
      <c r="F16" s="3"/>
      <c r="G16" s="3"/>
    </row>
    <row r="17" spans="1:7" ht="14.25" thickTop="1" thickBot="1">
      <c r="A17" s="91" t="s">
        <v>64</v>
      </c>
      <c r="B17" s="12"/>
      <c r="C17" s="2"/>
      <c r="D17" s="2"/>
      <c r="E17" s="3"/>
      <c r="F17" s="3"/>
      <c r="G17" s="3"/>
    </row>
    <row r="18" spans="1:7" ht="14.25" thickTop="1" thickBot="1">
      <c r="A18" s="2"/>
      <c r="B18" s="2"/>
      <c r="C18" s="2"/>
      <c r="D18" s="2"/>
      <c r="E18" s="3"/>
      <c r="F18" s="3"/>
      <c r="G18" s="3"/>
    </row>
    <row r="19" spans="1:7" ht="14.25" thickTop="1" thickBot="1">
      <c r="A19" s="92" t="s">
        <v>65</v>
      </c>
      <c r="B19" s="2"/>
      <c r="C19" s="2"/>
      <c r="E19" s="99">
        <f>IF(AND(B12="oui",B15="oui"),F273-250,F273)</f>
        <v>0</v>
      </c>
      <c r="F19" s="6"/>
    </row>
    <row r="20" spans="1:7" ht="13.5" thickTop="1">
      <c r="A20" s="14" t="s">
        <v>66</v>
      </c>
      <c r="B20" s="5"/>
      <c r="C20" s="5"/>
      <c r="D20" s="95">
        <f>IF(B7="oui",0,F197)</f>
        <v>0</v>
      </c>
      <c r="E20" s="100"/>
      <c r="F20" s="10"/>
      <c r="G20" s="7"/>
    </row>
    <row r="21" spans="1:7">
      <c r="A21" s="9" t="s">
        <v>67</v>
      </c>
      <c r="B21" s="9"/>
      <c r="C21" s="5"/>
      <c r="D21" s="95">
        <f>IF(B7="oui",(B5+B8)*21%,B8*21%)</f>
        <v>0</v>
      </c>
      <c r="E21" s="100"/>
      <c r="F21" s="10"/>
      <c r="G21" s="7"/>
    </row>
    <row r="22" spans="1:7">
      <c r="A22" s="93" t="s">
        <v>68</v>
      </c>
      <c r="B22" s="5"/>
      <c r="C22" s="5"/>
      <c r="D22" s="96">
        <v>0</v>
      </c>
      <c r="E22" s="100"/>
      <c r="F22" s="3"/>
      <c r="G22" s="3"/>
    </row>
    <row r="23" spans="1:7">
      <c r="A23" s="14" t="s">
        <v>69</v>
      </c>
      <c r="B23" s="53">
        <v>0</v>
      </c>
      <c r="C23" s="5"/>
      <c r="D23" s="95">
        <f>B23*30</f>
        <v>0</v>
      </c>
      <c r="E23" s="100"/>
      <c r="F23" s="3"/>
      <c r="G23" s="3"/>
    </row>
    <row r="24" spans="1:7">
      <c r="A24" s="14" t="s">
        <v>70</v>
      </c>
      <c r="B24" s="5"/>
      <c r="C24" s="5"/>
      <c r="D24" s="97">
        <v>770</v>
      </c>
      <c r="E24" s="100"/>
      <c r="F24" s="3"/>
      <c r="G24" s="3"/>
    </row>
    <row r="25" spans="1:7" ht="15.75" thickBot="1">
      <c r="A25" s="14" t="s">
        <v>71</v>
      </c>
      <c r="B25" s="15"/>
      <c r="C25" s="15"/>
      <c r="D25" s="98">
        <v>0</v>
      </c>
      <c r="E25" s="100"/>
      <c r="F25" s="3"/>
      <c r="G25" s="3"/>
    </row>
    <row r="26" spans="1:7" ht="14.25" thickTop="1" thickBot="1">
      <c r="A26" s="94" t="s">
        <v>72</v>
      </c>
      <c r="B26" s="5"/>
      <c r="C26" s="5"/>
      <c r="E26" s="99">
        <f>SUM(D20:D25)</f>
        <v>770</v>
      </c>
      <c r="F26" s="3"/>
      <c r="G26" s="3"/>
    </row>
    <row r="27" spans="1:7" ht="14.25" thickTop="1" thickBot="1">
      <c r="B27" s="5"/>
      <c r="C27" s="5"/>
      <c r="D27" s="54" t="s">
        <v>4</v>
      </c>
      <c r="E27" s="101">
        <f>(E19+D24)*21%</f>
        <v>161.69999999999999</v>
      </c>
      <c r="F27" s="3"/>
      <c r="G27" s="3"/>
    </row>
    <row r="28" spans="1:7" ht="14.25" thickTop="1" thickBot="1">
      <c r="A28" s="16"/>
      <c r="B28" s="5"/>
      <c r="C28" s="5"/>
      <c r="D28" s="17"/>
      <c r="E28" s="100"/>
      <c r="F28" s="3"/>
      <c r="G28" s="3"/>
    </row>
    <row r="29" spans="1:7" ht="14.25" thickTop="1" thickBot="1">
      <c r="A29" s="106" t="s">
        <v>78</v>
      </c>
      <c r="B29" s="19"/>
      <c r="C29" s="5"/>
      <c r="D29" s="20"/>
      <c r="E29" s="102">
        <f>SUM(E19:E27)</f>
        <v>931.7</v>
      </c>
      <c r="F29" s="3"/>
      <c r="G29" s="3"/>
    </row>
    <row r="30" spans="1:7" ht="14.25" thickTop="1" thickBot="1">
      <c r="A30" s="9"/>
      <c r="B30" s="5"/>
      <c r="C30" s="5"/>
      <c r="D30" s="20"/>
      <c r="E30" s="103"/>
      <c r="F30" s="3"/>
      <c r="G30" s="3"/>
    </row>
    <row r="31" spans="1:7" ht="14.25" thickTop="1" thickBot="1">
      <c r="A31" s="107" t="s">
        <v>73</v>
      </c>
      <c r="B31" s="19"/>
      <c r="C31" s="5"/>
      <c r="D31" s="13"/>
      <c r="E31" s="100"/>
      <c r="F31" s="3"/>
      <c r="G31" s="3"/>
    </row>
    <row r="32" spans="1:7" ht="13.5" thickTop="1">
      <c r="A32" s="9"/>
      <c r="B32" s="5"/>
      <c r="C32" s="5"/>
      <c r="D32" s="13"/>
      <c r="E32" s="100"/>
      <c r="F32" s="3"/>
      <c r="G32" s="3"/>
    </row>
    <row r="33" spans="1:7">
      <c r="A33" s="14" t="s">
        <v>74</v>
      </c>
      <c r="B33" s="5"/>
      <c r="C33" s="5"/>
      <c r="D33" s="96">
        <v>0</v>
      </c>
      <c r="E33" s="100"/>
      <c r="F33" s="3"/>
      <c r="G33" s="3"/>
    </row>
    <row r="34" spans="1:7">
      <c r="A34" s="14" t="s">
        <v>75</v>
      </c>
      <c r="B34" s="5"/>
      <c r="C34" s="5"/>
      <c r="D34" s="96">
        <v>0</v>
      </c>
      <c r="E34" s="100"/>
      <c r="F34" s="3"/>
      <c r="G34" s="3"/>
    </row>
    <row r="35" spans="1:7" ht="13.5" thickBot="1">
      <c r="A35" s="14"/>
      <c r="B35" s="5"/>
      <c r="C35" s="5"/>
      <c r="D35" s="195"/>
      <c r="E35" s="100"/>
      <c r="F35" s="3"/>
      <c r="G35" s="3"/>
    </row>
    <row r="36" spans="1:7" ht="14.25" thickTop="1" thickBot="1">
      <c r="A36" s="55" t="s">
        <v>76</v>
      </c>
      <c r="B36" s="5"/>
      <c r="C36" s="5"/>
      <c r="D36" s="194"/>
      <c r="E36" s="104">
        <f>SUM(D33:D35)</f>
        <v>0</v>
      </c>
      <c r="F36" s="3"/>
      <c r="G36" s="7"/>
    </row>
    <row r="37" spans="1:7" ht="14.25" thickTop="1" thickBot="1">
      <c r="A37" s="22"/>
      <c r="B37" s="5"/>
      <c r="C37" s="5"/>
      <c r="D37" s="17"/>
      <c r="E37" s="100"/>
      <c r="F37" s="3"/>
      <c r="G37" s="7"/>
    </row>
    <row r="38" spans="1:7" ht="14.25" thickTop="1" thickBot="1">
      <c r="A38" s="107" t="s">
        <v>77</v>
      </c>
      <c r="B38" s="19"/>
      <c r="C38" s="5"/>
      <c r="D38" s="23"/>
      <c r="E38" s="105">
        <f>SUM(E36:E36)</f>
        <v>0</v>
      </c>
      <c r="F38" s="24"/>
      <c r="G38" s="7"/>
    </row>
    <row r="39" spans="1:7" ht="13.5" thickTop="1">
      <c r="A39" s="83"/>
      <c r="B39" s="5"/>
      <c r="C39" s="5"/>
      <c r="D39" s="5"/>
      <c r="E39" s="100"/>
      <c r="F39" s="3"/>
      <c r="G39" s="7"/>
    </row>
    <row r="40" spans="1:7">
      <c r="A40" s="138" t="s">
        <v>99</v>
      </c>
      <c r="B40" s="2"/>
      <c r="C40" s="2"/>
      <c r="D40" s="2"/>
      <c r="E40" s="4"/>
      <c r="F40" s="3"/>
      <c r="G40" s="6"/>
    </row>
    <row r="41" spans="1:7" ht="13.5" thickBot="1">
      <c r="A41" s="2"/>
      <c r="B41" s="2"/>
      <c r="C41" s="2"/>
      <c r="D41" s="2"/>
      <c r="E41" s="4"/>
      <c r="F41" s="3"/>
      <c r="G41" s="6"/>
    </row>
    <row r="42" spans="1:7" ht="13.5" thickTop="1">
      <c r="A42" s="139" t="s">
        <v>100</v>
      </c>
      <c r="B42" s="176" t="s">
        <v>83</v>
      </c>
      <c r="C42" s="140">
        <v>0</v>
      </c>
      <c r="D42" s="176"/>
      <c r="E42" s="176"/>
      <c r="F42" s="189"/>
      <c r="G42" s="4"/>
    </row>
    <row r="43" spans="1:7">
      <c r="A43" s="175"/>
      <c r="B43" s="3" t="s">
        <v>84</v>
      </c>
      <c r="C43" s="141">
        <v>0</v>
      </c>
      <c r="D43" s="16"/>
      <c r="E43" s="16"/>
      <c r="F43" s="190"/>
      <c r="G43" s="4"/>
    </row>
    <row r="44" spans="1:7">
      <c r="A44" s="175"/>
      <c r="B44" s="3" t="s">
        <v>85</v>
      </c>
      <c r="C44" s="142">
        <f>SUM(C42:C43)</f>
        <v>0</v>
      </c>
      <c r="D44" s="16"/>
      <c r="E44" s="16"/>
      <c r="F44" s="190"/>
      <c r="G44" s="3"/>
    </row>
    <row r="45" spans="1:7">
      <c r="A45" s="175"/>
      <c r="B45" s="3"/>
      <c r="C45" s="178"/>
      <c r="D45" s="16"/>
      <c r="E45" s="16"/>
      <c r="F45" s="190"/>
      <c r="G45" s="16"/>
    </row>
    <row r="46" spans="1:7">
      <c r="A46" s="143" t="s">
        <v>101</v>
      </c>
      <c r="B46" s="3" t="s">
        <v>83</v>
      </c>
      <c r="C46" s="144">
        <v>0</v>
      </c>
      <c r="D46" s="16"/>
      <c r="E46" s="16"/>
      <c r="F46" s="190"/>
      <c r="G46" s="16"/>
    </row>
    <row r="47" spans="1:7">
      <c r="A47" s="179"/>
      <c r="B47" s="3" t="s">
        <v>84</v>
      </c>
      <c r="C47" s="144">
        <v>0</v>
      </c>
      <c r="D47" s="16"/>
      <c r="E47" s="16"/>
      <c r="F47" s="190"/>
      <c r="G47" s="16"/>
    </row>
    <row r="48" spans="1:7">
      <c r="A48" s="179"/>
      <c r="B48" s="3" t="s">
        <v>85</v>
      </c>
      <c r="C48" s="145">
        <f>SUM(C46:C47)</f>
        <v>0</v>
      </c>
      <c r="D48" s="16"/>
      <c r="E48" s="16"/>
      <c r="F48" s="190"/>
      <c r="G48" s="16"/>
    </row>
    <row r="49" spans="1:7">
      <c r="A49" s="180"/>
      <c r="B49" s="177"/>
      <c r="C49" s="184"/>
      <c r="D49" s="16"/>
      <c r="E49" s="16"/>
      <c r="F49" s="190"/>
      <c r="G49" s="3"/>
    </row>
    <row r="50" spans="1:7">
      <c r="A50" s="180" t="s">
        <v>102</v>
      </c>
      <c r="B50" s="146">
        <v>2</v>
      </c>
      <c r="C50" s="184"/>
      <c r="D50" s="16"/>
      <c r="E50" s="3"/>
      <c r="F50" s="191"/>
    </row>
    <row r="51" spans="1:7">
      <c r="A51" s="181" t="s">
        <v>2</v>
      </c>
      <c r="B51" s="2"/>
      <c r="C51" s="185"/>
      <c r="D51" s="3"/>
      <c r="E51" s="3"/>
      <c r="F51" s="191"/>
    </row>
    <row r="52" spans="1:7">
      <c r="A52" s="175"/>
      <c r="B52" s="5"/>
      <c r="C52" s="186"/>
      <c r="D52" s="3"/>
      <c r="E52" s="3" t="s">
        <v>91</v>
      </c>
      <c r="F52" s="121">
        <f>IF(C48&gt;C44,E147+(E160-E173),E135)</f>
        <v>0</v>
      </c>
    </row>
    <row r="53" spans="1:7">
      <c r="A53" s="180" t="s">
        <v>103</v>
      </c>
      <c r="B53" s="5"/>
      <c r="C53" s="122">
        <f>G88</f>
        <v>75</v>
      </c>
      <c r="D53" s="3"/>
      <c r="E53" s="10" t="s">
        <v>86</v>
      </c>
      <c r="F53" s="123">
        <f>F52*21/100</f>
        <v>0</v>
      </c>
    </row>
    <row r="54" spans="1:7">
      <c r="A54" s="180" t="s">
        <v>104</v>
      </c>
      <c r="B54" s="5"/>
      <c r="C54" s="120">
        <v>0</v>
      </c>
      <c r="D54" s="3"/>
      <c r="E54" s="3"/>
      <c r="F54" s="192"/>
    </row>
    <row r="55" spans="1:7">
      <c r="A55" s="180" t="s">
        <v>105</v>
      </c>
      <c r="B55" s="147">
        <f>(A82+ROUNDDOWN((C42+C43-1)/C83,0)*A83)</f>
        <v>67.31</v>
      </c>
      <c r="C55" s="100"/>
      <c r="D55" s="3"/>
      <c r="E55" s="3"/>
      <c r="F55" s="192"/>
    </row>
    <row r="56" spans="1:7">
      <c r="A56" s="180" t="s">
        <v>106</v>
      </c>
      <c r="B56" s="147">
        <f>(A95+ROUNDDOWN((C46+C47-1)/C96,0)*A96)</f>
        <v>117.11</v>
      </c>
      <c r="C56" s="100"/>
      <c r="D56" s="3"/>
      <c r="E56" s="3"/>
      <c r="F56" s="192"/>
    </row>
    <row r="57" spans="1:7">
      <c r="A57" s="180" t="s">
        <v>107</v>
      </c>
      <c r="B57" s="147">
        <f>IF(C48&gt;C44,(C48-C44)*0.3%,0)</f>
        <v>0</v>
      </c>
      <c r="C57" s="100"/>
      <c r="D57" s="3"/>
      <c r="E57" s="3"/>
      <c r="F57" s="192"/>
    </row>
    <row r="58" spans="1:7">
      <c r="A58" s="180" t="s">
        <v>108</v>
      </c>
      <c r="B58" s="5"/>
      <c r="C58" s="122">
        <f>D103+B57</f>
        <v>220</v>
      </c>
      <c r="D58" s="3"/>
      <c r="E58" s="3"/>
      <c r="F58" s="192"/>
    </row>
    <row r="59" spans="1:7">
      <c r="A59" s="180" t="s">
        <v>109</v>
      </c>
      <c r="B59" s="5"/>
      <c r="C59" s="122">
        <v>0</v>
      </c>
      <c r="D59" s="3"/>
      <c r="E59" s="3"/>
      <c r="F59" s="192"/>
    </row>
    <row r="60" spans="1:7">
      <c r="A60" s="175"/>
      <c r="B60" s="10" t="s">
        <v>86</v>
      </c>
      <c r="C60" s="124">
        <f>C59*21/100</f>
        <v>0</v>
      </c>
      <c r="D60" s="3"/>
      <c r="E60" s="3"/>
      <c r="F60" s="192"/>
    </row>
    <row r="61" spans="1:7">
      <c r="A61" s="180" t="s">
        <v>110</v>
      </c>
      <c r="B61" s="5"/>
      <c r="C61" s="125">
        <f>IF(B50=1,770,710)</f>
        <v>710</v>
      </c>
      <c r="D61" s="3"/>
      <c r="E61" s="3"/>
      <c r="F61" s="192"/>
    </row>
    <row r="62" spans="1:7">
      <c r="A62" s="175"/>
      <c r="B62" s="10" t="s">
        <v>86</v>
      </c>
      <c r="C62" s="124">
        <f>C61*21/100</f>
        <v>149.1</v>
      </c>
      <c r="D62" s="3"/>
      <c r="E62" s="3"/>
      <c r="F62" s="192"/>
    </row>
    <row r="63" spans="1:7">
      <c r="A63" s="180" t="s">
        <v>111</v>
      </c>
      <c r="B63" s="9"/>
      <c r="C63" s="120">
        <v>0</v>
      </c>
      <c r="D63" s="3"/>
      <c r="E63" s="3"/>
      <c r="F63" s="192"/>
    </row>
    <row r="64" spans="1:7">
      <c r="A64" s="175"/>
      <c r="B64" s="10" t="s">
        <v>86</v>
      </c>
      <c r="C64" s="124">
        <f>C63*21/100</f>
        <v>0</v>
      </c>
      <c r="D64" s="3"/>
      <c r="E64" s="3"/>
      <c r="F64" s="192"/>
    </row>
    <row r="65" spans="1:23">
      <c r="A65" s="175"/>
      <c r="B65" s="5"/>
      <c r="C65" s="100"/>
      <c r="D65" s="3"/>
      <c r="E65" s="3"/>
      <c r="F65" s="192"/>
    </row>
    <row r="66" spans="1:23">
      <c r="A66" s="175"/>
      <c r="B66" s="5" t="s">
        <v>87</v>
      </c>
      <c r="C66" s="126">
        <f>A92</f>
        <v>1004.9999999999999</v>
      </c>
      <c r="D66" s="3"/>
      <c r="E66" s="3" t="s">
        <v>88</v>
      </c>
      <c r="F66" s="127">
        <f>F52</f>
        <v>0</v>
      </c>
    </row>
    <row r="67" spans="1:23">
      <c r="A67" s="175"/>
      <c r="B67" s="5"/>
      <c r="C67" s="5"/>
      <c r="D67" s="3"/>
      <c r="E67" s="3" t="s">
        <v>87</v>
      </c>
      <c r="F67" s="127">
        <f>C66</f>
        <v>1004.9999999999999</v>
      </c>
    </row>
    <row r="68" spans="1:23">
      <c r="A68" s="175"/>
      <c r="B68" s="5"/>
      <c r="C68" s="5"/>
      <c r="D68" s="3"/>
      <c r="E68" s="3" t="s">
        <v>89</v>
      </c>
      <c r="F68" s="128">
        <f>SUM(F66+C66)</f>
        <v>1004.9999999999999</v>
      </c>
    </row>
    <row r="69" spans="1:23">
      <c r="A69" s="182"/>
      <c r="B69" s="6"/>
      <c r="C69" s="6"/>
      <c r="D69" s="6"/>
      <c r="E69" s="6"/>
      <c r="F69" s="193"/>
    </row>
    <row r="70" spans="1:23">
      <c r="A70" s="182"/>
      <c r="B70" s="6"/>
      <c r="C70" s="6"/>
      <c r="D70" s="6"/>
      <c r="E70" s="10" t="s">
        <v>112</v>
      </c>
      <c r="F70" s="148">
        <f>C60+C62+C64+F53</f>
        <v>149.1</v>
      </c>
    </row>
    <row r="71" spans="1:23" ht="13.5" thickBot="1">
      <c r="A71" s="182"/>
      <c r="B71" s="6"/>
      <c r="C71" s="6"/>
      <c r="D71" s="6"/>
      <c r="E71" s="6"/>
      <c r="F71" s="193"/>
    </row>
    <row r="72" spans="1:23" ht="14.25" thickTop="1" thickBot="1">
      <c r="A72" s="183"/>
      <c r="B72" s="187"/>
      <c r="C72" s="187"/>
      <c r="D72" s="187"/>
      <c r="E72" s="188" t="s">
        <v>90</v>
      </c>
      <c r="F72" s="149">
        <f>SUM(F68:F70)</f>
        <v>1154.0999999999999</v>
      </c>
    </row>
    <row r="73" spans="1:23" ht="13.5" thickTop="1">
      <c r="A73" s="6"/>
      <c r="B73" s="6"/>
      <c r="C73" s="6"/>
      <c r="D73" s="6"/>
      <c r="E73" s="6"/>
      <c r="F73" s="6"/>
      <c r="G73" s="6"/>
    </row>
    <row r="74" spans="1:23">
      <c r="A74" s="6"/>
      <c r="B74" s="26" t="s">
        <v>7</v>
      </c>
      <c r="D74" s="56" t="s">
        <v>8</v>
      </c>
      <c r="E74" s="6"/>
    </row>
    <row r="75" spans="1:23">
      <c r="A75" s="6"/>
      <c r="B75" s="6"/>
      <c r="D75" s="20"/>
      <c r="E75" s="6"/>
      <c r="F75" s="21"/>
      <c r="G75" s="6"/>
    </row>
    <row r="76" spans="1:23">
      <c r="A76" s="6"/>
      <c r="B76" s="25" t="s">
        <v>5</v>
      </c>
      <c r="D76" s="25" t="s">
        <v>6</v>
      </c>
      <c r="E76" s="6"/>
      <c r="F76" s="20"/>
      <c r="G76" s="18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</row>
    <row r="77" spans="1:23">
      <c r="A77" s="6"/>
      <c r="B77" s="28"/>
      <c r="C77" s="28"/>
      <c r="D77" s="28"/>
      <c r="E77" s="6"/>
      <c r="F77" s="29"/>
      <c r="G77" s="28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</row>
    <row r="78" spans="1:23" ht="14.25">
      <c r="B78" s="27"/>
      <c r="C78" s="25" t="s">
        <v>115</v>
      </c>
      <c r="D78" s="30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</row>
    <row r="79" spans="1:23" ht="14.25" hidden="1">
      <c r="B79" s="27"/>
      <c r="C79" s="25"/>
      <c r="D79" s="30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</row>
    <row r="80" spans="1:23" ht="15" hidden="1" thickBot="1">
      <c r="B80" s="27"/>
      <c r="C80" s="25"/>
      <c r="D80" s="30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</row>
    <row r="81" spans="1:23" hidden="1">
      <c r="A81" s="150" t="s">
        <v>92</v>
      </c>
      <c r="B81" s="151"/>
      <c r="C81" s="151"/>
      <c r="D81" s="152"/>
      <c r="E81" s="119"/>
      <c r="F81" s="119" t="s">
        <v>93</v>
      </c>
      <c r="G81" s="119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</row>
    <row r="82" spans="1:23" hidden="1">
      <c r="A82" s="153">
        <v>67.31</v>
      </c>
      <c r="B82" s="154" t="s">
        <v>94</v>
      </c>
      <c r="C82" s="154">
        <v>25000</v>
      </c>
      <c r="D82" s="155"/>
      <c r="E82" s="119"/>
      <c r="F82" s="119"/>
      <c r="G82" s="119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</row>
    <row r="83" spans="1:23" ht="13.5" hidden="1" thickBot="1">
      <c r="A83" s="156">
        <v>23.56</v>
      </c>
      <c r="B83" s="157" t="s">
        <v>95</v>
      </c>
      <c r="C83" s="157">
        <v>25000</v>
      </c>
      <c r="D83" s="158" t="s">
        <v>96</v>
      </c>
      <c r="E83" s="119"/>
      <c r="F83" s="119"/>
      <c r="G83" s="119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</row>
    <row r="84" spans="1:23" hidden="1">
      <c r="A84" s="119"/>
      <c r="B84" s="119"/>
      <c r="C84" s="119"/>
      <c r="D84" s="119"/>
      <c r="E84" s="119"/>
      <c r="F84" s="119"/>
      <c r="G84" s="159">
        <f>C48-C44</f>
        <v>0</v>
      </c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</row>
    <row r="85" spans="1:23" hidden="1">
      <c r="A85" s="119"/>
      <c r="B85" s="119"/>
      <c r="C85" s="119"/>
      <c r="D85" s="119"/>
      <c r="E85" s="119"/>
      <c r="F85" s="119"/>
      <c r="G85" s="119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</row>
    <row r="86" spans="1:23" hidden="1">
      <c r="A86" s="119"/>
      <c r="B86" s="119"/>
      <c r="C86" s="119"/>
      <c r="D86" s="119"/>
      <c r="E86" s="119"/>
      <c r="F86" s="119"/>
      <c r="G86" s="160">
        <f>IF(G84&gt;0,G84*0.01,75)</f>
        <v>75</v>
      </c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</row>
    <row r="87" spans="1:23" hidden="1">
      <c r="A87" s="119" t="s">
        <v>97</v>
      </c>
      <c r="B87" s="119"/>
      <c r="C87" s="119" t="s">
        <v>11</v>
      </c>
      <c r="D87" s="119" t="s">
        <v>98</v>
      </c>
      <c r="E87" s="119"/>
      <c r="F87" s="119"/>
      <c r="G87" s="160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</row>
    <row r="88" spans="1:23" hidden="1">
      <c r="A88" s="119"/>
      <c r="B88" s="119"/>
      <c r="C88" s="159">
        <f>C54</f>
        <v>0</v>
      </c>
      <c r="D88" s="119">
        <f>IF(C54=0,575,550)</f>
        <v>575</v>
      </c>
      <c r="E88" s="119"/>
      <c r="F88" s="119"/>
      <c r="G88" s="160">
        <f>IF(G86&lt;75,75,G86)</f>
        <v>75</v>
      </c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</row>
    <row r="89" spans="1:23" hidden="1">
      <c r="A89" s="119"/>
      <c r="B89" s="119"/>
      <c r="C89" s="119"/>
      <c r="D89" s="119"/>
      <c r="E89" s="119"/>
      <c r="F89" s="119"/>
      <c r="G89" s="119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</row>
    <row r="90" spans="1:23" hidden="1">
      <c r="A90" s="119"/>
      <c r="B90" s="119"/>
      <c r="C90" s="119"/>
      <c r="D90" s="119"/>
      <c r="E90" s="119"/>
      <c r="F90" s="119"/>
      <c r="G90" s="119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</row>
    <row r="91" spans="1:23" hidden="1">
      <c r="A91" s="119"/>
      <c r="B91" s="119"/>
      <c r="C91" s="119"/>
      <c r="D91" s="119"/>
      <c r="E91" s="119"/>
      <c r="F91" s="119"/>
      <c r="G91" s="119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</row>
    <row r="92" spans="1:23" hidden="1">
      <c r="A92" s="161">
        <f>SUM(C52:C64)-C60-C62-C64</f>
        <v>1004.9999999999999</v>
      </c>
      <c r="B92" s="119"/>
      <c r="C92" s="119"/>
      <c r="D92" s="119"/>
      <c r="E92" s="119"/>
      <c r="F92" s="119"/>
      <c r="G92" s="119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</row>
    <row r="93" spans="1:23" ht="13.5" hidden="1" thickBot="1">
      <c r="A93" s="119"/>
      <c r="B93" s="119"/>
      <c r="C93" s="119"/>
      <c r="D93" s="119"/>
      <c r="E93" s="119"/>
      <c r="F93" s="119"/>
      <c r="G93" s="119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</row>
    <row r="94" spans="1:23" hidden="1">
      <c r="A94" s="150" t="s">
        <v>113</v>
      </c>
      <c r="B94" s="151"/>
      <c r="C94" s="151"/>
      <c r="D94" s="152"/>
      <c r="E94" s="119"/>
      <c r="F94" s="119"/>
      <c r="G94" s="119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</row>
    <row r="95" spans="1:23" hidden="1">
      <c r="A95" s="153">
        <v>117.11</v>
      </c>
      <c r="B95" s="154" t="s">
        <v>94</v>
      </c>
      <c r="C95" s="154">
        <v>25000</v>
      </c>
      <c r="D95" s="155"/>
      <c r="E95" s="119"/>
      <c r="F95" s="119"/>
      <c r="G95" s="119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</row>
    <row r="96" spans="1:23" ht="13.5" hidden="1" thickBot="1">
      <c r="A96" s="156">
        <v>23.56</v>
      </c>
      <c r="B96" s="157" t="s">
        <v>95</v>
      </c>
      <c r="C96" s="157">
        <v>25000</v>
      </c>
      <c r="D96" s="158" t="s">
        <v>96</v>
      </c>
      <c r="E96" s="119"/>
      <c r="F96" s="119"/>
      <c r="G96" s="119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</row>
    <row r="97" spans="1:23" hidden="1">
      <c r="A97" s="119"/>
      <c r="B97" s="119"/>
      <c r="C97" s="119"/>
      <c r="D97" s="119"/>
      <c r="E97" s="119"/>
      <c r="F97" s="119"/>
      <c r="G97" s="119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</row>
    <row r="98" spans="1:23" hidden="1">
      <c r="A98" s="119"/>
      <c r="B98" s="119"/>
      <c r="C98" s="119"/>
      <c r="D98" s="119"/>
      <c r="E98" s="119"/>
      <c r="F98" s="119"/>
      <c r="G98" s="119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</row>
    <row r="99" spans="1:23" hidden="1">
      <c r="A99" s="119"/>
      <c r="B99" s="119"/>
      <c r="C99" s="119"/>
      <c r="D99" s="119"/>
      <c r="E99" s="119"/>
      <c r="F99" s="119"/>
      <c r="G99" s="119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</row>
    <row r="100" spans="1:23" hidden="1">
      <c r="A100" s="119"/>
      <c r="B100" s="119"/>
      <c r="C100" s="119"/>
      <c r="D100" s="159">
        <f>ROUNDUP(B55+B56,-2)</f>
        <v>200</v>
      </c>
      <c r="E100" s="119"/>
      <c r="F100" s="119"/>
      <c r="G100" s="119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</row>
    <row r="101" spans="1:23" hidden="1">
      <c r="A101" s="119"/>
      <c r="B101" s="119"/>
      <c r="C101" s="119"/>
      <c r="D101" s="119">
        <f>IF((D100-B55-B56)&gt;90,D100-50,D100)</f>
        <v>200</v>
      </c>
      <c r="E101" s="119"/>
      <c r="F101" s="119"/>
      <c r="G101" s="119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</row>
    <row r="102" spans="1:23" hidden="1">
      <c r="A102" s="119"/>
      <c r="B102" s="119"/>
      <c r="C102" s="119"/>
      <c r="D102" s="119">
        <f>IF((D101-B55-B56)&lt;30,(B55+B56+30),D101)</f>
        <v>214.42000000000002</v>
      </c>
      <c r="E102" s="119"/>
      <c r="F102" s="119"/>
      <c r="G102" s="119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</row>
    <row r="103" spans="1:23" hidden="1">
      <c r="A103" s="119"/>
      <c r="B103" s="119"/>
      <c r="C103" s="119"/>
      <c r="D103" s="119">
        <f>ROUNDUP(D102,-1)</f>
        <v>220</v>
      </c>
      <c r="E103" s="119"/>
      <c r="F103" s="119"/>
      <c r="G103" s="119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</row>
    <row r="104" spans="1:23" ht="14.25" hidden="1">
      <c r="B104" s="27"/>
      <c r="C104" s="25"/>
      <c r="D104" s="30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</row>
    <row r="105" spans="1:23" ht="14.25" hidden="1">
      <c r="B105" s="27"/>
      <c r="C105" s="25"/>
      <c r="D105" s="30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</row>
    <row r="106" spans="1:23" ht="14.25" hidden="1">
      <c r="B106" s="27"/>
      <c r="C106" s="25"/>
      <c r="D106" s="30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</row>
    <row r="107" spans="1:23" ht="14.25" hidden="1">
      <c r="B107" s="27"/>
      <c r="C107" s="25"/>
      <c r="D107" s="30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</row>
    <row r="108" spans="1:23" ht="14.25" hidden="1">
      <c r="B108" s="27"/>
      <c r="C108" s="25"/>
      <c r="D108" s="30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</row>
    <row r="109" spans="1:23" ht="14.25" hidden="1">
      <c r="B109" s="27"/>
      <c r="C109" s="25"/>
      <c r="D109" s="30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</row>
    <row r="110" spans="1:23" ht="14.25" hidden="1">
      <c r="B110" s="27"/>
      <c r="C110" s="25"/>
      <c r="D110" s="30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</row>
    <row r="111" spans="1:23" ht="14.25" hidden="1">
      <c r="B111" s="27"/>
      <c r="C111" s="25"/>
      <c r="D111" s="30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</row>
    <row r="112" spans="1:23" ht="14.25" hidden="1">
      <c r="B112" s="27"/>
      <c r="C112" s="25"/>
      <c r="D112" s="30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</row>
    <row r="113" spans="1:23" ht="14.25" hidden="1">
      <c r="B113" s="27"/>
      <c r="C113" s="25"/>
      <c r="D113" s="30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</row>
    <row r="114" spans="1:23" ht="14.25" hidden="1">
      <c r="B114" s="27"/>
      <c r="C114" s="25"/>
      <c r="D114" s="30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</row>
    <row r="115" spans="1:23" ht="14.25" hidden="1">
      <c r="B115" s="27"/>
      <c r="C115" s="25"/>
      <c r="D115" s="30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</row>
    <row r="116" spans="1:23" ht="14.25" hidden="1">
      <c r="B116" s="27"/>
      <c r="C116" s="25"/>
      <c r="D116" s="30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</row>
    <row r="117" spans="1:23" ht="14.25" hidden="1">
      <c r="B117" s="27"/>
      <c r="C117" s="25"/>
      <c r="D117" s="30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</row>
    <row r="118" spans="1:23" ht="14.25" hidden="1">
      <c r="B118" s="27"/>
      <c r="C118" s="25"/>
      <c r="D118" s="30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</row>
    <row r="119" spans="1:23" ht="14.25" hidden="1">
      <c r="B119" s="27"/>
      <c r="C119" s="25"/>
      <c r="D119" s="30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</row>
    <row r="120" spans="1:23" ht="14.25" hidden="1">
      <c r="B120" s="27"/>
      <c r="C120" s="25"/>
      <c r="D120" s="30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</row>
    <row r="121" spans="1:23" ht="14.25" hidden="1">
      <c r="B121" s="27"/>
      <c r="C121" s="25"/>
      <c r="D121" s="30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</row>
    <row r="122" spans="1:23" ht="14.25" hidden="1">
      <c r="B122" s="27"/>
      <c r="C122" s="25"/>
      <c r="D122" s="30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</row>
    <row r="123" spans="1:23" ht="14.25" hidden="1">
      <c r="B123" s="27"/>
      <c r="C123" s="25"/>
      <c r="D123" s="30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</row>
    <row r="124" spans="1:23" ht="14.25" hidden="1">
      <c r="B124" s="27"/>
      <c r="C124" s="25"/>
      <c r="D124" s="30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</row>
    <row r="125" spans="1:23" ht="15" hidden="1">
      <c r="A125" s="162" t="s">
        <v>82</v>
      </c>
      <c r="B125" s="162"/>
      <c r="C125" s="163">
        <f>C48</f>
        <v>0</v>
      </c>
      <c r="D125" s="164"/>
      <c r="E125" s="165"/>
      <c r="F125" s="119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</row>
    <row r="126" spans="1:23" ht="15" hidden="1">
      <c r="A126" s="166">
        <v>0</v>
      </c>
      <c r="B126" s="167"/>
      <c r="C126" s="166">
        <v>7500</v>
      </c>
      <c r="D126" s="168">
        <v>8.5500000000000003E-3</v>
      </c>
      <c r="E126" s="169"/>
      <c r="F126" s="166">
        <f>IF(C125&lt;C126,C125*D126,C126*D126)</f>
        <v>0</v>
      </c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</row>
    <row r="127" spans="1:23" ht="15" hidden="1">
      <c r="A127" s="166">
        <v>7500</v>
      </c>
      <c r="B127" s="167"/>
      <c r="C127" s="166">
        <v>17500</v>
      </c>
      <c r="D127" s="168">
        <v>6.8399999999999997E-3</v>
      </c>
      <c r="E127" s="169"/>
      <c r="F127" s="167" t="str">
        <f>IF(C125&lt;=A127," ",IF(C125&lt;C127,(C125-C126)*D127,(C127-A127)*D127))</f>
        <v xml:space="preserve"> </v>
      </c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</row>
    <row r="128" spans="1:23" ht="15" hidden="1">
      <c r="A128" s="166">
        <v>17500</v>
      </c>
      <c r="B128" s="167"/>
      <c r="C128" s="166">
        <v>30000</v>
      </c>
      <c r="D128" s="168">
        <v>4.5599999999999998E-3</v>
      </c>
      <c r="E128" s="169"/>
      <c r="F128" s="167" t="str">
        <f>IF(C125&lt;=A128," ",IF(C125&lt;C128,(C125-C127)*D128,(C128-A128)*D128))</f>
        <v xml:space="preserve"> </v>
      </c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</row>
    <row r="129" spans="1:23" ht="15" hidden="1">
      <c r="A129" s="166">
        <v>30000</v>
      </c>
      <c r="B129" s="167"/>
      <c r="C129" s="166">
        <v>45495</v>
      </c>
      <c r="D129" s="168">
        <v>3.4199999999999999E-3</v>
      </c>
      <c r="E129" s="169"/>
      <c r="F129" s="167" t="str">
        <f>IF(C125&lt;=A129," ",IF(C125&lt;C129,(C125-C128)*D129,(C129-A129)*D129))</f>
        <v xml:space="preserve"> </v>
      </c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</row>
    <row r="130" spans="1:23" ht="15" hidden="1">
      <c r="A130" s="166">
        <v>45495</v>
      </c>
      <c r="B130" s="167"/>
      <c r="C130" s="166">
        <v>64095</v>
      </c>
      <c r="D130" s="168">
        <v>2.2799999999999999E-3</v>
      </c>
      <c r="E130" s="169"/>
      <c r="F130" s="167" t="str">
        <f>IF(C125&lt;=A130," ",IF(C125&lt;C130,(C125-C129)*D130,(C130-A130)*D130))</f>
        <v xml:space="preserve"> </v>
      </c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</row>
    <row r="131" spans="1:23" ht="15" hidden="1">
      <c r="A131" s="166">
        <v>64095</v>
      </c>
      <c r="B131" s="167"/>
      <c r="C131" s="166">
        <v>250095</v>
      </c>
      <c r="D131" s="168">
        <v>1.14E-3</v>
      </c>
      <c r="E131" s="169"/>
      <c r="F131" s="167" t="str">
        <f>IF(C125&lt;=A131," ",IF(C125&lt;C131,(C125-C130)*D131,(C131-A131)*D131))</f>
        <v xml:space="preserve"> </v>
      </c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</row>
    <row r="132" spans="1:23" ht="15" hidden="1">
      <c r="A132" s="166">
        <v>250095</v>
      </c>
      <c r="B132" s="167"/>
      <c r="C132" s="166">
        <f>$D$8</f>
        <v>0</v>
      </c>
      <c r="D132" s="170">
        <v>3.4200000000000002E-4</v>
      </c>
      <c r="E132" s="169"/>
      <c r="F132" s="167" t="str">
        <f>IF(C125&lt;=A132," ",IF(C125&lt;C132,(C125-C131)*D132,(C132-A132)*D132))</f>
        <v xml:space="preserve"> </v>
      </c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</row>
    <row r="133" spans="1:23" ht="15" hidden="1">
      <c r="A133" s="163">
        <v>10075000</v>
      </c>
      <c r="B133" s="163"/>
      <c r="C133" s="163">
        <f>C125</f>
        <v>0</v>
      </c>
      <c r="D133" s="170">
        <v>4.5600000000000003E-4</v>
      </c>
      <c r="E133" s="163" t="str">
        <f>IF(C125&lt;=A133," E90",IF(C125&lt;C133,(C125-C132)*D133,(C133-A133)*D133))</f>
        <v xml:space="preserve"> E90</v>
      </c>
      <c r="F133" s="119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</row>
    <row r="134" spans="1:23" ht="15" hidden="1">
      <c r="A134" s="165"/>
      <c r="B134" s="165"/>
      <c r="C134" s="165"/>
      <c r="D134" s="165"/>
      <c r="E134" s="165"/>
      <c r="F134" s="119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</row>
    <row r="135" spans="1:23" ht="15" hidden="1">
      <c r="A135" s="171" t="s">
        <v>13</v>
      </c>
      <c r="B135" s="172"/>
      <c r="C135" s="165"/>
      <c r="D135" s="165"/>
      <c r="E135" s="173">
        <f>SUM(F126:F133)</f>
        <v>0</v>
      </c>
      <c r="F135" s="119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</row>
    <row r="136" spans="1:23" ht="15" hidden="1">
      <c r="A136" s="172"/>
      <c r="B136" s="172"/>
      <c r="C136" s="165"/>
      <c r="D136" s="165"/>
      <c r="E136" s="118"/>
      <c r="F136" s="119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</row>
    <row r="137" spans="1:23" ht="15" hidden="1">
      <c r="A137" s="162" t="s">
        <v>82</v>
      </c>
      <c r="B137" s="162"/>
      <c r="C137" s="163">
        <f>C44</f>
        <v>0</v>
      </c>
      <c r="D137" s="164"/>
      <c r="E137" s="165"/>
      <c r="F137" s="119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</row>
    <row r="138" spans="1:23" ht="15" hidden="1">
      <c r="A138" s="166">
        <v>0</v>
      </c>
      <c r="B138" s="167"/>
      <c r="C138" s="166">
        <v>7500</v>
      </c>
      <c r="D138" s="168">
        <v>8.5500000000000003E-3</v>
      </c>
      <c r="E138" s="169"/>
      <c r="F138" s="166">
        <f>IF(C137&lt;C138,C137*D138,C138*D138)</f>
        <v>0</v>
      </c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</row>
    <row r="139" spans="1:23" ht="15" hidden="1">
      <c r="A139" s="166">
        <v>7500</v>
      </c>
      <c r="B139" s="167"/>
      <c r="C139" s="166">
        <v>17500</v>
      </c>
      <c r="D139" s="168">
        <v>6.8399999999999997E-3</v>
      </c>
      <c r="E139" s="169"/>
      <c r="F139" s="167" t="str">
        <f>IF(C137&lt;=A139," ",IF(C137&lt;C139,(C137-C138)*D139,(C139-A139)*D139))</f>
        <v xml:space="preserve"> </v>
      </c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</row>
    <row r="140" spans="1:23" ht="15" hidden="1">
      <c r="A140" s="166">
        <v>17500</v>
      </c>
      <c r="B140" s="167"/>
      <c r="C140" s="166">
        <v>30000</v>
      </c>
      <c r="D140" s="168">
        <v>4.5599999999999998E-3</v>
      </c>
      <c r="E140" s="169"/>
      <c r="F140" s="167" t="str">
        <f>IF(C137&lt;=A140," ",IF(C137&lt;C140,(C137-C139)*D140,(C140-A140)*D140))</f>
        <v xml:space="preserve"> </v>
      </c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</row>
    <row r="141" spans="1:23" ht="15" hidden="1">
      <c r="A141" s="166">
        <v>30000</v>
      </c>
      <c r="B141" s="167"/>
      <c r="C141" s="166">
        <v>45495</v>
      </c>
      <c r="D141" s="168">
        <v>3.4199999999999999E-3</v>
      </c>
      <c r="E141" s="169"/>
      <c r="F141" s="167" t="str">
        <f>IF(C137&lt;=A141," ",IF(C137&lt;C141,(C137-C140)*D141,(C141-A141)*D141))</f>
        <v xml:space="preserve"> </v>
      </c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</row>
    <row r="142" spans="1:23" ht="15" hidden="1">
      <c r="A142" s="166">
        <v>45495</v>
      </c>
      <c r="B142" s="167"/>
      <c r="C142" s="166">
        <v>64095</v>
      </c>
      <c r="D142" s="168">
        <v>2.2799999999999999E-3</v>
      </c>
      <c r="E142" s="169"/>
      <c r="F142" s="167" t="str">
        <f>IF(C137&lt;=A142," ",IF(C137&lt;C142,(C137-C141)*D142,(C142-A142)*D142))</f>
        <v xml:space="preserve"> </v>
      </c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</row>
    <row r="143" spans="1:23" ht="15" hidden="1">
      <c r="A143" s="166">
        <v>64095</v>
      </c>
      <c r="B143" s="167"/>
      <c r="C143" s="166">
        <v>250095</v>
      </c>
      <c r="D143" s="168">
        <v>1.14E-3</v>
      </c>
      <c r="E143" s="169"/>
      <c r="F143" s="167" t="str">
        <f>IF(C137&lt;=A143," ",IF(C137&lt;C143,(C137-C142)*D143,(C143-A143)*D143))</f>
        <v xml:space="preserve"> </v>
      </c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</row>
    <row r="144" spans="1:23" ht="15" hidden="1">
      <c r="A144" s="166">
        <v>250095</v>
      </c>
      <c r="B144" s="167"/>
      <c r="C144" s="166">
        <f>$D$8</f>
        <v>0</v>
      </c>
      <c r="D144" s="170">
        <v>3.4200000000000002E-4</v>
      </c>
      <c r="E144" s="169"/>
      <c r="F144" s="167" t="str">
        <f>IF(C137&lt;=A144," ",IF(C137&lt;C144,(C137-C143)*D144,(C144-A144)*D144))</f>
        <v xml:space="preserve"> </v>
      </c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</row>
    <row r="145" spans="1:23" ht="15" hidden="1">
      <c r="A145" s="163">
        <v>10075000</v>
      </c>
      <c r="B145" s="163"/>
      <c r="C145" s="163">
        <f>C137</f>
        <v>0</v>
      </c>
      <c r="D145" s="170">
        <v>4.5600000000000003E-4</v>
      </c>
      <c r="E145" s="163" t="str">
        <f>IF(C137&lt;=A145," E90",IF(C137&lt;C145,(C137-C144)*D145,(C145-A145)*D145))</f>
        <v xml:space="preserve"> E90</v>
      </c>
      <c r="F145" s="119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</row>
    <row r="146" spans="1:23" ht="15" hidden="1">
      <c r="A146" s="165"/>
      <c r="B146" s="165"/>
      <c r="C146" s="165"/>
      <c r="D146" s="165"/>
      <c r="E146" s="165"/>
      <c r="F146" s="119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</row>
    <row r="147" spans="1:23" ht="15" hidden="1">
      <c r="A147" s="171" t="s">
        <v>13</v>
      </c>
      <c r="B147" s="172"/>
      <c r="C147" s="165"/>
      <c r="D147" s="165"/>
      <c r="E147" s="173">
        <f>SUM(F138:F145)</f>
        <v>0</v>
      </c>
      <c r="F147" s="119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</row>
    <row r="148" spans="1:23" hidden="1">
      <c r="A148" s="119"/>
      <c r="B148" s="119"/>
      <c r="C148" s="119"/>
      <c r="D148" s="119"/>
      <c r="E148" s="119"/>
      <c r="F148" s="119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</row>
    <row r="149" spans="1:23" hidden="1">
      <c r="A149" s="119"/>
      <c r="B149" s="119"/>
      <c r="C149" s="119"/>
      <c r="D149" s="119"/>
      <c r="E149" s="119"/>
      <c r="F149" s="119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</row>
    <row r="150" spans="1:23" ht="15" hidden="1">
      <c r="A150" s="162" t="s">
        <v>82</v>
      </c>
      <c r="B150" s="162"/>
      <c r="C150" s="163">
        <f>C48</f>
        <v>0</v>
      </c>
      <c r="D150" s="164"/>
      <c r="E150" s="165"/>
      <c r="F150" s="119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</row>
    <row r="151" spans="1:23" ht="15" hidden="1">
      <c r="A151" s="166">
        <v>0</v>
      </c>
      <c r="B151" s="167"/>
      <c r="C151" s="166">
        <v>7500</v>
      </c>
      <c r="D151" s="168">
        <v>1.7100000000000001E-2</v>
      </c>
      <c r="E151" s="169"/>
      <c r="F151" s="166">
        <f>IF(C150&lt;C151,C150*D151,C151*D151)</f>
        <v>0</v>
      </c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</row>
    <row r="152" spans="1:23" ht="15" hidden="1">
      <c r="A152" s="166">
        <v>7500</v>
      </c>
      <c r="B152" s="167"/>
      <c r="C152" s="166">
        <v>17500</v>
      </c>
      <c r="D152" s="168">
        <v>1.3679999999999999E-2</v>
      </c>
      <c r="E152" s="169"/>
      <c r="F152" s="167" t="str">
        <f>IF(C150&lt;=A152," ",IF(C150&lt;C152,(C150-C151)*D152,(C152-A152)*D152))</f>
        <v xml:space="preserve"> </v>
      </c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</row>
    <row r="153" spans="1:23" ht="15" hidden="1">
      <c r="A153" s="166">
        <v>17500</v>
      </c>
      <c r="B153" s="167"/>
      <c r="C153" s="166">
        <v>30000</v>
      </c>
      <c r="D153" s="168">
        <v>9.1199999999999996E-3</v>
      </c>
      <c r="E153" s="169"/>
      <c r="F153" s="167" t="str">
        <f>IF(C150&lt;=A153," ",IF(C150&lt;C153,(C150-C152)*D153,(C153-A153)*D153))</f>
        <v xml:space="preserve"> </v>
      </c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</row>
    <row r="154" spans="1:23" ht="15" hidden="1">
      <c r="A154" s="166">
        <v>30000</v>
      </c>
      <c r="B154" s="167"/>
      <c r="C154" s="166">
        <v>45495</v>
      </c>
      <c r="D154" s="168">
        <v>6.8399999999999997E-3</v>
      </c>
      <c r="E154" s="169"/>
      <c r="F154" s="167" t="str">
        <f>IF(C150&lt;=A154," ",IF(C150&lt;C154,(C150-C153)*D154,(C154-A154)*D154))</f>
        <v xml:space="preserve"> </v>
      </c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</row>
    <row r="155" spans="1:23" ht="15" hidden="1">
      <c r="A155" s="166">
        <v>45495</v>
      </c>
      <c r="B155" s="167"/>
      <c r="C155" s="166">
        <v>64095</v>
      </c>
      <c r="D155" s="168">
        <v>4.5599999999999998E-3</v>
      </c>
      <c r="E155" s="169"/>
      <c r="F155" s="167" t="str">
        <f>IF(C150&lt;=A155," ",IF(C150&lt;C155,(C150-C154)*D155,(C155-A155)*D155))</f>
        <v xml:space="preserve"> </v>
      </c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</row>
    <row r="156" spans="1:23" ht="15" hidden="1">
      <c r="A156" s="166">
        <v>64095</v>
      </c>
      <c r="B156" s="167"/>
      <c r="C156" s="166">
        <v>250095</v>
      </c>
      <c r="D156" s="168">
        <v>2.2799999999999999E-3</v>
      </c>
      <c r="E156" s="169"/>
      <c r="F156" s="167" t="str">
        <f>IF(C150&lt;=A156," ",IF(C150&lt;C156,(C150-C155)*D156,(C156-A156)*D156))</f>
        <v xml:space="preserve"> </v>
      </c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</row>
    <row r="157" spans="1:23" ht="15" hidden="1">
      <c r="A157" s="166">
        <v>250095</v>
      </c>
      <c r="B157" s="167"/>
      <c r="C157" s="166">
        <f>$D$8</f>
        <v>0</v>
      </c>
      <c r="D157" s="170">
        <v>4.5600000000000003E-4</v>
      </c>
      <c r="E157" s="169"/>
      <c r="F157" s="167" t="str">
        <f>IF(C150&lt;=A157," ",IF(C150&lt;C157,(C150-C156)*D157,(C157-A157)*D157))</f>
        <v xml:space="preserve"> </v>
      </c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</row>
    <row r="158" spans="1:23" ht="15" hidden="1">
      <c r="A158" s="163">
        <v>10075000</v>
      </c>
      <c r="B158" s="163"/>
      <c r="C158" s="163">
        <f>C150</f>
        <v>0</v>
      </c>
      <c r="D158" s="170">
        <v>4.5600000000000003E-4</v>
      </c>
      <c r="E158" s="163" t="str">
        <f>IF(C150&lt;=A158," E90",IF(C150&lt;C158,(C150-C157)*D158,(C158-A158)*D158))</f>
        <v xml:space="preserve"> E90</v>
      </c>
      <c r="F158" s="119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</row>
    <row r="159" spans="1:23" ht="15" hidden="1">
      <c r="A159" s="165"/>
      <c r="B159" s="165"/>
      <c r="C159" s="165"/>
      <c r="D159" s="165"/>
      <c r="E159" s="165"/>
      <c r="F159" s="119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</row>
    <row r="160" spans="1:23" ht="15" hidden="1">
      <c r="A160" s="171" t="s">
        <v>13</v>
      </c>
      <c r="B160" s="172"/>
      <c r="C160" s="165"/>
      <c r="D160" s="165"/>
      <c r="E160" s="173">
        <f>SUM(F151:F158)</f>
        <v>0</v>
      </c>
      <c r="F160" s="119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</row>
    <row r="161" spans="1:23" hidden="1">
      <c r="A161" s="119"/>
      <c r="B161" s="119"/>
      <c r="C161" s="119"/>
      <c r="D161" s="119"/>
      <c r="E161" s="119"/>
      <c r="F161" s="119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</row>
    <row r="162" spans="1:23" hidden="1">
      <c r="A162" s="119"/>
      <c r="B162" s="119"/>
      <c r="C162" s="119"/>
      <c r="D162" s="119"/>
      <c r="E162" s="119"/>
      <c r="F162" s="119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</row>
    <row r="163" spans="1:23" ht="15" hidden="1">
      <c r="A163" s="162" t="s">
        <v>82</v>
      </c>
      <c r="B163" s="162"/>
      <c r="C163" s="163">
        <f>C44</f>
        <v>0</v>
      </c>
      <c r="D163" s="164"/>
      <c r="E163" s="165"/>
      <c r="F163" s="119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</row>
    <row r="164" spans="1:23" ht="15" hidden="1">
      <c r="A164" s="166">
        <v>0</v>
      </c>
      <c r="B164" s="167"/>
      <c r="C164" s="166">
        <v>7500</v>
      </c>
      <c r="D164" s="168">
        <v>1.7100000000000001E-2</v>
      </c>
      <c r="E164" s="169"/>
      <c r="F164" s="166">
        <f>IF(C163&lt;C164,C163*D164,C164*D164)</f>
        <v>0</v>
      </c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</row>
    <row r="165" spans="1:23" ht="15" hidden="1">
      <c r="A165" s="166">
        <v>7500</v>
      </c>
      <c r="B165" s="167"/>
      <c r="C165" s="166">
        <v>17500</v>
      </c>
      <c r="D165" s="168">
        <v>1.3679999999999999E-2</v>
      </c>
      <c r="E165" s="169"/>
      <c r="F165" s="167" t="str">
        <f>IF(C163&lt;=A165," ",IF(C163&lt;C165,(C163-C164)*D165,(C165-A165)*D165))</f>
        <v xml:space="preserve"> </v>
      </c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</row>
    <row r="166" spans="1:23" ht="15" hidden="1">
      <c r="A166" s="166">
        <v>17500</v>
      </c>
      <c r="B166" s="167"/>
      <c r="C166" s="166">
        <v>30000</v>
      </c>
      <c r="D166" s="168">
        <v>9.1199999999999996E-3</v>
      </c>
      <c r="E166" s="169"/>
      <c r="F166" s="167" t="str">
        <f>IF(C163&lt;=A166," ",IF(C163&lt;C166,(C163-C165)*D166,(C166-A166)*D166))</f>
        <v xml:space="preserve"> </v>
      </c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</row>
    <row r="167" spans="1:23" ht="15" hidden="1">
      <c r="A167" s="166">
        <v>30000</v>
      </c>
      <c r="B167" s="167"/>
      <c r="C167" s="166">
        <v>45495</v>
      </c>
      <c r="D167" s="168">
        <v>6.8399999999999997E-3</v>
      </c>
      <c r="E167" s="169"/>
      <c r="F167" s="167" t="str">
        <f>IF(C163&lt;=A167," ",IF(C163&lt;C167,(C163-C166)*D167,(C167-A167)*D167))</f>
        <v xml:space="preserve"> </v>
      </c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</row>
    <row r="168" spans="1:23" ht="15" hidden="1">
      <c r="A168" s="166">
        <v>45495</v>
      </c>
      <c r="B168" s="167"/>
      <c r="C168" s="166">
        <v>64095</v>
      </c>
      <c r="D168" s="168">
        <v>4.5599999999999998E-3</v>
      </c>
      <c r="E168" s="169"/>
      <c r="F168" s="167" t="str">
        <f>IF(C163&lt;=A168," ",IF(C163&lt;C168,(C163-C167)*D168,(C168-A168)*D168))</f>
        <v xml:space="preserve"> </v>
      </c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</row>
    <row r="169" spans="1:23" ht="15" hidden="1">
      <c r="A169" s="166">
        <v>64095</v>
      </c>
      <c r="B169" s="167"/>
      <c r="C169" s="166">
        <v>250095</v>
      </c>
      <c r="D169" s="168">
        <v>2.2799999999999999E-3</v>
      </c>
      <c r="E169" s="169"/>
      <c r="F169" s="167" t="str">
        <f>IF(C163&lt;=A169," ",IF(C163&lt;C169,(C163-C168)*D169,(C169-A169)*D169))</f>
        <v xml:space="preserve"> </v>
      </c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</row>
    <row r="170" spans="1:23" ht="15" hidden="1">
      <c r="A170" s="166">
        <v>250095</v>
      </c>
      <c r="B170" s="167"/>
      <c r="C170" s="166">
        <f>$D$8</f>
        <v>0</v>
      </c>
      <c r="D170" s="170">
        <v>4.5600000000000003E-4</v>
      </c>
      <c r="E170" s="169"/>
      <c r="F170" s="167" t="str">
        <f>IF(C163&lt;=A170," ",IF(C163&lt;C170,(C163-C169)*D170,(C170-A170)*D170))</f>
        <v xml:space="preserve"> </v>
      </c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</row>
    <row r="171" spans="1:23" ht="15" hidden="1">
      <c r="A171" s="163">
        <v>10075000</v>
      </c>
      <c r="B171" s="163"/>
      <c r="C171" s="163">
        <f>C163</f>
        <v>0</v>
      </c>
      <c r="D171" s="170">
        <v>4.5600000000000003E-4</v>
      </c>
      <c r="E171" s="163" t="str">
        <f>IF(C163&lt;=A171," E90",IF(C163&lt;C171,(C163-C170)*D171,(C171-A171)*D171))</f>
        <v xml:space="preserve"> E90</v>
      </c>
      <c r="F171" s="119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</row>
    <row r="172" spans="1:23" ht="15" hidden="1">
      <c r="A172" s="165"/>
      <c r="B172" s="165"/>
      <c r="C172" s="165"/>
      <c r="D172" s="165"/>
      <c r="E172" s="165"/>
      <c r="F172" s="119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</row>
    <row r="173" spans="1:23" ht="15" hidden="1">
      <c r="A173" s="171" t="s">
        <v>13</v>
      </c>
      <c r="B173" s="172"/>
      <c r="C173" s="165"/>
      <c r="D173" s="165"/>
      <c r="E173" s="173">
        <f>SUM(F164:F171)</f>
        <v>0</v>
      </c>
      <c r="F173" s="119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</row>
    <row r="174" spans="1:23" ht="14.25" hidden="1">
      <c r="B174" s="27"/>
      <c r="C174" s="25"/>
      <c r="D174" s="30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</row>
    <row r="175" spans="1:23" ht="14.25" hidden="1">
      <c r="B175" s="27"/>
      <c r="C175" s="25"/>
      <c r="D175" s="30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</row>
    <row r="176" spans="1:23" ht="14.25" hidden="1">
      <c r="B176" s="27"/>
      <c r="C176" s="25"/>
      <c r="D176" s="30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</row>
    <row r="177" spans="1:23" ht="14.25" hidden="1">
      <c r="B177" s="27"/>
      <c r="C177" s="25"/>
      <c r="D177" s="30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</row>
    <row r="178" spans="1:23" ht="14.25" hidden="1">
      <c r="B178" s="27"/>
      <c r="C178" s="25"/>
      <c r="D178" s="30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</row>
    <row r="179" spans="1:23" ht="14.25" hidden="1">
      <c r="B179" s="27"/>
      <c r="C179" s="25"/>
      <c r="D179" s="30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</row>
    <row r="180" spans="1:23" ht="14.25" hidden="1">
      <c r="B180" s="27"/>
      <c r="C180" s="25"/>
      <c r="D180" s="30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</row>
    <row r="181" spans="1:23" ht="14.25" hidden="1">
      <c r="B181" s="27"/>
      <c r="C181" s="25"/>
      <c r="D181" s="30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</row>
    <row r="182" spans="1:23" ht="14.25" hidden="1">
      <c r="B182" s="27"/>
      <c r="C182" s="25"/>
      <c r="D182" s="30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</row>
    <row r="183" spans="1:23" ht="14.25" hidden="1">
      <c r="B183" s="27"/>
      <c r="C183" s="30"/>
      <c r="D183" s="30"/>
      <c r="E183" s="25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</row>
    <row r="184" spans="1:23" ht="14.25" hidden="1">
      <c r="B184" s="27"/>
      <c r="D184" s="30"/>
      <c r="E184" s="25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</row>
    <row r="185" spans="1:23" ht="15" hidden="1">
      <c r="A185" s="80" t="s">
        <v>81</v>
      </c>
      <c r="B185" s="58"/>
      <c r="C185" s="58" t="s">
        <v>62</v>
      </c>
      <c r="D185" s="58" t="s">
        <v>62</v>
      </c>
      <c r="E185" s="58" t="s">
        <v>62</v>
      </c>
      <c r="F185" s="58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</row>
    <row r="186" spans="1:23" ht="15.75" hidden="1">
      <c r="A186" s="81" t="s">
        <v>14</v>
      </c>
      <c r="B186" s="59"/>
      <c r="C186" s="58" t="s">
        <v>63</v>
      </c>
      <c r="D186" s="58" t="s">
        <v>63</v>
      </c>
      <c r="E186" s="58" t="s">
        <v>63</v>
      </c>
      <c r="F186" s="58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</row>
    <row r="187" spans="1:23" ht="15.75" hidden="1">
      <c r="A187" s="81" t="s">
        <v>15</v>
      </c>
      <c r="B187" s="59"/>
      <c r="C187" s="58"/>
      <c r="D187" s="58"/>
      <c r="E187" s="58"/>
      <c r="F187" s="58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</row>
    <row r="188" spans="1:23" ht="15.75" hidden="1">
      <c r="A188" s="81" t="s">
        <v>16</v>
      </c>
      <c r="B188" s="59"/>
      <c r="C188" s="60">
        <f>B5*12.5/100</f>
        <v>0</v>
      </c>
      <c r="D188" s="58"/>
      <c r="E188" s="58"/>
      <c r="F188" s="58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</row>
    <row r="189" spans="1:23" ht="15.75" hidden="1">
      <c r="A189" s="81" t="s">
        <v>17</v>
      </c>
      <c r="B189" s="59"/>
      <c r="C189" s="61">
        <f>B5*10%</f>
        <v>0</v>
      </c>
      <c r="D189" s="58"/>
      <c r="E189" s="58"/>
      <c r="F189" s="58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</row>
    <row r="190" spans="1:23" ht="15.75" hidden="1">
      <c r="A190" s="81" t="s">
        <v>18</v>
      </c>
      <c r="B190" s="59"/>
      <c r="C190" s="79">
        <f>IF(B5&gt;150000,9000+(B5-150000)*12.5%,B5*6%)</f>
        <v>0</v>
      </c>
      <c r="D190" s="79">
        <f>IF(B5&gt;160000,9600+(B5-160000)*12.5%,B5*6%)</f>
        <v>0</v>
      </c>
      <c r="E190" s="58"/>
      <c r="F190" s="61">
        <f>IF(AND(B12="oui",B13="P.A.",B14="oui"),C191,0)</f>
        <v>0</v>
      </c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</row>
    <row r="191" spans="1:23" ht="15.75" hidden="1">
      <c r="A191" s="81" t="s">
        <v>19</v>
      </c>
      <c r="B191" s="59"/>
      <c r="C191" s="79">
        <f>IF(B5&gt;150000,7500+(B5-150000)*10%,B5*5%)</f>
        <v>0</v>
      </c>
      <c r="D191" s="79">
        <f>IF(B5&gt;160000,8000+(B5-160000)*10%,B5*5%)</f>
        <v>0</v>
      </c>
      <c r="E191" s="58"/>
      <c r="F191" s="61">
        <f>IF(AND(B12="oui",B13="P.A.",B14="non"),C190,0)</f>
        <v>0</v>
      </c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</row>
    <row r="192" spans="1:23" ht="15.75" hidden="1">
      <c r="A192" s="81" t="s">
        <v>20</v>
      </c>
      <c r="B192" s="59"/>
      <c r="C192" s="58"/>
      <c r="D192" s="58"/>
      <c r="E192" s="58"/>
      <c r="F192" s="61">
        <f>IF(AND(B12="non",B14="oui"),C189,0)</f>
        <v>0</v>
      </c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</row>
    <row r="193" spans="1:23" ht="15.75" hidden="1">
      <c r="A193" s="81" t="s">
        <v>21</v>
      </c>
      <c r="B193" s="59"/>
      <c r="C193" s="58"/>
      <c r="D193" s="58"/>
      <c r="E193" s="58"/>
      <c r="F193" s="61">
        <f>IF(AND(B12="non",B14="non"),C188,0)</f>
        <v>0</v>
      </c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</row>
    <row r="194" spans="1:23" ht="15.75" hidden="1">
      <c r="A194" s="81" t="s">
        <v>22</v>
      </c>
      <c r="B194" s="59"/>
      <c r="C194" s="58"/>
      <c r="D194" s="58"/>
      <c r="E194" s="58"/>
      <c r="F194" s="61">
        <f>IF(AND(B12="oui",B13&lt;&gt;"P.A.",B14="oui"),D191,0)</f>
        <v>0</v>
      </c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</row>
    <row r="195" spans="1:23" ht="15.75" hidden="1">
      <c r="A195" s="81" t="s">
        <v>44</v>
      </c>
      <c r="B195" s="59"/>
      <c r="C195" s="58"/>
      <c r="D195" s="58"/>
      <c r="E195" s="58"/>
      <c r="F195" s="61">
        <f>IF(AND(B12="oui",B13&lt;&gt;"P.A.",B14="non"),D190,0)</f>
        <v>0</v>
      </c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</row>
    <row r="196" spans="1:23" ht="15.75" hidden="1">
      <c r="A196" s="81" t="s">
        <v>23</v>
      </c>
      <c r="B196" s="59"/>
      <c r="C196" s="58"/>
      <c r="D196" s="58"/>
      <c r="E196" s="58"/>
      <c r="F196" s="61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</row>
    <row r="197" spans="1:23" ht="15.75" hidden="1">
      <c r="A197" s="81" t="s">
        <v>24</v>
      </c>
      <c r="B197" s="59"/>
      <c r="C197" s="58"/>
      <c r="D197" s="58"/>
      <c r="E197" s="58"/>
      <c r="F197" s="61">
        <f>SUM(F190:F196)</f>
        <v>0</v>
      </c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</row>
    <row r="198" spans="1:23" ht="15.75" hidden="1">
      <c r="A198" s="81" t="s">
        <v>25</v>
      </c>
      <c r="B198" s="59"/>
      <c r="C198" s="58"/>
      <c r="D198" s="58"/>
      <c r="E198" s="58"/>
      <c r="F198" s="58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</row>
    <row r="199" spans="1:23" ht="15.75" hidden="1">
      <c r="A199" s="81" t="s">
        <v>45</v>
      </c>
      <c r="B199" s="59"/>
      <c r="C199" s="58"/>
      <c r="D199" s="58"/>
      <c r="E199" s="58"/>
      <c r="F199" s="58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</row>
    <row r="200" spans="1:23" ht="15.75" hidden="1">
      <c r="A200" s="81" t="s">
        <v>26</v>
      </c>
      <c r="B200" s="59"/>
      <c r="C200" s="58"/>
      <c r="D200" s="58"/>
      <c r="E200" s="58"/>
      <c r="F200" s="58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</row>
    <row r="201" spans="1:23" ht="15.75" hidden="1">
      <c r="A201" s="81" t="s">
        <v>27</v>
      </c>
      <c r="B201" s="59"/>
      <c r="C201" s="58"/>
      <c r="D201" s="58"/>
      <c r="E201" s="58"/>
      <c r="F201" s="58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</row>
    <row r="202" spans="1:23" ht="15.75" hidden="1">
      <c r="A202" s="81" t="s">
        <v>28</v>
      </c>
      <c r="B202" s="59"/>
      <c r="C202" s="58"/>
      <c r="D202" s="58"/>
      <c r="E202" s="58"/>
      <c r="F202" s="58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</row>
    <row r="203" spans="1:23" ht="15.75" hidden="1">
      <c r="A203" s="81" t="s">
        <v>29</v>
      </c>
      <c r="B203" s="58"/>
      <c r="C203" s="58"/>
      <c r="D203" s="58"/>
      <c r="E203" s="58"/>
      <c r="F203" s="58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</row>
    <row r="204" spans="1:23" ht="15.75" hidden="1">
      <c r="A204" s="81" t="s">
        <v>79</v>
      </c>
      <c r="B204" s="58"/>
      <c r="C204" s="58"/>
      <c r="D204" s="58"/>
      <c r="E204" s="58"/>
      <c r="F204" s="58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</row>
    <row r="205" spans="1:23" ht="15.75" hidden="1">
      <c r="A205" s="81" t="s">
        <v>30</v>
      </c>
      <c r="B205" s="58"/>
      <c r="C205" s="58"/>
      <c r="D205" s="58"/>
      <c r="E205" s="58"/>
      <c r="F205" s="58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</row>
    <row r="206" spans="1:23" ht="15.75" hidden="1">
      <c r="A206" s="81" t="s">
        <v>31</v>
      </c>
      <c r="B206" s="58"/>
      <c r="C206" s="58"/>
      <c r="D206" s="58"/>
      <c r="E206" s="58"/>
      <c r="F206" s="58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</row>
    <row r="207" spans="1:23" ht="15.75" hidden="1">
      <c r="A207" s="81" t="s">
        <v>32</v>
      </c>
      <c r="B207" s="58"/>
      <c r="C207" s="58"/>
      <c r="D207" s="58"/>
      <c r="E207" s="58"/>
      <c r="F207" s="58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</row>
    <row r="208" spans="1:23" ht="15.75" hidden="1">
      <c r="A208" s="81" t="s">
        <v>33</v>
      </c>
      <c r="B208" s="58"/>
      <c r="C208" s="58"/>
      <c r="D208" s="58"/>
      <c r="E208" s="58"/>
      <c r="F208" s="58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</row>
    <row r="209" spans="1:23" ht="15.75" hidden="1">
      <c r="A209" s="81" t="s">
        <v>34</v>
      </c>
      <c r="B209" s="58"/>
      <c r="C209" s="58"/>
      <c r="D209" s="58"/>
      <c r="E209" s="58"/>
      <c r="F209" s="58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</row>
    <row r="210" spans="1:23" ht="15.75" hidden="1">
      <c r="A210" s="81" t="s">
        <v>35</v>
      </c>
      <c r="B210" s="62"/>
      <c r="C210" s="58"/>
      <c r="D210" s="58"/>
      <c r="E210" s="58"/>
      <c r="F210" s="58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</row>
    <row r="211" spans="1:23" ht="15.75" hidden="1">
      <c r="A211" s="81" t="s">
        <v>80</v>
      </c>
      <c r="B211" s="62"/>
      <c r="C211" s="58"/>
      <c r="D211" s="58"/>
      <c r="E211" s="58"/>
      <c r="F211" s="58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</row>
    <row r="212" spans="1:23" ht="15.75" hidden="1">
      <c r="A212" s="81" t="s">
        <v>36</v>
      </c>
      <c r="B212" s="58"/>
      <c r="C212" s="58"/>
      <c r="D212" s="58"/>
      <c r="E212" s="58"/>
      <c r="F212" s="58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</row>
    <row r="213" spans="1:23" ht="15.75" hidden="1">
      <c r="A213" s="81" t="s">
        <v>46</v>
      </c>
      <c r="B213" s="58"/>
      <c r="C213" s="58"/>
      <c r="D213" s="58"/>
      <c r="E213" s="58"/>
      <c r="F213" s="58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</row>
    <row r="214" spans="1:23" ht="15.75" hidden="1">
      <c r="A214" s="81" t="s">
        <v>47</v>
      </c>
      <c r="B214" s="58"/>
      <c r="C214" s="58"/>
      <c r="D214" s="58"/>
      <c r="E214" s="58"/>
      <c r="F214" s="58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</row>
    <row r="215" spans="1:23" ht="15.75" hidden="1">
      <c r="A215" s="81" t="s">
        <v>37</v>
      </c>
      <c r="B215" s="63"/>
      <c r="C215" s="58"/>
      <c r="D215" s="58"/>
      <c r="E215" s="64"/>
      <c r="F215" s="64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</row>
    <row r="216" spans="1:23" ht="15.75" hidden="1">
      <c r="A216" s="81" t="s">
        <v>38</v>
      </c>
      <c r="B216" s="57"/>
      <c r="C216" s="57"/>
      <c r="D216" s="57"/>
      <c r="E216" s="64"/>
      <c r="F216" s="64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</row>
    <row r="217" spans="1:23" ht="15.75" hidden="1">
      <c r="A217" s="81" t="s">
        <v>48</v>
      </c>
      <c r="B217" s="57"/>
      <c r="C217" s="57"/>
      <c r="D217" s="57"/>
      <c r="E217" s="57"/>
      <c r="F217" s="5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</row>
    <row r="218" spans="1:23" ht="15.75" hidden="1">
      <c r="A218" s="81" t="s">
        <v>49</v>
      </c>
      <c r="B218" s="57"/>
      <c r="C218" s="57"/>
      <c r="D218" s="57"/>
      <c r="E218" s="57"/>
      <c r="F218" s="5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</row>
    <row r="219" spans="1:23" ht="15.75" hidden="1">
      <c r="A219" s="81" t="s">
        <v>39</v>
      </c>
      <c r="B219" s="57"/>
      <c r="C219" s="57" t="s">
        <v>9</v>
      </c>
      <c r="D219" s="57" t="s">
        <v>10</v>
      </c>
      <c r="E219" s="57"/>
      <c r="F219" s="5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</row>
    <row r="220" spans="1:23" ht="15.75" hidden="1">
      <c r="A220" s="81" t="s">
        <v>40</v>
      </c>
      <c r="B220" s="57"/>
      <c r="C220" s="57"/>
      <c r="D220" s="57">
        <v>525</v>
      </c>
      <c r="E220" s="57"/>
      <c r="F220" s="5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</row>
    <row r="221" spans="1:23" ht="15.75" hidden="1">
      <c r="A221" s="81" t="s">
        <v>41</v>
      </c>
      <c r="B221" s="57"/>
      <c r="C221" s="57"/>
      <c r="D221" s="57">
        <v>100</v>
      </c>
      <c r="E221" s="57"/>
      <c r="F221" s="5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</row>
    <row r="222" spans="1:23" ht="15.75" hidden="1">
      <c r="A222" s="81" t="s">
        <v>42</v>
      </c>
      <c r="B222" s="57"/>
      <c r="C222" s="57"/>
      <c r="D222" s="57">
        <v>675</v>
      </c>
      <c r="E222" s="57"/>
      <c r="F222" s="5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</row>
    <row r="223" spans="1:23" ht="15.75" hidden="1">
      <c r="A223" s="81" t="s">
        <v>43</v>
      </c>
      <c r="B223" s="57"/>
      <c r="C223" s="57"/>
      <c r="D223" s="57"/>
      <c r="E223" s="57"/>
      <c r="F223" s="5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</row>
    <row r="224" spans="1:23" ht="15" hidden="1">
      <c r="A224" s="57"/>
      <c r="B224" s="57"/>
      <c r="C224" s="57"/>
      <c r="D224" s="57"/>
      <c r="E224" s="57"/>
      <c r="F224" s="5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</row>
    <row r="225" spans="1:23" ht="15" hidden="1">
      <c r="A225" s="57"/>
      <c r="B225" s="57"/>
      <c r="C225" s="57"/>
      <c r="D225" s="57"/>
      <c r="E225" s="57"/>
      <c r="F225" s="5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</row>
    <row r="226" spans="1:23" ht="14.25" hidden="1">
      <c r="A226" s="65" t="s">
        <v>11</v>
      </c>
      <c r="B226" s="65"/>
      <c r="C226" s="65" t="s">
        <v>11</v>
      </c>
      <c r="D226" s="66" t="s">
        <v>12</v>
      </c>
      <c r="E226" s="67"/>
      <c r="F226" s="65" t="s">
        <v>3</v>
      </c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</row>
    <row r="227" spans="1:23" ht="15" hidden="1">
      <c r="A227" s="68">
        <v>0</v>
      </c>
      <c r="B227" s="69"/>
      <c r="C227" s="68">
        <v>7500</v>
      </c>
      <c r="D227" s="70">
        <v>4.5600000000000002E-2</v>
      </c>
      <c r="E227" s="71"/>
      <c r="F227" s="68">
        <f>IF(B10&lt;C227,B10*D227,C227*D227)</f>
        <v>0</v>
      </c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</row>
    <row r="228" spans="1:23" ht="15" hidden="1">
      <c r="A228" s="68">
        <v>7500</v>
      </c>
      <c r="B228" s="69"/>
      <c r="C228" s="68">
        <v>17500</v>
      </c>
      <c r="D228" s="70">
        <v>2.8500000000000001E-2</v>
      </c>
      <c r="E228" s="71"/>
      <c r="F228" s="69" t="str">
        <f>IF(B10&lt;=A228," ",IF(B10&lt;C228,(B10-C227)*D228,(C228-A228)*D228))</f>
        <v xml:space="preserve"> </v>
      </c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</row>
    <row r="229" spans="1:23" ht="15" hidden="1">
      <c r="A229" s="68">
        <v>17500</v>
      </c>
      <c r="B229" s="69"/>
      <c r="C229" s="68">
        <v>30000</v>
      </c>
      <c r="D229" s="70">
        <v>2.2800000000000001E-2</v>
      </c>
      <c r="E229" s="71"/>
      <c r="F229" s="69" t="str">
        <f>IF(B10&lt;=A229," ",IF(B10&lt;C229,(B10-C228)*D229,(C229-A229)*D229))</f>
        <v xml:space="preserve"> </v>
      </c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</row>
    <row r="230" spans="1:23" ht="15" hidden="1">
      <c r="A230" s="68">
        <v>30000</v>
      </c>
      <c r="B230" s="69"/>
      <c r="C230" s="68">
        <v>45495</v>
      </c>
      <c r="D230" s="70">
        <v>1.7100000000000001E-2</v>
      </c>
      <c r="E230" s="71"/>
      <c r="F230" s="69" t="str">
        <f>IF(B10&lt;=A230," ",IF(B10&lt;C230,(B10-C229)*D230,(C230-A230)*D230))</f>
        <v xml:space="preserve"> </v>
      </c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</row>
    <row r="231" spans="1:23" ht="15" hidden="1">
      <c r="A231" s="68">
        <v>45495</v>
      </c>
      <c r="B231" s="69"/>
      <c r="C231" s="68">
        <v>64095</v>
      </c>
      <c r="D231" s="70">
        <v>1.14E-2</v>
      </c>
      <c r="E231" s="71"/>
      <c r="F231" s="69" t="str">
        <f>IF(B10&lt;=A231," ",IF(B10&lt;C231,(B10-C230)*D231,(C231-A231)*D231))</f>
        <v xml:space="preserve"> </v>
      </c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</row>
    <row r="232" spans="1:23" ht="15" hidden="1">
      <c r="A232" s="68">
        <v>64095</v>
      </c>
      <c r="B232" s="69"/>
      <c r="C232" s="68">
        <v>250095</v>
      </c>
      <c r="D232" s="70">
        <v>5.7000000000000002E-3</v>
      </c>
      <c r="E232" s="71"/>
      <c r="F232" s="69" t="str">
        <f>IF(B10&lt;=A232," ",IF(B10&lt;C232,(B10-C231)*D232,(C232-A232)*D232))</f>
        <v xml:space="preserve"> </v>
      </c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</row>
    <row r="233" spans="1:23" ht="15" hidden="1">
      <c r="A233" s="68">
        <v>250095</v>
      </c>
      <c r="B233" s="69"/>
      <c r="C233" s="68">
        <v>999999999</v>
      </c>
      <c r="D233" s="70">
        <v>5.6999999999999998E-4</v>
      </c>
      <c r="E233" s="71"/>
      <c r="F233" s="69" t="str">
        <f>IF(B10&lt;=A233," ",IF(B10&lt;C233,(B10-C232)*D233,(C233-A233)*D233))</f>
        <v xml:space="preserve"> </v>
      </c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</row>
    <row r="234" spans="1:23" ht="15" hidden="1">
      <c r="A234" s="72"/>
      <c r="B234" s="73"/>
      <c r="C234" s="73"/>
      <c r="D234" s="74"/>
      <c r="E234" s="75"/>
      <c r="F234" s="75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</row>
    <row r="235" spans="1:23" ht="15" hidden="1">
      <c r="A235" s="65" t="s">
        <v>13</v>
      </c>
      <c r="B235" s="76"/>
      <c r="C235" s="73"/>
      <c r="D235" s="77"/>
      <c r="E235" s="75"/>
      <c r="F235" s="78">
        <f>SUM(F227:F234)</f>
        <v>0</v>
      </c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</row>
    <row r="236" spans="1:23" hidden="1">
      <c r="A236" s="110" t="s">
        <v>92</v>
      </c>
      <c r="B236" s="110"/>
      <c r="C236" s="110"/>
      <c r="D236" s="110"/>
      <c r="E236" s="110"/>
      <c r="F236" s="110" t="s">
        <v>93</v>
      </c>
      <c r="G236" s="110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</row>
    <row r="237" spans="1:23" hidden="1">
      <c r="A237" s="110">
        <v>67.31</v>
      </c>
      <c r="B237" s="110" t="s">
        <v>94</v>
      </c>
      <c r="C237" s="110">
        <v>25000</v>
      </c>
      <c r="D237" s="110"/>
      <c r="E237" s="110"/>
      <c r="F237" s="110"/>
      <c r="G237" s="110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</row>
    <row r="238" spans="1:23" hidden="1">
      <c r="A238" s="110">
        <v>23.56</v>
      </c>
      <c r="B238" s="110" t="s">
        <v>95</v>
      </c>
      <c r="C238" s="110">
        <v>25000</v>
      </c>
      <c r="D238" s="110" t="s">
        <v>96</v>
      </c>
      <c r="E238" s="110"/>
      <c r="F238" s="110"/>
      <c r="G238" s="110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</row>
    <row r="239" spans="1:23" hidden="1"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</row>
    <row r="240" spans="1:23" hidden="1"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</row>
    <row r="241" spans="1:23" hidden="1"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</row>
    <row r="242" spans="1:23" hidden="1">
      <c r="B242" s="27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</row>
    <row r="243" spans="1:23" hidden="1"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</row>
    <row r="244" spans="1:23" hidden="1"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</row>
    <row r="245" spans="1:23" hidden="1">
      <c r="A245" s="31"/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</row>
    <row r="246" spans="1:23" hidden="1">
      <c r="B246" s="27"/>
      <c r="C246" s="27"/>
      <c r="D246" s="27"/>
      <c r="E246" s="27"/>
      <c r="F246" s="27"/>
      <c r="G246" s="27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27"/>
      <c r="V246" s="27"/>
      <c r="W246" s="27"/>
    </row>
    <row r="247" spans="1:23" hidden="1">
      <c r="A247" s="33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27"/>
      <c r="V247" s="27"/>
      <c r="W247" s="27"/>
    </row>
    <row r="248" spans="1:23" hidden="1">
      <c r="A248" s="33"/>
      <c r="B248" s="13" t="e">
        <f>IF(#REF!="oui",-1500,0)</f>
        <v>#REF!</v>
      </c>
      <c r="C248" s="32" t="e">
        <f>IF(AND(#REF!="oui",#REF!="oui"),-750,0)</f>
        <v>#REF!</v>
      </c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27"/>
      <c r="V248" s="27"/>
      <c r="W248" s="27"/>
    </row>
    <row r="249" spans="1:23" hidden="1">
      <c r="A249" s="33"/>
      <c r="B249" s="13" t="e">
        <f>IF(#REF!="oui",-750,0)</f>
        <v>#REF!</v>
      </c>
      <c r="C249" s="32" t="e">
        <f>IF(AND(#REF!="non",#REF!="oui"),-1500,0)</f>
        <v>#REF!</v>
      </c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27"/>
      <c r="V249" s="27"/>
      <c r="W249" s="27"/>
    </row>
    <row r="250" spans="1:23" hidden="1">
      <c r="A250" s="33"/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27"/>
      <c r="V250" s="27"/>
      <c r="W250" s="27"/>
    </row>
    <row r="251" spans="1:23" hidden="1">
      <c r="A251" s="33"/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27"/>
      <c r="V251" s="27"/>
      <c r="W251" s="27"/>
    </row>
    <row r="252" spans="1:23" ht="13.5" hidden="1" thickBot="1">
      <c r="A252" s="33"/>
      <c r="B252" s="32"/>
      <c r="C252" s="32"/>
      <c r="D252" s="32"/>
      <c r="E252" s="32"/>
      <c r="F252" s="32"/>
      <c r="G252" s="32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</row>
    <row r="253" spans="1:23" ht="13.5" hidden="1" thickBot="1">
      <c r="A253" s="6"/>
      <c r="B253" s="34"/>
      <c r="C253" s="28"/>
      <c r="D253" s="28"/>
      <c r="E253" s="28"/>
      <c r="F253" s="28"/>
      <c r="G253" s="28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</row>
    <row r="254" spans="1:23" ht="13.5" hidden="1" thickBot="1">
      <c r="A254" s="6"/>
      <c r="B254" s="6"/>
      <c r="C254" s="6"/>
      <c r="D254" s="6"/>
      <c r="E254" s="35"/>
      <c r="F254" s="35"/>
      <c r="G254" s="35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</row>
    <row r="255" spans="1:23" hidden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</row>
    <row r="256" spans="1:23" hidden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</row>
    <row r="257" spans="1:23" hidden="1">
      <c r="A257" s="6" t="s">
        <v>1</v>
      </c>
      <c r="B257" s="6"/>
      <c r="C257" s="6" t="s">
        <v>9</v>
      </c>
      <c r="D257" s="6" t="s">
        <v>10</v>
      </c>
      <c r="E257" s="6"/>
      <c r="F257" s="58" t="s">
        <v>62</v>
      </c>
      <c r="G257" s="58" t="s">
        <v>62</v>
      </c>
      <c r="H257" s="58" t="s">
        <v>62</v>
      </c>
      <c r="I257" s="58" t="s">
        <v>62</v>
      </c>
      <c r="J257" s="58" t="s">
        <v>62</v>
      </c>
      <c r="K257" s="58" t="s">
        <v>62</v>
      </c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</row>
    <row r="258" spans="1:23" hidden="1">
      <c r="A258" s="6"/>
      <c r="B258" s="6"/>
      <c r="C258" s="6"/>
      <c r="D258" s="6">
        <v>525</v>
      </c>
      <c r="E258" s="6"/>
      <c r="F258" s="58" t="s">
        <v>63</v>
      </c>
      <c r="G258" s="58" t="s">
        <v>63</v>
      </c>
      <c r="H258" s="58" t="s">
        <v>63</v>
      </c>
      <c r="I258" s="58" t="s">
        <v>63</v>
      </c>
      <c r="J258" s="58" t="s">
        <v>63</v>
      </c>
      <c r="K258" s="58" t="s">
        <v>63</v>
      </c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</row>
    <row r="259" spans="1:23" hidden="1">
      <c r="A259" s="6"/>
      <c r="B259" s="6"/>
      <c r="C259" s="6"/>
      <c r="D259" s="6">
        <v>100</v>
      </c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</row>
    <row r="260" spans="1:23" hidden="1">
      <c r="A260" s="6"/>
      <c r="B260" s="6"/>
      <c r="C260" s="6"/>
      <c r="D260" s="6">
        <v>675</v>
      </c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</row>
    <row r="261" spans="1:23" hidden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</row>
    <row r="262" spans="1:23" hidden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</row>
    <row r="263" spans="1:23" hidden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</row>
    <row r="264" spans="1:23" ht="14.25" hidden="1">
      <c r="A264" s="36" t="s">
        <v>11</v>
      </c>
      <c r="B264" s="36"/>
      <c r="C264" s="36" t="s">
        <v>11</v>
      </c>
      <c r="D264" s="37" t="s">
        <v>12</v>
      </c>
      <c r="E264" s="38"/>
      <c r="F264" s="36" t="s">
        <v>3</v>
      </c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</row>
    <row r="265" spans="1:23" ht="15" hidden="1">
      <c r="A265" s="39">
        <v>0</v>
      </c>
      <c r="B265" s="40"/>
      <c r="C265" s="39">
        <v>7500</v>
      </c>
      <c r="D265" s="41">
        <v>4.5600000000000002E-2</v>
      </c>
      <c r="E265" s="42"/>
      <c r="F265" s="39">
        <f>IF($B$10&lt;C265,$B$10*D265,C265*D265)</f>
        <v>0</v>
      </c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</row>
    <row r="266" spans="1:23" ht="15" hidden="1">
      <c r="A266" s="39">
        <v>7500</v>
      </c>
      <c r="B266" s="40"/>
      <c r="C266" s="39">
        <v>17500</v>
      </c>
      <c r="D266" s="41">
        <v>2.8500000000000001E-2</v>
      </c>
      <c r="E266" s="42"/>
      <c r="F266" s="40" t="str">
        <f t="shared" ref="F266:F271" si="0">IF($B$10&lt;=A266," ",IF($B$10&lt;C266,($B$10-C265)*D266,(C266-A266)*D266))</f>
        <v xml:space="preserve"> </v>
      </c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</row>
    <row r="267" spans="1:23" ht="15" hidden="1">
      <c r="A267" s="39">
        <v>17500</v>
      </c>
      <c r="B267" s="40"/>
      <c r="C267" s="39">
        <v>30000</v>
      </c>
      <c r="D267" s="41">
        <v>2.2800000000000001E-2</v>
      </c>
      <c r="E267" s="42"/>
      <c r="F267" s="40" t="str">
        <f t="shared" si="0"/>
        <v xml:space="preserve"> </v>
      </c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</row>
    <row r="268" spans="1:23" ht="15" hidden="1">
      <c r="A268" s="39">
        <v>30000</v>
      </c>
      <c r="B268" s="40"/>
      <c r="C268" s="39">
        <v>45495</v>
      </c>
      <c r="D268" s="41">
        <v>1.7100000000000001E-2</v>
      </c>
      <c r="E268" s="42"/>
      <c r="F268" s="40" t="str">
        <f t="shared" si="0"/>
        <v xml:space="preserve"> </v>
      </c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</row>
    <row r="269" spans="1:23" ht="15" hidden="1">
      <c r="A269" s="39">
        <v>45495</v>
      </c>
      <c r="B269" s="40"/>
      <c r="C269" s="39">
        <v>64095</v>
      </c>
      <c r="D269" s="41">
        <v>1.14E-2</v>
      </c>
      <c r="E269" s="42"/>
      <c r="F269" s="40" t="str">
        <f t="shared" si="0"/>
        <v xml:space="preserve"> </v>
      </c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</row>
    <row r="270" spans="1:23" ht="15" hidden="1">
      <c r="A270" s="39">
        <v>64095</v>
      </c>
      <c r="B270" s="40"/>
      <c r="C270" s="39">
        <v>250095</v>
      </c>
      <c r="D270" s="41">
        <v>5.7000000000000002E-3</v>
      </c>
      <c r="E270" s="42"/>
      <c r="F270" s="40" t="str">
        <f t="shared" si="0"/>
        <v xml:space="preserve"> </v>
      </c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</row>
    <row r="271" spans="1:23" ht="15" hidden="1">
      <c r="A271" s="39">
        <v>250095</v>
      </c>
      <c r="B271" s="40"/>
      <c r="C271" s="39">
        <f>$B$10</f>
        <v>0</v>
      </c>
      <c r="D271" s="41">
        <v>5.6999999999999998E-4</v>
      </c>
      <c r="E271" s="42"/>
      <c r="F271" s="40" t="str">
        <f t="shared" si="0"/>
        <v xml:space="preserve"> </v>
      </c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</row>
    <row r="272" spans="1:23" ht="15" hidden="1">
      <c r="A272" s="43"/>
      <c r="B272" s="44"/>
      <c r="C272" s="44"/>
      <c r="D272" s="45"/>
      <c r="E272" s="46"/>
      <c r="F272" s="4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</row>
    <row r="273" spans="1:23" ht="15" hidden="1">
      <c r="A273" s="36" t="s">
        <v>13</v>
      </c>
      <c r="B273" s="47"/>
      <c r="C273" s="44"/>
      <c r="D273" s="48"/>
      <c r="E273" s="46"/>
      <c r="F273" s="49">
        <f>SUM(F265:F272)</f>
        <v>0</v>
      </c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</row>
    <row r="274" spans="1:23" hidden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</row>
    <row r="275" spans="1:23" hidden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</row>
    <row r="276" spans="1:23" hidden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</row>
    <row r="277" spans="1:23" hidden="1">
      <c r="A277" s="110"/>
      <c r="B277" s="110"/>
      <c r="C277" s="110"/>
      <c r="D277" s="111">
        <f>ROUNDUP(B54+B55,-2)</f>
        <v>100</v>
      </c>
      <c r="E277" s="110"/>
      <c r="F277" s="110"/>
      <c r="G277" s="110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</row>
    <row r="278" spans="1:23" hidden="1">
      <c r="A278" s="110"/>
      <c r="B278" s="110"/>
      <c r="C278" s="110"/>
      <c r="D278" s="110"/>
      <c r="E278" s="110"/>
      <c r="F278" s="110"/>
      <c r="G278" s="110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</row>
    <row r="279" spans="1:23" hidden="1">
      <c r="A279" s="110"/>
      <c r="B279" s="110"/>
      <c r="C279" s="110"/>
      <c r="D279" s="110"/>
      <c r="E279" s="110"/>
      <c r="F279" s="110"/>
      <c r="G279" s="110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</row>
    <row r="280" spans="1:23" hidden="1">
      <c r="A280" s="110"/>
      <c r="B280" s="110"/>
      <c r="C280" s="110"/>
      <c r="D280" s="110"/>
      <c r="E280" s="110"/>
      <c r="F280" s="110"/>
      <c r="G280" s="110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</row>
    <row r="281" spans="1:23" hidden="1">
      <c r="A281" s="110" t="s">
        <v>82</v>
      </c>
      <c r="B281" s="110"/>
      <c r="C281" s="110">
        <v>0</v>
      </c>
      <c r="D281" s="110"/>
      <c r="E281" s="110"/>
      <c r="F281" s="110"/>
      <c r="G281" s="110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</row>
    <row r="282" spans="1:23" ht="15" hidden="1">
      <c r="A282" s="110">
        <v>0</v>
      </c>
      <c r="B282" s="110"/>
      <c r="C282" s="110">
        <v>7500</v>
      </c>
      <c r="D282" s="110">
        <v>1.7100000000000001E-2</v>
      </c>
      <c r="E282" s="112"/>
      <c r="F282" s="113">
        <f>IF(C46&lt;C282,C46*D282,C282*D282)</f>
        <v>0</v>
      </c>
      <c r="G282" s="110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</row>
    <row r="283" spans="1:23" ht="15" hidden="1">
      <c r="A283" s="110">
        <v>7500</v>
      </c>
      <c r="B283" s="110"/>
      <c r="C283" s="110">
        <v>17500</v>
      </c>
      <c r="D283" s="110">
        <v>1.3679999999999999E-2</v>
      </c>
      <c r="E283" s="112"/>
      <c r="F283" s="113" t="str">
        <f>IF(C46&lt;=A283," ",IF(C46&lt;C283,(C46-C282)*D283,(C283-A283)*D283))</f>
        <v xml:space="preserve"> </v>
      </c>
      <c r="G283" s="110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</row>
    <row r="284" spans="1:23" ht="15" hidden="1">
      <c r="A284" s="110">
        <v>17500</v>
      </c>
      <c r="B284" s="110"/>
      <c r="C284" s="110">
        <v>30000</v>
      </c>
      <c r="D284" s="110">
        <v>9.1199999999999996E-3</v>
      </c>
      <c r="E284" s="112"/>
      <c r="F284" s="113" t="str">
        <f>IF(C46&lt;=A284," ",IF(C46&lt;C284,(C46-C283)*D284,(C284-A284)*D284))</f>
        <v xml:space="preserve"> </v>
      </c>
      <c r="G284" s="110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</row>
    <row r="285" spans="1:23" ht="15" hidden="1">
      <c r="A285" s="110">
        <v>30000</v>
      </c>
      <c r="B285" s="110"/>
      <c r="C285" s="110">
        <v>45495</v>
      </c>
      <c r="D285" s="110">
        <v>6.8399999999999997E-3</v>
      </c>
      <c r="E285" s="112"/>
      <c r="F285" s="113" t="str">
        <f>IF(C46&lt;=A285," ",IF(C46&lt;C285,(C46-C284)*D285,(C285-A285)*D285))</f>
        <v xml:space="preserve"> </v>
      </c>
      <c r="G285" s="110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</row>
    <row r="286" spans="1:23" ht="15" hidden="1">
      <c r="A286" s="110">
        <v>45495</v>
      </c>
      <c r="B286" s="110"/>
      <c r="C286" s="110">
        <v>64095</v>
      </c>
      <c r="D286" s="110">
        <v>4.5599999999999998E-3</v>
      </c>
      <c r="E286" s="112"/>
      <c r="F286" s="113" t="str">
        <f>IF(C46&lt;=A286," ",IF(C46&lt;C286,(C46-C285)*D286,(C286-A286)*D286))</f>
        <v xml:space="preserve"> </v>
      </c>
      <c r="G286" s="110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</row>
    <row r="287" spans="1:23" ht="15" hidden="1">
      <c r="A287" s="110">
        <v>64095</v>
      </c>
      <c r="B287" s="110"/>
      <c r="C287" s="110">
        <v>250095</v>
      </c>
      <c r="D287" s="110">
        <v>2.2799999999999999E-3</v>
      </c>
      <c r="E287" s="112"/>
      <c r="F287" s="113" t="str">
        <f>IF(C46&lt;=A287," ",IF(C46&lt;C287,(C46-C286)*D287,(C287-A287)*D287))</f>
        <v xml:space="preserve"> </v>
      </c>
      <c r="G287" s="110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</row>
    <row r="288" spans="1:23" ht="15" hidden="1">
      <c r="A288" s="110">
        <v>250095</v>
      </c>
      <c r="B288" s="110"/>
      <c r="C288" s="114">
        <f>C46</f>
        <v>0</v>
      </c>
      <c r="D288" s="110">
        <v>4.5600000000000003E-4</v>
      </c>
      <c r="E288" s="112"/>
      <c r="F288" s="113" t="str">
        <f>IF(C46&lt;=A288," ",IF(C46&lt;C288,(C46-C287)*D288,(C288-A288)*D288))</f>
        <v xml:space="preserve"> </v>
      </c>
      <c r="G288" s="110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</row>
    <row r="289" spans="1:23" ht="15" hidden="1">
      <c r="A289" s="110">
        <v>10075000</v>
      </c>
      <c r="B289" s="110"/>
      <c r="C289" s="110">
        <v>0</v>
      </c>
      <c r="D289" s="110">
        <v>4.5600000000000003E-4</v>
      </c>
      <c r="E289" s="115" t="str">
        <f>IF($C$189&lt;=A289," E90",IF($C$189&lt;C289,($C$189-C288)*D289,(C289-A289)*D289))</f>
        <v xml:space="preserve"> E90</v>
      </c>
      <c r="F289" s="116"/>
      <c r="G289" s="110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</row>
    <row r="290" spans="1:23" ht="15" hidden="1">
      <c r="A290" s="110"/>
      <c r="B290" s="110"/>
      <c r="C290" s="110"/>
      <c r="D290" s="110"/>
      <c r="E290" s="117"/>
      <c r="F290" s="116"/>
      <c r="G290" s="110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</row>
    <row r="291" spans="1:23" ht="14.25" hidden="1">
      <c r="A291" s="110" t="s">
        <v>13</v>
      </c>
      <c r="B291" s="110"/>
      <c r="C291" s="110"/>
      <c r="D291" s="110"/>
      <c r="E291" s="118">
        <f>SUM(F282:F289)</f>
        <v>0</v>
      </c>
      <c r="F291" s="116"/>
      <c r="G291" s="110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</row>
    <row r="292" spans="1:23" hidden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</row>
    <row r="293" spans="1:23" ht="15" hidden="1">
      <c r="A293" s="129" t="s">
        <v>92</v>
      </c>
      <c r="B293" s="130"/>
      <c r="C293" s="130"/>
      <c r="D293" s="130"/>
      <c r="E293" s="131"/>
      <c r="F293" s="132" t="s">
        <v>93</v>
      </c>
      <c r="G293" s="133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</row>
    <row r="294" spans="1:23" ht="15" hidden="1">
      <c r="A294" s="129">
        <v>67.31</v>
      </c>
      <c r="B294" s="130" t="s">
        <v>94</v>
      </c>
      <c r="C294" s="130">
        <v>25000</v>
      </c>
      <c r="D294" s="130"/>
      <c r="E294" s="131"/>
      <c r="F294" s="132"/>
      <c r="G294" s="133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</row>
    <row r="295" spans="1:23" ht="15" hidden="1">
      <c r="A295" s="129">
        <v>23.56</v>
      </c>
      <c r="B295" s="130" t="s">
        <v>95</v>
      </c>
      <c r="C295" s="130">
        <v>25000</v>
      </c>
      <c r="D295" s="130" t="s">
        <v>96</v>
      </c>
      <c r="E295" s="131"/>
      <c r="F295" s="132"/>
      <c r="G295" s="133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</row>
    <row r="296" spans="1:23" ht="15" hidden="1">
      <c r="A296" s="129"/>
      <c r="B296" s="130"/>
      <c r="C296" s="130"/>
      <c r="D296" s="130"/>
      <c r="E296" s="131"/>
      <c r="F296" s="132"/>
      <c r="G296" s="133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</row>
    <row r="297" spans="1:23" ht="15" hidden="1">
      <c r="A297" s="129"/>
      <c r="B297" s="130"/>
      <c r="C297" s="130"/>
      <c r="D297" s="130"/>
      <c r="E297" s="131"/>
      <c r="F297" s="132"/>
      <c r="G297" s="133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</row>
    <row r="298" spans="1:23" ht="15" hidden="1">
      <c r="A298" s="129"/>
      <c r="B298" s="130"/>
      <c r="C298" s="130"/>
      <c r="D298" s="130"/>
      <c r="E298" s="131"/>
      <c r="F298" s="132"/>
      <c r="G298" s="133">
        <f>SUM(D232,D235)</f>
        <v>5.7000000000000002E-3</v>
      </c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</row>
    <row r="299" spans="1:23" ht="15" hidden="1">
      <c r="A299" s="129" t="s">
        <v>97</v>
      </c>
      <c r="B299" s="130"/>
      <c r="C299" s="130" t="s">
        <v>11</v>
      </c>
      <c r="D299" s="130" t="s">
        <v>98</v>
      </c>
      <c r="E299" s="131"/>
      <c r="F299" s="132"/>
      <c r="G299" s="133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</row>
    <row r="300" spans="1:23" ht="15" hidden="1">
      <c r="A300" s="129"/>
      <c r="B300" s="130"/>
      <c r="C300" s="130">
        <f>D223</f>
        <v>0</v>
      </c>
      <c r="D300" s="130">
        <f>IF(D223=0,575,550)</f>
        <v>575</v>
      </c>
      <c r="E300" s="131"/>
      <c r="F300" s="132"/>
      <c r="G300" s="133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</row>
    <row r="301" spans="1:23" ht="15" hidden="1">
      <c r="A301" s="129"/>
      <c r="B301" s="130"/>
      <c r="C301" s="130"/>
      <c r="D301" s="130"/>
      <c r="E301" s="131"/>
      <c r="F301" s="132"/>
      <c r="G301" s="133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</row>
    <row r="302" spans="1:23" ht="15" hidden="1">
      <c r="A302" s="129"/>
      <c r="B302" s="130"/>
      <c r="C302" s="130"/>
      <c r="D302" s="130"/>
      <c r="E302" s="131"/>
      <c r="F302" s="132"/>
      <c r="G302" s="133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</row>
    <row r="303" spans="1:23" ht="15" hidden="1">
      <c r="A303" s="129"/>
      <c r="B303" s="130"/>
      <c r="C303" s="134">
        <f>ROUNDUP(B54+B55,-2)</f>
        <v>100</v>
      </c>
      <c r="D303" s="130"/>
      <c r="E303" s="131"/>
      <c r="F303" s="132"/>
      <c r="G303" s="133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</row>
    <row r="304" spans="1:23" ht="15" hidden="1">
      <c r="A304" s="135">
        <f>C51+C52+C56+C58+C61+C64</f>
        <v>930</v>
      </c>
      <c r="B304" s="130"/>
      <c r="C304" s="130"/>
      <c r="D304" s="130"/>
      <c r="E304" s="131" t="s">
        <v>62</v>
      </c>
      <c r="F304" s="132"/>
      <c r="G304" s="133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</row>
    <row r="305" spans="1:23" ht="15" hidden="1">
      <c r="A305" s="129"/>
      <c r="B305" s="130"/>
      <c r="C305" s="130"/>
      <c r="D305" s="130"/>
      <c r="E305" s="131" t="s">
        <v>63</v>
      </c>
      <c r="F305" s="132"/>
      <c r="G305" s="133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</row>
    <row r="306" spans="1:23" ht="15" hidden="1">
      <c r="A306" s="129"/>
      <c r="B306" s="130"/>
      <c r="C306" s="130"/>
      <c r="D306" s="130"/>
      <c r="E306" s="131"/>
      <c r="F306" s="132"/>
      <c r="G306" s="13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</row>
    <row r="307" spans="1:23" ht="15" hidden="1">
      <c r="A307" s="129"/>
      <c r="B307" s="130"/>
      <c r="C307" s="130"/>
      <c r="D307" s="130"/>
      <c r="E307" s="131"/>
      <c r="F307" s="132"/>
      <c r="G307" s="13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</row>
    <row r="308" spans="1:23" ht="15" hidden="1">
      <c r="A308" s="129"/>
      <c r="B308" s="130"/>
      <c r="C308" s="130"/>
      <c r="D308" s="130"/>
      <c r="E308" s="131"/>
      <c r="F308" s="132"/>
      <c r="G308" s="13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</row>
    <row r="309" spans="1:23" ht="15" hidden="1">
      <c r="A309" s="129" t="s">
        <v>82</v>
      </c>
      <c r="B309" s="130"/>
      <c r="C309" s="137">
        <f>C46</f>
        <v>0</v>
      </c>
      <c r="D309" s="130"/>
      <c r="E309" s="131"/>
      <c r="F309" s="132"/>
      <c r="G309" s="13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</row>
    <row r="310" spans="1:23" ht="15" hidden="1">
      <c r="A310" s="129">
        <v>0</v>
      </c>
      <c r="B310" s="130"/>
      <c r="C310" s="130">
        <v>7500</v>
      </c>
      <c r="D310" s="130">
        <v>1.4250000000000001E-2</v>
      </c>
      <c r="E310" s="131"/>
      <c r="F310" s="132">
        <f>IF(C309&lt;C310,C309*D310,C310*D310)</f>
        <v>0</v>
      </c>
      <c r="G310" s="13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</row>
    <row r="311" spans="1:23" ht="15" hidden="1">
      <c r="A311" s="129">
        <v>7500</v>
      </c>
      <c r="B311" s="130"/>
      <c r="C311" s="130">
        <v>17500</v>
      </c>
      <c r="D311" s="130">
        <v>1.14E-2</v>
      </c>
      <c r="E311" s="131"/>
      <c r="F311" s="132" t="str">
        <f>IF(C309&lt;=A311," ",IF(C309&lt;C311,(C309-C310)*D311,(C311-A311)*D311))</f>
        <v xml:space="preserve"> </v>
      </c>
      <c r="G311" s="13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</row>
    <row r="312" spans="1:23" ht="15" hidden="1">
      <c r="A312" s="129">
        <v>17500</v>
      </c>
      <c r="B312" s="130"/>
      <c r="C312" s="130">
        <v>30000</v>
      </c>
      <c r="D312" s="130">
        <v>6.8399999999999997E-3</v>
      </c>
      <c r="E312" s="131"/>
      <c r="F312" s="132" t="str">
        <f>IF(C309&lt;=A312," ",IF(C309&lt;C312,(C309-C311)*D312,(C312-A312)*D312))</f>
        <v xml:space="preserve"> </v>
      </c>
      <c r="G312" s="13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</row>
    <row r="313" spans="1:23" ht="15" hidden="1">
      <c r="A313" s="129">
        <v>30000</v>
      </c>
      <c r="B313" s="130"/>
      <c r="C313" s="130">
        <v>45495</v>
      </c>
      <c r="D313" s="130">
        <v>5.7000000000000002E-3</v>
      </c>
      <c r="E313" s="131"/>
      <c r="F313" s="132" t="str">
        <f>IF(C309&lt;=A313," ",IF(C309&lt;C313,(C309-C312)*D313,(C313-A313)*D313))</f>
        <v xml:space="preserve"> </v>
      </c>
      <c r="G313" s="13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</row>
    <row r="314" spans="1:23" ht="15" hidden="1">
      <c r="A314" s="129">
        <v>45495</v>
      </c>
      <c r="B314" s="130"/>
      <c r="C314" s="130">
        <v>64095</v>
      </c>
      <c r="D314" s="130">
        <v>4.5599999999999998E-3</v>
      </c>
      <c r="E314" s="131"/>
      <c r="F314" s="132" t="str">
        <f>IF(C309&lt;=A314," ",IF(C309&lt;C314,(C309-C313)*D314,(C314-A314)*D314))</f>
        <v xml:space="preserve"> </v>
      </c>
      <c r="G314" s="13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</row>
    <row r="315" spans="1:23" ht="15" hidden="1">
      <c r="A315" s="129">
        <v>64095</v>
      </c>
      <c r="B315" s="130"/>
      <c r="C315" s="130">
        <v>250095</v>
      </c>
      <c r="D315" s="130">
        <v>2.2799999999999999E-3</v>
      </c>
      <c r="E315" s="131"/>
      <c r="F315" s="132" t="str">
        <f>IF(C309&lt;=A315," ",IF(C309&lt;C315,(C309-C314)*D315,(C315-A315)*D315))</f>
        <v xml:space="preserve"> </v>
      </c>
      <c r="G315" s="13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</row>
    <row r="316" spans="1:23" ht="15" hidden="1">
      <c r="A316" s="129">
        <v>250095</v>
      </c>
      <c r="B316" s="130"/>
      <c r="C316" s="130">
        <v>999999999</v>
      </c>
      <c r="D316" s="130">
        <v>4.5600000000000003E-4</v>
      </c>
      <c r="E316" s="131"/>
      <c r="F316" s="132" t="str">
        <f>IF(C309&lt;=A316," ",IF(C309&lt;C316,(C309-C315)*D316,(C316-A316)*D316))</f>
        <v xml:space="preserve"> </v>
      </c>
      <c r="G316" s="13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</row>
    <row r="317" spans="1:23" ht="15" hidden="1">
      <c r="A317" s="129">
        <v>10075000</v>
      </c>
      <c r="B317" s="130"/>
      <c r="C317" s="130" t="str">
        <f>$B$76</f>
        <v>Afrekening koper</v>
      </c>
      <c r="D317" s="130">
        <v>4.5600000000000003E-4</v>
      </c>
      <c r="E317" s="131" t="str">
        <f>IF(C181&lt;=A317,"E90",IF(C181&lt;C317,(C181-C316)*D317,(C317-A317)*D317))</f>
        <v>E90</v>
      </c>
      <c r="F317" s="132"/>
      <c r="G317" s="13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</row>
    <row r="318" spans="1:23" ht="15" hidden="1">
      <c r="A318" s="129"/>
      <c r="B318" s="130"/>
      <c r="C318" s="130"/>
      <c r="D318" s="130"/>
      <c r="E318" s="131"/>
      <c r="F318" s="132"/>
      <c r="G318" s="13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</row>
    <row r="319" spans="1:23" ht="15" hidden="1">
      <c r="A319" s="129" t="s">
        <v>13</v>
      </c>
      <c r="B319" s="130"/>
      <c r="C319" s="130"/>
      <c r="D319" s="130"/>
      <c r="E319" s="131">
        <f>SUM(F310:F317)</f>
        <v>0</v>
      </c>
      <c r="F319" s="132"/>
      <c r="G319" s="13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</row>
    <row r="320" spans="1:23" hidden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</row>
    <row r="321" spans="1:23" hidden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</row>
    <row r="322" spans="1:23" hidden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</row>
    <row r="323" spans="1:23" hidden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</row>
    <row r="324" spans="1:23" hidden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</row>
    <row r="325" spans="1:23" hidden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</row>
    <row r="326" spans="1:23" hidden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</row>
    <row r="327" spans="1:23" hidden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</row>
    <row r="328" spans="1:23" hidden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</row>
    <row r="329" spans="1:23" hidden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</row>
    <row r="330" spans="1:23" hidden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</row>
    <row r="331" spans="1:23" hidden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</row>
    <row r="332" spans="1:23" hidden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</row>
    <row r="333" spans="1:23" hidden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</row>
    <row r="334" spans="1:23" hidden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</row>
    <row r="335" spans="1:23" hidden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</row>
    <row r="336" spans="1:23" hidden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</row>
    <row r="337" spans="1:23" hidden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</row>
    <row r="338" spans="1:23" hidden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</row>
    <row r="339" spans="1:23" hidden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</row>
    <row r="340" spans="1:23" hidden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</row>
    <row r="341" spans="1:23" hidden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</row>
    <row r="342" spans="1:23" hidden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</row>
    <row r="343" spans="1:23" hidden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</row>
    <row r="344" spans="1:23" hidden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</row>
    <row r="345" spans="1:23" hidden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</row>
    <row r="346" spans="1:23" hidden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</row>
    <row r="347" spans="1:23" hidden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</row>
    <row r="348" spans="1:23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</row>
    <row r="349" spans="1:23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</row>
    <row r="350" spans="1:23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</row>
    <row r="351" spans="1:23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</row>
    <row r="352" spans="1:23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</row>
    <row r="353" spans="1:2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</row>
    <row r="354" spans="1:23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</row>
    <row r="355" spans="1:23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</row>
    <row r="356" spans="1:23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</row>
    <row r="357" spans="1:23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</row>
    <row r="358" spans="1:23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</row>
    <row r="359" spans="1:23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</row>
    <row r="360" spans="1:23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</row>
    <row r="361" spans="1:23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</row>
    <row r="362" spans="1:23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</row>
    <row r="363" spans="1:2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</row>
    <row r="364" spans="1:23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</row>
    <row r="365" spans="1:23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</row>
    <row r="366" spans="1:23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</row>
    <row r="367" spans="1:23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</row>
    <row r="368" spans="1:23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</row>
    <row r="369" spans="1:7">
      <c r="A369" s="6"/>
      <c r="B369" s="6"/>
      <c r="C369" s="6"/>
      <c r="D369" s="6"/>
      <c r="E369" s="6"/>
      <c r="F369" s="6"/>
      <c r="G369" s="6"/>
    </row>
  </sheetData>
  <sheetProtection algorithmName="SHA-512" hashValue="vDSROvHcknsBGaV26Bl4iOtyTkqEhAcXH64YGKGWnA/zs7RvNHYf45Jl1qpuJvabGcw31iD8g65lURfGej/3jw==" saltValue="eaRVUksmlEtbBgiOrqodhw==" spinCount="100000" sheet="1" objects="1" scenarios="1"/>
  <phoneticPr fontId="0" type="noConversion"/>
  <dataValidations count="5">
    <dataValidation type="list" allowBlank="1" showInputMessage="1" showErrorMessage="1" sqref="B7">
      <formula1>$K$257:$K$258</formula1>
    </dataValidation>
    <dataValidation type="list" allowBlank="1" showInputMessage="1" showErrorMessage="1" sqref="B12">
      <formula1>C185:C186</formula1>
    </dataValidation>
    <dataValidation type="list" allowBlank="1" showInputMessage="1" showErrorMessage="1" sqref="B13">
      <formula1>A185:A223</formula1>
    </dataValidation>
    <dataValidation type="list" allowBlank="1" showInputMessage="1" showErrorMessage="1" sqref="B15">
      <formula1>E185:E186</formula1>
    </dataValidation>
    <dataValidation type="list" allowBlank="1" showInputMessage="1" showErrorMessage="1" sqref="B14">
      <formula1>D185:D186</formula1>
    </dataValidation>
  </dataValidations>
  <hyperlinks>
    <hyperlink ref="D74" r:id="rId1"/>
    <hyperlink ref="D76" r:id="rId2"/>
    <hyperlink ref="B76" r:id="rId3"/>
    <hyperlink ref="C78" r:id="rId4"/>
    <hyperlink ref="B74" r:id="rId5"/>
  </hyperlinks>
  <pageMargins left="0.75" right="0.75" top="1" bottom="1" header="0.5" footer="0.5"/>
  <pageSetup paperSize="9" scale="93" orientation="landscape" horizontalDpi="300" verticalDpi="300" r:id="rId6"/>
  <headerFooter alignWithMargins="0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VBIWTVABREYNETH</vt:lpstr>
      <vt:lpstr>VBIWTVABREYNETH!_1._Zegels_Minuut_Brevet</vt:lpstr>
      <vt:lpstr>VBIWTVABREYNETH!_2._Registratie_Minuut_Brevet</vt:lpstr>
      <vt:lpstr>VBIWTVABREYNETH!_3._Registratie_aanhangsel</vt:lpstr>
      <vt:lpstr>VBIWTVABREYNETH!Aard</vt:lpstr>
      <vt:lpstr>VBIWTVABREYNETH!Afdrukbereik</vt:lpstr>
      <vt:lpstr>VBIWTVABREYNETH!Datum</vt:lpstr>
      <vt:lpstr>VBIWTVABREYNETH!KOSTENFICHE</vt:lpstr>
      <vt:lpstr>VBIWTVABREYNETH!Rep.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2014-12-07T15:00:48Z</dcterms:modified>
</cp:coreProperties>
</file>